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threadedComments/threadedComment27.xml" ContentType="application/vnd.ms-excel.threaded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threadedComments/threadedComment28.xml" ContentType="application/vnd.ms-excel.threaded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threadedComments/threadedComment29.xml" ContentType="application/vnd.ms-excel.threaded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threadedComments/threadedComment30.xml" ContentType="application/vnd.ms-excel.threaded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threadedComments/threadedComment31.xml" ContentType="application/vnd.ms-excel.threaded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threadedComments/threadedComment32.xml" ContentType="application/vnd.ms-excel.threaded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threadedComments/threadedComment33.xml" ContentType="application/vnd.ms-excel.threaded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threadedComments/threadedComment34.xml" ContentType="application/vnd.ms-excel.threaded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threadedComments/threadedComment35.xml" ContentType="application/vnd.ms-excel.threaded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threadedComments/threadedComment36.xml" ContentType="application/vnd.ms-excel.threaded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threadedComments/threadedComment37.xml" ContentType="application/vnd.ms-excel.threadedcomments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threadedComments/threadedComment38.xml" ContentType="application/vnd.ms-excel.threadedcomments+xml"/>
  <Override PartName="/xl/drawings/drawing39.xml" ContentType="application/vnd.openxmlformats-officedocument.drawing+xml"/>
  <Override PartName="/xl/comments39.xml" ContentType="application/vnd.openxmlformats-officedocument.spreadsheetml.comments+xml"/>
  <Override PartName="/xl/threadedComments/threadedComment39.xml" ContentType="application/vnd.ms-excel.threadedcomments+xml"/>
  <Override PartName="/xl/drawings/drawing40.xml" ContentType="application/vnd.openxmlformats-officedocument.drawing+xml"/>
  <Override PartName="/xl/comments40.xml" ContentType="application/vnd.openxmlformats-officedocument.spreadsheetml.comments+xml"/>
  <Override PartName="/xl/threadedComments/threadedComment40.xml" ContentType="application/vnd.ms-excel.threadedcomments+xml"/>
  <Override PartName="/xl/drawings/drawing41.xml" ContentType="application/vnd.openxmlformats-officedocument.drawing+xml"/>
  <Override PartName="/xl/comments41.xml" ContentType="application/vnd.openxmlformats-officedocument.spreadsheetml.comments+xml"/>
  <Override PartName="/xl/threadedComments/threadedComment41.xml" ContentType="application/vnd.ms-excel.threadedcomments+xml"/>
  <Override PartName="/xl/drawings/drawing42.xml" ContentType="application/vnd.openxmlformats-officedocument.drawing+xml"/>
  <Override PartName="/xl/comments42.xml" ContentType="application/vnd.openxmlformats-officedocument.spreadsheetml.comments+xml"/>
  <Override PartName="/xl/threadedComments/threadedComment42.xml" ContentType="application/vnd.ms-excel.threadedcomments+xml"/>
  <Override PartName="/xl/drawings/drawing43.xml" ContentType="application/vnd.openxmlformats-officedocument.drawing+xml"/>
  <Override PartName="/xl/comments43.xml" ContentType="application/vnd.openxmlformats-officedocument.spreadsheetml.comments+xml"/>
  <Override PartName="/xl/threadedComments/threadedComment43.xml" ContentType="application/vnd.ms-excel.threadedcomments+xml"/>
  <Override PartName="/xl/drawings/drawing44.xml" ContentType="application/vnd.openxmlformats-officedocument.drawing+xml"/>
  <Override PartName="/xl/comments44.xml" ContentType="application/vnd.openxmlformats-officedocument.spreadsheetml.comments+xml"/>
  <Override PartName="/xl/threadedComments/threadedComment44.xml" ContentType="application/vnd.ms-excel.threadedcomments+xml"/>
  <Override PartName="/xl/drawings/drawing45.xml" ContentType="application/vnd.openxmlformats-officedocument.drawing+xml"/>
  <Override PartName="/xl/comments45.xml" ContentType="application/vnd.openxmlformats-officedocument.spreadsheetml.comments+xml"/>
  <Override PartName="/xl/threadedComments/threadedComment45.xml" ContentType="application/vnd.ms-excel.threadedcomments+xml"/>
  <Override PartName="/xl/drawings/drawing46.xml" ContentType="application/vnd.openxmlformats-officedocument.drawing+xml"/>
  <Override PartName="/xl/comments46.xml" ContentType="application/vnd.openxmlformats-officedocument.spreadsheetml.comments+xml"/>
  <Override PartName="/xl/threadedComments/threadedComment46.xml" ContentType="application/vnd.ms-excel.threadedcomments+xml"/>
  <Override PartName="/xl/drawings/drawing47.xml" ContentType="application/vnd.openxmlformats-officedocument.drawing+xml"/>
  <Override PartName="/xl/comments47.xml" ContentType="application/vnd.openxmlformats-officedocument.spreadsheetml.comments+xml"/>
  <Override PartName="/xl/threadedComments/threadedComment47.xml" ContentType="application/vnd.ms-excel.threadedcomments+xml"/>
  <Override PartName="/xl/drawings/drawing48.xml" ContentType="application/vnd.openxmlformats-officedocument.drawing+xml"/>
  <Override PartName="/xl/comments48.xml" ContentType="application/vnd.openxmlformats-officedocument.spreadsheetml.comments+xml"/>
  <Override PartName="/xl/threadedComments/threadedComment48.xml" ContentType="application/vnd.ms-excel.threadedcomments+xml"/>
  <Override PartName="/xl/drawings/drawing49.xml" ContentType="application/vnd.openxmlformats-officedocument.drawing+xml"/>
  <Override PartName="/xl/comments49.xml" ContentType="application/vnd.openxmlformats-officedocument.spreadsheetml.comments+xml"/>
  <Override PartName="/xl/threadedComments/threadedComment49.xml" ContentType="application/vnd.ms-excel.threadedcomments+xml"/>
  <Override PartName="/xl/drawings/drawing50.xml" ContentType="application/vnd.openxmlformats-officedocument.drawing+xml"/>
  <Override PartName="/xl/comments50.xml" ContentType="application/vnd.openxmlformats-officedocument.spreadsheetml.comments+xml"/>
  <Override PartName="/xl/threadedComments/threadedComment50.xml" ContentType="application/vnd.ms-excel.threadedcomments+xml"/>
  <Override PartName="/xl/drawings/drawing51.xml" ContentType="application/vnd.openxmlformats-officedocument.drawing+xml"/>
  <Override PartName="/xl/comments51.xml" ContentType="application/vnd.openxmlformats-officedocument.spreadsheetml.comments+xml"/>
  <Override PartName="/xl/threadedComments/threadedComment51.xml" ContentType="application/vnd.ms-excel.threadedcomments+xml"/>
  <Override PartName="/xl/drawings/drawing52.xml" ContentType="application/vnd.openxmlformats-officedocument.drawing+xml"/>
  <Override PartName="/xl/comments52.xml" ContentType="application/vnd.openxmlformats-officedocument.spreadsheetml.comments+xml"/>
  <Override PartName="/xl/threadedComments/threadedComment52.xml" ContentType="application/vnd.ms-excel.threadedcomments+xml"/>
  <Override PartName="/xl/drawings/drawing53.xml" ContentType="application/vnd.openxmlformats-officedocument.drawing+xml"/>
  <Override PartName="/xl/comments53.xml" ContentType="application/vnd.openxmlformats-officedocument.spreadsheetml.comments+xml"/>
  <Override PartName="/xl/threadedComments/threadedComment53.xml" ContentType="application/vnd.ms-excel.threadedcomments+xml"/>
  <Override PartName="/xl/drawings/drawing54.xml" ContentType="application/vnd.openxmlformats-officedocument.drawing+xml"/>
  <Override PartName="/xl/comments54.xml" ContentType="application/vnd.openxmlformats-officedocument.spreadsheetml.comments+xml"/>
  <Override PartName="/xl/threadedComments/threadedComment54.xml" ContentType="application/vnd.ms-excel.threadedcomments+xml"/>
  <Override PartName="/xl/drawings/drawing55.xml" ContentType="application/vnd.openxmlformats-officedocument.drawing+xml"/>
  <Override PartName="/xl/comments55.xml" ContentType="application/vnd.openxmlformats-officedocument.spreadsheetml.comments+xml"/>
  <Override PartName="/xl/threadedComments/threadedComment55.xml" ContentType="application/vnd.ms-excel.threadedcomments+xml"/>
  <Override PartName="/xl/drawings/drawing56.xml" ContentType="application/vnd.openxmlformats-officedocument.drawing+xml"/>
  <Override PartName="/xl/comments56.xml" ContentType="application/vnd.openxmlformats-officedocument.spreadsheetml.comments+xml"/>
  <Override PartName="/xl/threadedComments/threadedComment56.xml" ContentType="application/vnd.ms-excel.threadedcomments+xml"/>
  <Override PartName="/xl/drawings/drawing57.xml" ContentType="application/vnd.openxmlformats-officedocument.drawing+xml"/>
  <Override PartName="/xl/comments57.xml" ContentType="application/vnd.openxmlformats-officedocument.spreadsheetml.comments+xml"/>
  <Override PartName="/xl/threadedComments/threadedComment57.xml" ContentType="application/vnd.ms-excel.threadedcomments+xml"/>
  <Override PartName="/xl/drawings/drawing58.xml" ContentType="application/vnd.openxmlformats-officedocument.drawing+xml"/>
  <Override PartName="/xl/comments58.xml" ContentType="application/vnd.openxmlformats-officedocument.spreadsheetml.comments+xml"/>
  <Override PartName="/xl/threadedComments/threadedComment58.xml" ContentType="application/vnd.ms-excel.threadedcomments+xml"/>
  <Override PartName="/xl/drawings/drawing59.xml" ContentType="application/vnd.openxmlformats-officedocument.drawing+xml"/>
  <Override PartName="/xl/comments59.xml" ContentType="application/vnd.openxmlformats-officedocument.spreadsheetml.comments+xml"/>
  <Override PartName="/xl/threadedComments/threadedComment59.xml" ContentType="application/vnd.ms-excel.threadedcomments+xml"/>
  <Override PartName="/xl/drawings/drawing60.xml" ContentType="application/vnd.openxmlformats-officedocument.drawing+xml"/>
  <Override PartName="/xl/comments60.xml" ContentType="application/vnd.openxmlformats-officedocument.spreadsheetml.comments+xml"/>
  <Override PartName="/xl/threadedComments/threadedComment60.xml" ContentType="application/vnd.ms-excel.threadedcomments+xml"/>
  <Override PartName="/xl/drawings/drawing61.xml" ContentType="application/vnd.openxmlformats-officedocument.drawing+xml"/>
  <Override PartName="/xl/comments61.xml" ContentType="application/vnd.openxmlformats-officedocument.spreadsheetml.comments+xml"/>
  <Override PartName="/xl/threadedComments/threadedComment61.xml" ContentType="application/vnd.ms-excel.threadedcomments+xml"/>
  <Override PartName="/xl/drawings/drawing62.xml" ContentType="application/vnd.openxmlformats-officedocument.drawing+xml"/>
  <Override PartName="/xl/comments62.xml" ContentType="application/vnd.openxmlformats-officedocument.spreadsheetml.comments+xml"/>
  <Override PartName="/xl/threadedComments/threadedComment62.xml" ContentType="application/vnd.ms-excel.threadedcomments+xml"/>
  <Override PartName="/xl/drawings/drawing63.xml" ContentType="application/vnd.openxmlformats-officedocument.drawing+xml"/>
  <Override PartName="/xl/comments63.xml" ContentType="application/vnd.openxmlformats-officedocument.spreadsheetml.comments+xml"/>
  <Override PartName="/xl/threadedComments/threadedComment63.xml" ContentType="application/vnd.ms-excel.threadedcomments+xml"/>
  <Override PartName="/xl/drawings/drawing64.xml" ContentType="application/vnd.openxmlformats-officedocument.drawing+xml"/>
  <Override PartName="/xl/comments64.xml" ContentType="application/vnd.openxmlformats-officedocument.spreadsheetml.comments+xml"/>
  <Override PartName="/xl/threadedComments/threadedComment64.xml" ContentType="application/vnd.ms-excel.threadedcomments+xml"/>
  <Override PartName="/xl/drawings/drawing65.xml" ContentType="application/vnd.openxmlformats-officedocument.drawing+xml"/>
  <Override PartName="/xl/comments65.xml" ContentType="application/vnd.openxmlformats-officedocument.spreadsheetml.comments+xml"/>
  <Override PartName="/xl/threadedComments/threadedComment65.xml" ContentType="application/vnd.ms-excel.threadedcomments+xml"/>
  <Override PartName="/xl/drawings/drawing66.xml" ContentType="application/vnd.openxmlformats-officedocument.drawing+xml"/>
  <Override PartName="/xl/comments66.xml" ContentType="application/vnd.openxmlformats-officedocument.spreadsheetml.comments+xml"/>
  <Override PartName="/xl/threadedComments/threadedComment66.xml" ContentType="application/vnd.ms-excel.threadedcomments+xml"/>
  <Override PartName="/xl/drawings/drawing67.xml" ContentType="application/vnd.openxmlformats-officedocument.drawing+xml"/>
  <Override PartName="/xl/comments67.xml" ContentType="application/vnd.openxmlformats-officedocument.spreadsheetml.comments+xml"/>
  <Override PartName="/xl/threadedComments/threadedComment67.xml" ContentType="application/vnd.ms-excel.threadedcomments+xml"/>
  <Override PartName="/xl/drawings/drawing68.xml" ContentType="application/vnd.openxmlformats-officedocument.drawing+xml"/>
  <Override PartName="/xl/comments68.xml" ContentType="application/vnd.openxmlformats-officedocument.spreadsheetml.comments+xml"/>
  <Override PartName="/xl/threadedComments/threadedComment68.xml" ContentType="application/vnd.ms-excel.threadedcomments+xml"/>
  <Override PartName="/xl/drawings/drawing69.xml" ContentType="application/vnd.openxmlformats-officedocument.drawing+xml"/>
  <Override PartName="/xl/comments69.xml" ContentType="application/vnd.openxmlformats-officedocument.spreadsheetml.comments+xml"/>
  <Override PartName="/xl/threadedComments/threadedComment69.xml" ContentType="application/vnd.ms-excel.threadedcomments+xml"/>
  <Override PartName="/xl/drawings/drawing70.xml" ContentType="application/vnd.openxmlformats-officedocument.drawing+xml"/>
  <Override PartName="/xl/comments70.xml" ContentType="application/vnd.openxmlformats-officedocument.spreadsheetml.comments+xml"/>
  <Override PartName="/xl/threadedComments/threadedComment70.xml" ContentType="application/vnd.ms-excel.threadedcomments+xml"/>
  <Override PartName="/xl/drawings/drawing71.xml" ContentType="application/vnd.openxmlformats-officedocument.drawing+xml"/>
  <Override PartName="/xl/comments71.xml" ContentType="application/vnd.openxmlformats-officedocument.spreadsheetml.comments+xml"/>
  <Override PartName="/xl/threadedComments/threadedComment71.xml" ContentType="application/vnd.ms-excel.threadedcomments+xml"/>
  <Override PartName="/xl/drawings/drawing72.xml" ContentType="application/vnd.openxmlformats-officedocument.drawing+xml"/>
  <Override PartName="/xl/comments72.xml" ContentType="application/vnd.openxmlformats-officedocument.spreadsheetml.comments+xml"/>
  <Override PartName="/xl/threadedComments/threadedComment72.xml" ContentType="application/vnd.ms-excel.threadedcomments+xml"/>
  <Override PartName="/xl/drawings/drawing73.xml" ContentType="application/vnd.openxmlformats-officedocument.drawing+xml"/>
  <Override PartName="/xl/comments73.xml" ContentType="application/vnd.openxmlformats-officedocument.spreadsheetml.comments+xml"/>
  <Override PartName="/xl/threadedComments/threadedComment73.xml" ContentType="application/vnd.ms-excel.threadedcomments+xml"/>
  <Override PartName="/xl/drawings/drawing74.xml" ContentType="application/vnd.openxmlformats-officedocument.drawing+xml"/>
  <Override PartName="/xl/comments74.xml" ContentType="application/vnd.openxmlformats-officedocument.spreadsheetml.comments+xml"/>
  <Override PartName="/xl/threadedComments/threadedComment74.xml" ContentType="application/vnd.ms-excel.threadedcomments+xml"/>
  <Override PartName="/xl/drawings/drawing75.xml" ContentType="application/vnd.openxmlformats-officedocument.drawing+xml"/>
  <Override PartName="/xl/comments75.xml" ContentType="application/vnd.openxmlformats-officedocument.spreadsheetml.comments+xml"/>
  <Override PartName="/xl/threadedComments/threadedComment75.xml" ContentType="application/vnd.ms-excel.threadedcomments+xml"/>
  <Override PartName="/xl/comments76.xml" ContentType="application/vnd.openxmlformats-officedocument.spreadsheetml.comments+xml"/>
  <Override PartName="/xl/threadedComments/threadedComment76.xml" ContentType="application/vnd.ms-excel.threadedcomments+xml"/>
  <Override PartName="/xl/comments77.xml" ContentType="application/vnd.openxmlformats-officedocument.spreadsheetml.comments+xml"/>
  <Override PartName="/xl/threadedComments/threadedComment77.xml" ContentType="application/vnd.ms-excel.threadedcomments+xml"/>
  <Override PartName="/xl/comments78.xml" ContentType="application/vnd.openxmlformats-officedocument.spreadsheetml.comments+xml"/>
  <Override PartName="/xl/threadedComments/threadedComment78.xml" ContentType="application/vnd.ms-excel.threadedcomments+xml"/>
  <Override PartName="/xl/comments79.xml" ContentType="application/vnd.openxmlformats-officedocument.spreadsheetml.comments+xml"/>
  <Override PartName="/xl/threadedComments/threadedComment79.xml" ContentType="application/vnd.ms-excel.threadedcomments+xml"/>
  <Override PartName="/xl/comments80.xml" ContentType="application/vnd.openxmlformats-officedocument.spreadsheetml.comments+xml"/>
  <Override PartName="/xl/threadedComments/threadedComment80.xml" ContentType="application/vnd.ms-excel.threadedcomments+xml"/>
  <Override PartName="/xl/comments81.xml" ContentType="application/vnd.openxmlformats-officedocument.spreadsheetml.comments+xml"/>
  <Override PartName="/xl/threadedComments/threadedComment81.xml" ContentType="application/vnd.ms-excel.threadedcomments+xml"/>
  <Override PartName="/xl/comments82.xml" ContentType="application/vnd.openxmlformats-officedocument.spreadsheetml.comments+xml"/>
  <Override PartName="/xl/threadedComments/threadedComment82.xml" ContentType="application/vnd.ms-excel.threadedcomments+xml"/>
  <Override PartName="/xl/comments83.xml" ContentType="application/vnd.openxmlformats-officedocument.spreadsheetml.comments+xml"/>
  <Override PartName="/xl/threadedComments/threadedComment83.xml" ContentType="application/vnd.ms-excel.threadedcomments+xml"/>
  <Override PartName="/xl/comments84.xml" ContentType="application/vnd.openxmlformats-officedocument.spreadsheetml.comments+xml"/>
  <Override PartName="/xl/threadedComments/threadedComment84.xml" ContentType="application/vnd.ms-excel.threadedcomments+xml"/>
  <Override PartName="/xl/comments85.xml" ContentType="application/vnd.openxmlformats-officedocument.spreadsheetml.comments+xml"/>
  <Override PartName="/xl/threadedComments/threadedComment85.xml" ContentType="application/vnd.ms-excel.threadedcomments+xml"/>
  <Override PartName="/xl/comments86.xml" ContentType="application/vnd.openxmlformats-officedocument.spreadsheetml.comments+xml"/>
  <Override PartName="/xl/threadedComments/threadedComment86.xml" ContentType="application/vnd.ms-excel.threadedcomments+xml"/>
  <Override PartName="/xl/comments87.xml" ContentType="application/vnd.openxmlformats-officedocument.spreadsheetml.comments+xml"/>
  <Override PartName="/xl/threadedComments/threadedComment87.xml" ContentType="application/vnd.ms-excel.threadedcomments+xml"/>
  <Override PartName="/xl/comments88.xml" ContentType="application/vnd.openxmlformats-officedocument.spreadsheetml.comments+xml"/>
  <Override PartName="/xl/threadedComments/threadedComment88.xml" ContentType="application/vnd.ms-excel.threadedcomments+xml"/>
  <Override PartName="/xl/comments89.xml" ContentType="application/vnd.openxmlformats-officedocument.spreadsheetml.comments+xml"/>
  <Override PartName="/xl/threadedComments/threadedComment89.xml" ContentType="application/vnd.ms-excel.threadedcomments+xml"/>
  <Override PartName="/xl/comments90.xml" ContentType="application/vnd.openxmlformats-officedocument.spreadsheetml.comments+xml"/>
  <Override PartName="/xl/threadedComments/threadedComment90.xml" ContentType="application/vnd.ms-excel.threadedcomments+xml"/>
  <Override PartName="/xl/comments91.xml" ContentType="application/vnd.openxmlformats-officedocument.spreadsheetml.comments+xml"/>
  <Override PartName="/xl/threadedComments/threadedComment91.xml" ContentType="application/vnd.ms-excel.threadedcomments+xml"/>
  <Override PartName="/xl/comments92.xml" ContentType="application/vnd.openxmlformats-officedocument.spreadsheetml.comments+xml"/>
  <Override PartName="/xl/threadedComments/threadedComment92.xml" ContentType="application/vnd.ms-excel.threadedcomments+xml"/>
  <Override PartName="/xl/comments93.xml" ContentType="application/vnd.openxmlformats-officedocument.spreadsheetml.comments+xml"/>
  <Override PartName="/xl/threadedComments/threadedComment93.xml" ContentType="application/vnd.ms-excel.threadedcomments+xml"/>
  <Override PartName="/xl/comments94.xml" ContentType="application/vnd.openxmlformats-officedocument.spreadsheetml.comments+xml"/>
  <Override PartName="/xl/threadedComments/threadedComment94.xml" ContentType="application/vnd.ms-excel.threadedcomments+xml"/>
  <Override PartName="/xl/comments95.xml" ContentType="application/vnd.openxmlformats-officedocument.spreadsheetml.comments+xml"/>
  <Override PartName="/xl/threadedComments/threadedComment95.xml" ContentType="application/vnd.ms-excel.threadedcomments+xml"/>
  <Override PartName="/xl/comments96.xml" ContentType="application/vnd.openxmlformats-officedocument.spreadsheetml.comments+xml"/>
  <Override PartName="/xl/threadedComments/threadedComment96.xml" ContentType="application/vnd.ms-excel.threadedcomments+xml"/>
  <Override PartName="/xl/comments97.xml" ContentType="application/vnd.openxmlformats-officedocument.spreadsheetml.comments+xml"/>
  <Override PartName="/xl/threadedComments/threadedComment97.xml" ContentType="application/vnd.ms-excel.threadedcomments+xml"/>
  <Override PartName="/xl/comments98.xml" ContentType="application/vnd.openxmlformats-officedocument.spreadsheetml.comments+xml"/>
  <Override PartName="/xl/threadedComments/threadedComment98.xml" ContentType="application/vnd.ms-excel.threadedcomments+xml"/>
  <Override PartName="/xl/comments99.xml" ContentType="application/vnd.openxmlformats-officedocument.spreadsheetml.comments+xml"/>
  <Override PartName="/xl/threadedComments/threadedComment99.xml" ContentType="application/vnd.ms-excel.threadedcomments+xml"/>
  <Override PartName="/xl/comments100.xml" ContentType="application/vnd.openxmlformats-officedocument.spreadsheetml.comments+xml"/>
  <Override PartName="/xl/threadedComments/threadedComment100.xml" ContentType="application/vnd.ms-excel.threadedcomments+xml"/>
  <Override PartName="/xl/comments101.xml" ContentType="application/vnd.openxmlformats-officedocument.spreadsheetml.comments+xml"/>
  <Override PartName="/xl/threadedComments/threadedComment101.xml" ContentType="application/vnd.ms-excel.threadedcomments+xml"/>
  <Override PartName="/xl/comments102.xml" ContentType="application/vnd.openxmlformats-officedocument.spreadsheetml.comments+xml"/>
  <Override PartName="/xl/threadedComments/threadedComment102.xml" ContentType="application/vnd.ms-excel.threadedcomments+xml"/>
  <Override PartName="/xl/comments103.xml" ContentType="application/vnd.openxmlformats-officedocument.spreadsheetml.comments+xml"/>
  <Override PartName="/xl/threadedComments/threadedComment103.xml" ContentType="application/vnd.ms-excel.threadedcomments+xml"/>
  <Override PartName="/xl/comments104.xml" ContentType="application/vnd.openxmlformats-officedocument.spreadsheetml.comments+xml"/>
  <Override PartName="/xl/threadedComments/threadedComment104.xml" ContentType="application/vnd.ms-excel.threadedcomments+xml"/>
  <Override PartName="/xl/comments105.xml" ContentType="application/vnd.openxmlformats-officedocument.spreadsheetml.comments+xml"/>
  <Override PartName="/xl/threadedComments/threadedComment105.xml" ContentType="application/vnd.ms-excel.threadedcomments+xml"/>
  <Override PartName="/xl/comments106.xml" ContentType="application/vnd.openxmlformats-officedocument.spreadsheetml.comments+xml"/>
  <Override PartName="/xl/threadedComments/threadedComment106.xml" ContentType="application/vnd.ms-excel.threadedcomments+xml"/>
  <Override PartName="/xl/comments107.xml" ContentType="application/vnd.openxmlformats-officedocument.spreadsheetml.comments+xml"/>
  <Override PartName="/xl/threadedComments/threadedComment107.xml" ContentType="application/vnd.ms-excel.threadedcomments+xml"/>
  <Override PartName="/xl/comments108.xml" ContentType="application/vnd.openxmlformats-officedocument.spreadsheetml.comments+xml"/>
  <Override PartName="/xl/threadedComments/threadedComment108.xml" ContentType="application/vnd.ms-excel.threadedcomments+xml"/>
  <Override PartName="/xl/comments109.xml" ContentType="application/vnd.openxmlformats-officedocument.spreadsheetml.comments+xml"/>
  <Override PartName="/xl/threadedComments/threadedComment109.xml" ContentType="application/vnd.ms-excel.threadedcomments+xml"/>
  <Override PartName="/xl/comments110.xml" ContentType="application/vnd.openxmlformats-officedocument.spreadsheetml.comments+xml"/>
  <Override PartName="/xl/threadedComments/threadedComment110.xml" ContentType="application/vnd.ms-excel.threadedcomments+xml"/>
  <Override PartName="/xl/comments111.xml" ContentType="application/vnd.openxmlformats-officedocument.spreadsheetml.comments+xml"/>
  <Override PartName="/xl/threadedComments/threadedComment111.xml" ContentType="application/vnd.ms-excel.threadedcomments+xml"/>
  <Override PartName="/xl/comments112.xml" ContentType="application/vnd.openxmlformats-officedocument.spreadsheetml.comments+xml"/>
  <Override PartName="/xl/threadedComments/threadedComment112.xml" ContentType="application/vnd.ms-excel.threadedcomments+xml"/>
  <Override PartName="/xl/comments113.xml" ContentType="application/vnd.openxmlformats-officedocument.spreadsheetml.comments+xml"/>
  <Override PartName="/xl/threadedComments/threadedComment113.xml" ContentType="application/vnd.ms-excel.threadedcomments+xml"/>
  <Override PartName="/xl/comments114.xml" ContentType="application/vnd.openxmlformats-officedocument.spreadsheetml.comments+xml"/>
  <Override PartName="/xl/threadedComments/threadedComment114.xml" ContentType="application/vnd.ms-excel.threadedcomments+xml"/>
  <Override PartName="/xl/comments115.xml" ContentType="application/vnd.openxmlformats-officedocument.spreadsheetml.comments+xml"/>
  <Override PartName="/xl/threadedComments/threadedComment115.xml" ContentType="application/vnd.ms-excel.threadedcomments+xml"/>
  <Override PartName="/xl/comments116.xml" ContentType="application/vnd.openxmlformats-officedocument.spreadsheetml.comments+xml"/>
  <Override PartName="/xl/threadedComments/threadedComment116.xml" ContentType="application/vnd.ms-excel.threadedcomments+xml"/>
  <Override PartName="/xl/comments117.xml" ContentType="application/vnd.openxmlformats-officedocument.spreadsheetml.comments+xml"/>
  <Override PartName="/xl/threadedComments/threadedComment117.xml" ContentType="application/vnd.ms-excel.threadedcomments+xml"/>
  <Override PartName="/xl/comments118.xml" ContentType="application/vnd.openxmlformats-officedocument.spreadsheetml.comments+xml"/>
  <Override PartName="/xl/threadedComments/threadedComment118.xml" ContentType="application/vnd.ms-excel.threadedcomments+xml"/>
  <Override PartName="/xl/comments119.xml" ContentType="application/vnd.openxmlformats-officedocument.spreadsheetml.comments+xml"/>
  <Override PartName="/xl/threadedComments/threadedComment119.xml" ContentType="application/vnd.ms-excel.threadedcomments+xml"/>
  <Override PartName="/xl/comments120.xml" ContentType="application/vnd.openxmlformats-officedocument.spreadsheetml.comments+xml"/>
  <Override PartName="/xl/threadedComments/threadedComment120.xml" ContentType="application/vnd.ms-excel.threadedcomments+xml"/>
  <Override PartName="/xl/comments121.xml" ContentType="application/vnd.openxmlformats-officedocument.spreadsheetml.comments+xml"/>
  <Override PartName="/xl/threadedComments/threadedComment121.xml" ContentType="application/vnd.ms-excel.threadedcomments+xml"/>
  <Override PartName="/xl/comments122.xml" ContentType="application/vnd.openxmlformats-officedocument.spreadsheetml.comments+xml"/>
  <Override PartName="/xl/threadedComments/threadedComment122.xml" ContentType="application/vnd.ms-excel.threadedcomments+xml"/>
  <Override PartName="/xl/comments123.xml" ContentType="application/vnd.openxmlformats-officedocument.spreadsheetml.comments+xml"/>
  <Override PartName="/xl/threadedComments/threadedComment123.xml" ContentType="application/vnd.ms-excel.threadedcomments+xml"/>
  <Override PartName="/xl/comments124.xml" ContentType="application/vnd.openxmlformats-officedocument.spreadsheetml.comments+xml"/>
  <Override PartName="/xl/threadedComments/threadedComment124.xml" ContentType="application/vnd.ms-excel.threadedcomments+xml"/>
  <Override PartName="/xl/comments125.xml" ContentType="application/vnd.openxmlformats-officedocument.spreadsheetml.comments+xml"/>
  <Override PartName="/xl/threadedComments/threadedComment125.xml" ContentType="application/vnd.ms-excel.threadedcomments+xml"/>
  <Override PartName="/xl/comments126.xml" ContentType="application/vnd.openxmlformats-officedocument.spreadsheetml.comments+xml"/>
  <Override PartName="/xl/threadedComments/threadedComment126.xml" ContentType="application/vnd.ms-excel.threadedcomments+xml"/>
  <Override PartName="/xl/comments127.xml" ContentType="application/vnd.openxmlformats-officedocument.spreadsheetml.comments+xml"/>
  <Override PartName="/xl/threadedComments/threadedComment127.xml" ContentType="application/vnd.ms-excel.threadedcomments+xml"/>
  <Override PartName="/xl/comments128.xml" ContentType="application/vnd.openxmlformats-officedocument.spreadsheetml.comments+xml"/>
  <Override PartName="/xl/threadedComments/threadedComment128.xml" ContentType="application/vnd.ms-excel.threadedcomments+xml"/>
  <Override PartName="/xl/comments129.xml" ContentType="application/vnd.openxmlformats-officedocument.spreadsheetml.comments+xml"/>
  <Override PartName="/xl/threadedComments/threadedComment129.xml" ContentType="application/vnd.ms-excel.threadedcomments+xml"/>
  <Override PartName="/xl/comments130.xml" ContentType="application/vnd.openxmlformats-officedocument.spreadsheetml.comments+xml"/>
  <Override PartName="/xl/threadedComments/threadedComment130.xml" ContentType="application/vnd.ms-excel.threadedcomments+xml"/>
  <Override PartName="/xl/comments131.xml" ContentType="application/vnd.openxmlformats-officedocument.spreadsheetml.comments+xml"/>
  <Override PartName="/xl/threadedComments/threadedComment131.xml" ContentType="application/vnd.ms-excel.threadedcomments+xml"/>
  <Override PartName="/xl/comments132.xml" ContentType="application/vnd.openxmlformats-officedocument.spreadsheetml.comments+xml"/>
  <Override PartName="/xl/threadedComments/threadedComment132.xml" ContentType="application/vnd.ms-excel.threadedcomments+xml"/>
  <Override PartName="/xl/comments133.xml" ContentType="application/vnd.openxmlformats-officedocument.spreadsheetml.comments+xml"/>
  <Override PartName="/xl/threadedComments/threadedComment133.xml" ContentType="application/vnd.ms-excel.threadedcomments+xml"/>
  <Override PartName="/xl/comments134.xml" ContentType="application/vnd.openxmlformats-officedocument.spreadsheetml.comments+xml"/>
  <Override PartName="/xl/threadedComments/threadedComment134.xml" ContentType="application/vnd.ms-excel.threadedcomments+xml"/>
  <Override PartName="/xl/comments135.xml" ContentType="application/vnd.openxmlformats-officedocument.spreadsheetml.comments+xml"/>
  <Override PartName="/xl/threadedComments/threadedComment135.xml" ContentType="application/vnd.ms-excel.threadedcomments+xml"/>
  <Override PartName="/xl/comments136.xml" ContentType="application/vnd.openxmlformats-officedocument.spreadsheetml.comments+xml"/>
  <Override PartName="/xl/threadedComments/threadedComment136.xml" ContentType="application/vnd.ms-excel.threadedcomments+xml"/>
  <Override PartName="/xl/comments137.xml" ContentType="application/vnd.openxmlformats-officedocument.spreadsheetml.comments+xml"/>
  <Override PartName="/xl/threadedComments/threadedComment137.xml" ContentType="application/vnd.ms-excel.threadedcomments+xml"/>
  <Override PartName="/xl/comments138.xml" ContentType="application/vnd.openxmlformats-officedocument.spreadsheetml.comments+xml"/>
  <Override PartName="/xl/threadedComments/threadedComment138.xml" ContentType="application/vnd.ms-excel.threadedcomments+xml"/>
  <Override PartName="/xl/comments139.xml" ContentType="application/vnd.openxmlformats-officedocument.spreadsheetml.comments+xml"/>
  <Override PartName="/xl/threadedComments/threadedComment139.xml" ContentType="application/vnd.ms-excel.threadedcomments+xml"/>
  <Override PartName="/xl/comments140.xml" ContentType="application/vnd.openxmlformats-officedocument.spreadsheetml.comments+xml"/>
  <Override PartName="/xl/threadedComments/threadedComment140.xml" ContentType="application/vnd.ms-excel.threadedcomments+xml"/>
  <Override PartName="/xl/comments141.xml" ContentType="application/vnd.openxmlformats-officedocument.spreadsheetml.comments+xml"/>
  <Override PartName="/xl/threadedComments/threadedComment141.xml" ContentType="application/vnd.ms-excel.threadedcomments+xml"/>
  <Override PartName="/xl/comments142.xml" ContentType="application/vnd.openxmlformats-officedocument.spreadsheetml.comments+xml"/>
  <Override PartName="/xl/threadedComments/threadedComment142.xml" ContentType="application/vnd.ms-excel.threadedcomments+xml"/>
  <Override PartName="/xl/comments143.xml" ContentType="application/vnd.openxmlformats-officedocument.spreadsheetml.comments+xml"/>
  <Override PartName="/xl/threadedComments/threadedComment143.xml" ContentType="application/vnd.ms-excel.threadedcomments+xml"/>
  <Override PartName="/xl/comments144.xml" ContentType="application/vnd.openxmlformats-officedocument.spreadsheetml.comments+xml"/>
  <Override PartName="/xl/threadedComments/threadedComment144.xml" ContentType="application/vnd.ms-excel.threadedcomments+xml"/>
  <Override PartName="/xl/comments145.xml" ContentType="application/vnd.openxmlformats-officedocument.spreadsheetml.comments+xml"/>
  <Override PartName="/xl/threadedComments/threadedComment145.xml" ContentType="application/vnd.ms-excel.threadedcomments+xml"/>
  <Override PartName="/xl/comments146.xml" ContentType="application/vnd.openxmlformats-officedocument.spreadsheetml.comments+xml"/>
  <Override PartName="/xl/threadedComments/threadedComment146.xml" ContentType="application/vnd.ms-excel.threadedcomments+xml"/>
  <Override PartName="/xl/comments147.xml" ContentType="application/vnd.openxmlformats-officedocument.spreadsheetml.comments+xml"/>
  <Override PartName="/xl/threadedComments/threadedComment147.xml" ContentType="application/vnd.ms-excel.threadedcomments+xml"/>
  <Override PartName="/xl/comments148.xml" ContentType="application/vnd.openxmlformats-officedocument.spreadsheetml.comments+xml"/>
  <Override PartName="/xl/threadedComments/threadedComment148.xml" ContentType="application/vnd.ms-excel.threadedcomments+xml"/>
  <Override PartName="/xl/comments149.xml" ContentType="application/vnd.openxmlformats-officedocument.spreadsheetml.comments+xml"/>
  <Override PartName="/xl/threadedComments/threadedComment149.xml" ContentType="application/vnd.ms-excel.threadedcomments+xml"/>
  <Override PartName="/xl/drawings/drawing76.xml" ContentType="application/vnd.openxmlformats-officedocument.drawing+xml"/>
  <Override PartName="/xl/comments150.xml" ContentType="application/vnd.openxmlformats-officedocument.spreadsheetml.comments+xml"/>
  <Override PartName="/xl/threadedComments/threadedComment150.xml" ContentType="application/vnd.ms-excel.threadedcomments+xml"/>
  <Override PartName="/xl/drawings/drawing77.xml" ContentType="application/vnd.openxmlformats-officedocument.drawing+xml"/>
  <Override PartName="/xl/comments151.xml" ContentType="application/vnd.openxmlformats-officedocument.spreadsheetml.comments+xml"/>
  <Override PartName="/xl/threadedComments/threadedComment151.xml" ContentType="application/vnd.ms-excel.threadedcomments+xml"/>
  <Override PartName="/xl/drawings/drawing78.xml" ContentType="application/vnd.openxmlformats-officedocument.drawing+xml"/>
  <Override PartName="/xl/comments152.xml" ContentType="application/vnd.openxmlformats-officedocument.spreadsheetml.comments+xml"/>
  <Override PartName="/xl/threadedComments/threadedComment152.xml" ContentType="application/vnd.ms-excel.threadedcomments+xml"/>
  <Override PartName="/xl/drawings/drawing79.xml" ContentType="application/vnd.openxmlformats-officedocument.drawing+xml"/>
  <Override PartName="/xl/comments153.xml" ContentType="application/vnd.openxmlformats-officedocument.spreadsheetml.comments+xml"/>
  <Override PartName="/xl/threadedComments/threadedComment153.xml" ContentType="application/vnd.ms-excel.threadedcomments+xml"/>
  <Override PartName="/xl/drawings/drawing80.xml" ContentType="application/vnd.openxmlformats-officedocument.drawing+xml"/>
  <Override PartName="/xl/comments154.xml" ContentType="application/vnd.openxmlformats-officedocument.spreadsheetml.comments+xml"/>
  <Override PartName="/xl/threadedComments/threadedComment154.xml" ContentType="application/vnd.ms-excel.threadedcomments+xml"/>
  <Override PartName="/xl/drawings/drawing81.xml" ContentType="application/vnd.openxmlformats-officedocument.drawing+xml"/>
  <Override PartName="/xl/comments155.xml" ContentType="application/vnd.openxmlformats-officedocument.spreadsheetml.comments+xml"/>
  <Override PartName="/xl/threadedComments/threadedComment155.xml" ContentType="application/vnd.ms-excel.threadedcomments+xml"/>
  <Override PartName="/xl/drawings/drawing82.xml" ContentType="application/vnd.openxmlformats-officedocument.drawing+xml"/>
  <Override PartName="/xl/comments156.xml" ContentType="application/vnd.openxmlformats-officedocument.spreadsheetml.comments+xml"/>
  <Override PartName="/xl/threadedComments/threadedComment156.xml" ContentType="application/vnd.ms-excel.threadedcomments+xml"/>
  <Override PartName="/xl/drawings/drawing83.xml" ContentType="application/vnd.openxmlformats-officedocument.drawing+xml"/>
  <Override PartName="/xl/comments157.xml" ContentType="application/vnd.openxmlformats-officedocument.spreadsheetml.comments+xml"/>
  <Override PartName="/xl/threadedComments/threadedComment157.xml" ContentType="application/vnd.ms-excel.threadedcomments+xml"/>
  <Override PartName="/xl/drawings/drawing84.xml" ContentType="application/vnd.openxmlformats-officedocument.drawing+xml"/>
  <Override PartName="/xl/comments158.xml" ContentType="application/vnd.openxmlformats-officedocument.spreadsheetml.comments+xml"/>
  <Override PartName="/xl/threadedComments/threadedComment158.xml" ContentType="application/vnd.ms-excel.threadedcomments+xml"/>
  <Override PartName="/xl/drawings/drawing85.xml" ContentType="application/vnd.openxmlformats-officedocument.drawing+xml"/>
  <Override PartName="/xl/comments159.xml" ContentType="application/vnd.openxmlformats-officedocument.spreadsheetml.comments+xml"/>
  <Override PartName="/xl/threadedComments/threadedComment159.xml" ContentType="application/vnd.ms-excel.threadedcomments+xml"/>
  <Override PartName="/xl/drawings/drawing86.xml" ContentType="application/vnd.openxmlformats-officedocument.drawing+xml"/>
  <Override PartName="/xl/comments160.xml" ContentType="application/vnd.openxmlformats-officedocument.spreadsheetml.comments+xml"/>
  <Override PartName="/xl/threadedComments/threadedComment160.xml" ContentType="application/vnd.ms-excel.threadedcomments+xml"/>
  <Override PartName="/xl/drawings/drawing87.xml" ContentType="application/vnd.openxmlformats-officedocument.drawing+xml"/>
  <Override PartName="/xl/comments161.xml" ContentType="application/vnd.openxmlformats-officedocument.spreadsheetml.comments+xml"/>
  <Override PartName="/xl/threadedComments/threadedComment161.xml" ContentType="application/vnd.ms-excel.threadedcomments+xml"/>
  <Override PartName="/xl/drawings/drawing88.xml" ContentType="application/vnd.openxmlformats-officedocument.drawing+xml"/>
  <Override PartName="/xl/comments162.xml" ContentType="application/vnd.openxmlformats-officedocument.spreadsheetml.comments+xml"/>
  <Override PartName="/xl/threadedComments/threadedComment162.xml" ContentType="application/vnd.ms-excel.threadedcomments+xml"/>
  <Override PartName="/xl/drawings/drawing89.xml" ContentType="application/vnd.openxmlformats-officedocument.drawing+xml"/>
  <Override PartName="/xl/comments163.xml" ContentType="application/vnd.openxmlformats-officedocument.spreadsheetml.comments+xml"/>
  <Override PartName="/xl/threadedComments/threadedComment163.xml" ContentType="application/vnd.ms-excel.threadedcomments+xml"/>
  <Override PartName="/xl/drawings/drawing90.xml" ContentType="application/vnd.openxmlformats-officedocument.drawing+xml"/>
  <Override PartName="/xl/comments164.xml" ContentType="application/vnd.openxmlformats-officedocument.spreadsheetml.comments+xml"/>
  <Override PartName="/xl/threadedComments/threadedComment164.xml" ContentType="application/vnd.ms-excel.threadedcomments+xml"/>
  <Override PartName="/xl/drawings/drawing91.xml" ContentType="application/vnd.openxmlformats-officedocument.drawing+xml"/>
  <Override PartName="/xl/comments165.xml" ContentType="application/vnd.openxmlformats-officedocument.spreadsheetml.comments+xml"/>
  <Override PartName="/xl/threadedComments/threadedComment165.xml" ContentType="application/vnd.ms-excel.threadedcomments+xml"/>
  <Override PartName="/xl/drawings/drawing92.xml" ContentType="application/vnd.openxmlformats-officedocument.drawing+xml"/>
  <Override PartName="/xl/comments166.xml" ContentType="application/vnd.openxmlformats-officedocument.spreadsheetml.comments+xml"/>
  <Override PartName="/xl/threadedComments/threadedComment166.xml" ContentType="application/vnd.ms-excel.threadedcomments+xml"/>
  <Override PartName="/xl/drawings/drawing93.xml" ContentType="application/vnd.openxmlformats-officedocument.drawing+xml"/>
  <Override PartName="/xl/comments167.xml" ContentType="application/vnd.openxmlformats-officedocument.spreadsheetml.comments+xml"/>
  <Override PartName="/xl/threadedComments/threadedComment167.xml" ContentType="application/vnd.ms-excel.threadedcomments+xml"/>
  <Override PartName="/xl/drawings/drawing94.xml" ContentType="application/vnd.openxmlformats-officedocument.drawing+xml"/>
  <Override PartName="/xl/comments168.xml" ContentType="application/vnd.openxmlformats-officedocument.spreadsheetml.comments+xml"/>
  <Override PartName="/xl/threadedComments/threadedComment168.xml" ContentType="application/vnd.ms-excel.threadedcomments+xml"/>
  <Override PartName="/xl/drawings/drawing95.xml" ContentType="application/vnd.openxmlformats-officedocument.drawing+xml"/>
  <Override PartName="/xl/comments169.xml" ContentType="application/vnd.openxmlformats-officedocument.spreadsheetml.comments+xml"/>
  <Override PartName="/xl/threadedComments/threadedComment169.xml" ContentType="application/vnd.ms-excel.threadedcomments+xml"/>
  <Override PartName="/xl/drawings/drawing96.xml" ContentType="application/vnd.openxmlformats-officedocument.drawing+xml"/>
  <Override PartName="/xl/comments170.xml" ContentType="application/vnd.openxmlformats-officedocument.spreadsheetml.comments+xml"/>
  <Override PartName="/xl/threadedComments/threadedComment170.xml" ContentType="application/vnd.ms-excel.threadedcomments+xml"/>
  <Override PartName="/xl/drawings/drawing97.xml" ContentType="application/vnd.openxmlformats-officedocument.drawing+xml"/>
  <Override PartName="/xl/comments171.xml" ContentType="application/vnd.openxmlformats-officedocument.spreadsheetml.comments+xml"/>
  <Override PartName="/xl/threadedComments/threadedComment171.xml" ContentType="application/vnd.ms-excel.threadedcomments+xml"/>
  <Override PartName="/xl/drawings/drawing98.xml" ContentType="application/vnd.openxmlformats-officedocument.drawing+xml"/>
  <Override PartName="/xl/comments172.xml" ContentType="application/vnd.openxmlformats-officedocument.spreadsheetml.comments+xml"/>
  <Override PartName="/xl/threadedComments/threadedComment172.xml" ContentType="application/vnd.ms-excel.threadedcomments+xml"/>
  <Override PartName="/xl/drawings/drawing99.xml" ContentType="application/vnd.openxmlformats-officedocument.drawing+xml"/>
  <Override PartName="/xl/comments173.xml" ContentType="application/vnd.openxmlformats-officedocument.spreadsheetml.comments+xml"/>
  <Override PartName="/xl/threadedComments/threadedComment173.xml" ContentType="application/vnd.ms-excel.threadedcomments+xml"/>
  <Override PartName="/xl/drawings/drawing100.xml" ContentType="application/vnd.openxmlformats-officedocument.drawing+xml"/>
  <Override PartName="/xl/comments174.xml" ContentType="application/vnd.openxmlformats-officedocument.spreadsheetml.comments+xml"/>
  <Override PartName="/xl/threadedComments/threadedComment174.xml" ContentType="application/vnd.ms-excel.threadedcomments+xml"/>
  <Override PartName="/xl/drawings/drawing101.xml" ContentType="application/vnd.openxmlformats-officedocument.drawing+xml"/>
  <Override PartName="/xl/comments175.xml" ContentType="application/vnd.openxmlformats-officedocument.spreadsheetml.comments+xml"/>
  <Override PartName="/xl/threadedComments/threadedComment175.xml" ContentType="application/vnd.ms-excel.threadedcomments+xml"/>
  <Override PartName="/xl/drawings/drawing102.xml" ContentType="application/vnd.openxmlformats-officedocument.drawing+xml"/>
  <Override PartName="/xl/comments176.xml" ContentType="application/vnd.openxmlformats-officedocument.spreadsheetml.comments+xml"/>
  <Override PartName="/xl/threadedComments/threadedComment176.xml" ContentType="application/vnd.ms-excel.threadedcomments+xml"/>
  <Override PartName="/xl/drawings/drawing103.xml" ContentType="application/vnd.openxmlformats-officedocument.drawing+xml"/>
  <Override PartName="/xl/comments177.xml" ContentType="application/vnd.openxmlformats-officedocument.spreadsheetml.comments+xml"/>
  <Override PartName="/xl/threadedComments/threadedComment177.xml" ContentType="application/vnd.ms-excel.threadedcomments+xml"/>
  <Override PartName="/xl/drawings/drawing104.xml" ContentType="application/vnd.openxmlformats-officedocument.drawing+xml"/>
  <Override PartName="/xl/comments178.xml" ContentType="application/vnd.openxmlformats-officedocument.spreadsheetml.comments+xml"/>
  <Override PartName="/xl/threadedComments/threadedComment178.xml" ContentType="application/vnd.ms-excel.threadedcomments+xml"/>
  <Override PartName="/xl/drawings/drawing105.xml" ContentType="application/vnd.openxmlformats-officedocument.drawing+xml"/>
  <Override PartName="/xl/comments179.xml" ContentType="application/vnd.openxmlformats-officedocument.spreadsheetml.comments+xml"/>
  <Override PartName="/xl/threadedComments/threadedComment179.xml" ContentType="application/vnd.ms-excel.threadedcomments+xml"/>
  <Override PartName="/xl/drawings/drawing106.xml" ContentType="application/vnd.openxmlformats-officedocument.drawing+xml"/>
  <Override PartName="/xl/comments180.xml" ContentType="application/vnd.openxmlformats-officedocument.spreadsheetml.comments+xml"/>
  <Override PartName="/xl/threadedComments/threadedComment180.xml" ContentType="application/vnd.ms-excel.threadedcomments+xml"/>
  <Override PartName="/xl/drawings/drawing107.xml" ContentType="application/vnd.openxmlformats-officedocument.drawing+xml"/>
  <Override PartName="/xl/comments181.xml" ContentType="application/vnd.openxmlformats-officedocument.spreadsheetml.comments+xml"/>
  <Override PartName="/xl/threadedComments/threadedComment181.xml" ContentType="application/vnd.ms-excel.threadedcomments+xml"/>
  <Override PartName="/xl/drawings/drawing108.xml" ContentType="application/vnd.openxmlformats-officedocument.drawing+xml"/>
  <Override PartName="/xl/comments182.xml" ContentType="application/vnd.openxmlformats-officedocument.spreadsheetml.comments+xml"/>
  <Override PartName="/xl/threadedComments/threadedComment182.xml" ContentType="application/vnd.ms-excel.threadedcomments+xml"/>
  <Override PartName="/xl/drawings/drawing109.xml" ContentType="application/vnd.openxmlformats-officedocument.drawing+xml"/>
  <Override PartName="/xl/comments183.xml" ContentType="application/vnd.openxmlformats-officedocument.spreadsheetml.comments+xml"/>
  <Override PartName="/xl/threadedComments/threadedComment183.xml" ContentType="application/vnd.ms-excel.threadedcomments+xml"/>
  <Override PartName="/xl/drawings/drawing110.xml" ContentType="application/vnd.openxmlformats-officedocument.drawing+xml"/>
  <Override PartName="/xl/comments184.xml" ContentType="application/vnd.openxmlformats-officedocument.spreadsheetml.comments+xml"/>
  <Override PartName="/xl/threadedComments/threadedComment184.xml" ContentType="application/vnd.ms-excel.threadedcomments+xml"/>
  <Override PartName="/xl/drawings/drawing111.xml" ContentType="application/vnd.openxmlformats-officedocument.drawing+xml"/>
  <Override PartName="/xl/comments185.xml" ContentType="application/vnd.openxmlformats-officedocument.spreadsheetml.comments+xml"/>
  <Override PartName="/xl/threadedComments/threadedComment185.xml" ContentType="application/vnd.ms-excel.threadedcomments+xml"/>
  <Override PartName="/xl/drawings/drawing112.xml" ContentType="application/vnd.openxmlformats-officedocument.drawing+xml"/>
  <Override PartName="/xl/comments186.xml" ContentType="application/vnd.openxmlformats-officedocument.spreadsheetml.comments+xml"/>
  <Override PartName="/xl/threadedComments/threadedComment186.xml" ContentType="application/vnd.ms-excel.threadedcomments+xml"/>
  <Override PartName="/xl/drawings/drawing113.xml" ContentType="application/vnd.openxmlformats-officedocument.drawing+xml"/>
  <Override PartName="/xl/comments187.xml" ContentType="application/vnd.openxmlformats-officedocument.spreadsheetml.comments+xml"/>
  <Override PartName="/xl/threadedComments/threadedComment187.xml" ContentType="application/vnd.ms-excel.threadedcomments+xml"/>
  <Override PartName="/xl/drawings/drawing114.xml" ContentType="application/vnd.openxmlformats-officedocument.drawing+xml"/>
  <Override PartName="/xl/comments188.xml" ContentType="application/vnd.openxmlformats-officedocument.spreadsheetml.comments+xml"/>
  <Override PartName="/xl/threadedComments/threadedComment188.xml" ContentType="application/vnd.ms-excel.threadedcomments+xml"/>
  <Override PartName="/xl/drawings/drawing115.xml" ContentType="application/vnd.openxmlformats-officedocument.drawing+xml"/>
  <Override PartName="/xl/comments189.xml" ContentType="application/vnd.openxmlformats-officedocument.spreadsheetml.comments+xml"/>
  <Override PartName="/xl/threadedComments/threadedComment189.xml" ContentType="application/vnd.ms-excel.threadedcomments+xml"/>
  <Override PartName="/xl/drawings/drawing116.xml" ContentType="application/vnd.openxmlformats-officedocument.drawing+xml"/>
  <Override PartName="/xl/comments190.xml" ContentType="application/vnd.openxmlformats-officedocument.spreadsheetml.comments+xml"/>
  <Override PartName="/xl/threadedComments/threadedComment190.xml" ContentType="application/vnd.ms-excel.threadedcomments+xml"/>
  <Override PartName="/xl/drawings/drawing117.xml" ContentType="application/vnd.openxmlformats-officedocument.drawing+xml"/>
  <Override PartName="/xl/comments191.xml" ContentType="application/vnd.openxmlformats-officedocument.spreadsheetml.comments+xml"/>
  <Override PartName="/xl/threadedComments/threadedComment191.xml" ContentType="application/vnd.ms-excel.threadedcomments+xml"/>
  <Override PartName="/xl/drawings/drawing118.xml" ContentType="application/vnd.openxmlformats-officedocument.drawing+xml"/>
  <Override PartName="/xl/comments192.xml" ContentType="application/vnd.openxmlformats-officedocument.spreadsheetml.comments+xml"/>
  <Override PartName="/xl/threadedComments/threadedComment192.xml" ContentType="application/vnd.ms-excel.threadedcomments+xml"/>
  <Override PartName="/xl/drawings/drawing119.xml" ContentType="application/vnd.openxmlformats-officedocument.drawing+xml"/>
  <Override PartName="/xl/comments193.xml" ContentType="application/vnd.openxmlformats-officedocument.spreadsheetml.comments+xml"/>
  <Override PartName="/xl/threadedComments/threadedComment193.xml" ContentType="application/vnd.ms-excel.threadedcomments+xml"/>
  <Override PartName="/xl/drawings/drawing120.xml" ContentType="application/vnd.openxmlformats-officedocument.drawing+xml"/>
  <Override PartName="/xl/comments194.xml" ContentType="application/vnd.openxmlformats-officedocument.spreadsheetml.comments+xml"/>
  <Override PartName="/xl/threadedComments/threadedComment194.xml" ContentType="application/vnd.ms-excel.threadedcomments+xml"/>
  <Override PartName="/xl/drawings/drawing121.xml" ContentType="application/vnd.openxmlformats-officedocument.drawing+xml"/>
  <Override PartName="/xl/comments195.xml" ContentType="application/vnd.openxmlformats-officedocument.spreadsheetml.comments+xml"/>
  <Override PartName="/xl/threadedComments/threadedComment195.xml" ContentType="application/vnd.ms-excel.threadedcomments+xml"/>
  <Override PartName="/xl/drawings/drawing122.xml" ContentType="application/vnd.openxmlformats-officedocument.drawing+xml"/>
  <Override PartName="/xl/comments196.xml" ContentType="application/vnd.openxmlformats-officedocument.spreadsheetml.comments+xml"/>
  <Override PartName="/xl/threadedComments/threadedComment196.xml" ContentType="application/vnd.ms-excel.threadedcomments+xml"/>
  <Override PartName="/xl/drawings/drawing123.xml" ContentType="application/vnd.openxmlformats-officedocument.drawing+xml"/>
  <Override PartName="/xl/comments197.xml" ContentType="application/vnd.openxmlformats-officedocument.spreadsheetml.comments+xml"/>
  <Override PartName="/xl/threadedComments/threadedComment197.xml" ContentType="application/vnd.ms-excel.threadedcomments+xml"/>
  <Override PartName="/xl/drawings/drawing124.xml" ContentType="application/vnd.openxmlformats-officedocument.drawing+xml"/>
  <Override PartName="/xl/comments198.xml" ContentType="application/vnd.openxmlformats-officedocument.spreadsheetml.comments+xml"/>
  <Override PartName="/xl/threadedComments/threadedComment198.xml" ContentType="application/vnd.ms-excel.threadedcomments+xml"/>
  <Override PartName="/xl/drawings/drawing125.xml" ContentType="application/vnd.openxmlformats-officedocument.drawing+xml"/>
  <Override PartName="/xl/comments199.xml" ContentType="application/vnd.openxmlformats-officedocument.spreadsheetml.comments+xml"/>
  <Override PartName="/xl/threadedComments/threadedComment199.xml" ContentType="application/vnd.ms-excel.threadedcomments+xml"/>
  <Override PartName="/xl/drawings/drawing126.xml" ContentType="application/vnd.openxmlformats-officedocument.drawing+xml"/>
  <Override PartName="/xl/comments200.xml" ContentType="application/vnd.openxmlformats-officedocument.spreadsheetml.comments+xml"/>
  <Override PartName="/xl/threadedComments/threadedComment200.xml" ContentType="application/vnd.ms-excel.threadedcomments+xml"/>
  <Override PartName="/xl/drawings/drawing127.xml" ContentType="application/vnd.openxmlformats-officedocument.drawing+xml"/>
  <Override PartName="/xl/comments201.xml" ContentType="application/vnd.openxmlformats-officedocument.spreadsheetml.comments+xml"/>
  <Override PartName="/xl/threadedComments/threadedComment201.xml" ContentType="application/vnd.ms-excel.threadedcomments+xml"/>
  <Override PartName="/xl/drawings/drawing128.xml" ContentType="application/vnd.openxmlformats-officedocument.drawing+xml"/>
  <Override PartName="/xl/comments202.xml" ContentType="application/vnd.openxmlformats-officedocument.spreadsheetml.comments+xml"/>
  <Override PartName="/xl/threadedComments/threadedComment202.xml" ContentType="application/vnd.ms-excel.threadedcomments+xml"/>
  <Override PartName="/xl/drawings/drawing129.xml" ContentType="application/vnd.openxmlformats-officedocument.drawing+xml"/>
  <Override PartName="/xl/comments203.xml" ContentType="application/vnd.openxmlformats-officedocument.spreadsheetml.comments+xml"/>
  <Override PartName="/xl/threadedComments/threadedComment203.xml" ContentType="application/vnd.ms-excel.threadedcomments+xml"/>
  <Override PartName="/xl/drawings/drawing130.xml" ContentType="application/vnd.openxmlformats-officedocument.drawing+xml"/>
  <Override PartName="/xl/comments204.xml" ContentType="application/vnd.openxmlformats-officedocument.spreadsheetml.comments+xml"/>
  <Override PartName="/xl/threadedComments/threadedComment204.xml" ContentType="application/vnd.ms-excel.threadedcomments+xml"/>
  <Override PartName="/xl/drawings/drawing131.xml" ContentType="application/vnd.openxmlformats-officedocument.drawing+xml"/>
  <Override PartName="/xl/comments205.xml" ContentType="application/vnd.openxmlformats-officedocument.spreadsheetml.comments+xml"/>
  <Override PartName="/xl/threadedComments/threadedComment205.xml" ContentType="application/vnd.ms-excel.threadedcomments+xml"/>
  <Override PartName="/xl/drawings/drawing132.xml" ContentType="application/vnd.openxmlformats-officedocument.drawing+xml"/>
  <Override PartName="/xl/comments206.xml" ContentType="application/vnd.openxmlformats-officedocument.spreadsheetml.comments+xml"/>
  <Override PartName="/xl/threadedComments/threadedComment206.xml" ContentType="application/vnd.ms-excel.threadedcomments+xml"/>
  <Override PartName="/xl/drawings/drawing133.xml" ContentType="application/vnd.openxmlformats-officedocument.drawing+xml"/>
  <Override PartName="/xl/comments207.xml" ContentType="application/vnd.openxmlformats-officedocument.spreadsheetml.comments+xml"/>
  <Override PartName="/xl/threadedComments/threadedComment207.xml" ContentType="application/vnd.ms-excel.threadedcomments+xml"/>
  <Override PartName="/xl/drawings/drawing134.xml" ContentType="application/vnd.openxmlformats-officedocument.drawing+xml"/>
  <Override PartName="/xl/comments208.xml" ContentType="application/vnd.openxmlformats-officedocument.spreadsheetml.comments+xml"/>
  <Override PartName="/xl/threadedComments/threadedComment208.xml" ContentType="application/vnd.ms-excel.threadedcomments+xml"/>
  <Override PartName="/xl/drawings/drawing135.xml" ContentType="application/vnd.openxmlformats-officedocument.drawing+xml"/>
  <Override PartName="/xl/comments209.xml" ContentType="application/vnd.openxmlformats-officedocument.spreadsheetml.comments+xml"/>
  <Override PartName="/xl/threadedComments/threadedComment209.xml" ContentType="application/vnd.ms-excel.threadedcomments+xml"/>
  <Override PartName="/xl/drawings/drawing136.xml" ContentType="application/vnd.openxmlformats-officedocument.drawing+xml"/>
  <Override PartName="/xl/comments210.xml" ContentType="application/vnd.openxmlformats-officedocument.spreadsheetml.comments+xml"/>
  <Override PartName="/xl/threadedComments/threadedComment210.xml" ContentType="application/vnd.ms-excel.threadedcomments+xml"/>
  <Override PartName="/xl/drawings/drawing137.xml" ContentType="application/vnd.openxmlformats-officedocument.drawing+xml"/>
  <Override PartName="/xl/comments211.xml" ContentType="application/vnd.openxmlformats-officedocument.spreadsheetml.comments+xml"/>
  <Override PartName="/xl/threadedComments/threadedComment211.xml" ContentType="application/vnd.ms-excel.threadedcomments+xml"/>
  <Override PartName="/xl/drawings/drawing138.xml" ContentType="application/vnd.openxmlformats-officedocument.drawing+xml"/>
  <Override PartName="/xl/comments212.xml" ContentType="application/vnd.openxmlformats-officedocument.spreadsheetml.comments+xml"/>
  <Override PartName="/xl/threadedComments/threadedComment212.xml" ContentType="application/vnd.ms-excel.threadedcomments+xml"/>
  <Override PartName="/xl/drawings/drawing139.xml" ContentType="application/vnd.openxmlformats-officedocument.drawing+xml"/>
  <Override PartName="/xl/comments213.xml" ContentType="application/vnd.openxmlformats-officedocument.spreadsheetml.comments+xml"/>
  <Override PartName="/xl/threadedComments/threadedComment213.xml" ContentType="application/vnd.ms-excel.threadedcomments+xml"/>
  <Override PartName="/xl/drawings/drawing140.xml" ContentType="application/vnd.openxmlformats-officedocument.drawing+xml"/>
  <Override PartName="/xl/comments214.xml" ContentType="application/vnd.openxmlformats-officedocument.spreadsheetml.comments+xml"/>
  <Override PartName="/xl/threadedComments/threadedComment214.xml" ContentType="application/vnd.ms-excel.threadedcomments+xml"/>
  <Override PartName="/xl/drawings/drawing141.xml" ContentType="application/vnd.openxmlformats-officedocument.drawing+xml"/>
  <Override PartName="/xl/comments215.xml" ContentType="application/vnd.openxmlformats-officedocument.spreadsheetml.comments+xml"/>
  <Override PartName="/xl/threadedComments/threadedComment215.xml" ContentType="application/vnd.ms-excel.threadedcomments+xml"/>
  <Override PartName="/xl/drawings/drawing142.xml" ContentType="application/vnd.openxmlformats-officedocument.drawing+xml"/>
  <Override PartName="/xl/comments216.xml" ContentType="application/vnd.openxmlformats-officedocument.spreadsheetml.comments+xml"/>
  <Override PartName="/xl/threadedComments/threadedComment216.xml" ContentType="application/vnd.ms-excel.threadedcomments+xml"/>
  <Override PartName="/xl/drawings/drawing143.xml" ContentType="application/vnd.openxmlformats-officedocument.drawing+xml"/>
  <Override PartName="/xl/comments217.xml" ContentType="application/vnd.openxmlformats-officedocument.spreadsheetml.comments+xml"/>
  <Override PartName="/xl/threadedComments/threadedComment217.xml" ContentType="application/vnd.ms-excel.threadedcomments+xml"/>
  <Override PartName="/xl/drawings/drawing144.xml" ContentType="application/vnd.openxmlformats-officedocument.drawing+xml"/>
  <Override PartName="/xl/comments218.xml" ContentType="application/vnd.openxmlformats-officedocument.spreadsheetml.comments+xml"/>
  <Override PartName="/xl/threadedComments/threadedComment218.xml" ContentType="application/vnd.ms-excel.threadedcomments+xml"/>
  <Override PartName="/xl/drawings/drawing145.xml" ContentType="application/vnd.openxmlformats-officedocument.drawing+xml"/>
  <Override PartName="/xl/comments219.xml" ContentType="application/vnd.openxmlformats-officedocument.spreadsheetml.comments+xml"/>
  <Override PartName="/xl/threadedComments/threadedComment219.xml" ContentType="application/vnd.ms-excel.threadedcomments+xml"/>
  <Override PartName="/xl/drawings/drawing146.xml" ContentType="application/vnd.openxmlformats-officedocument.drawing+xml"/>
  <Override PartName="/xl/comments220.xml" ContentType="application/vnd.openxmlformats-officedocument.spreadsheetml.comments+xml"/>
  <Override PartName="/xl/threadedComments/threadedComment220.xml" ContentType="application/vnd.ms-excel.threadedcomments+xml"/>
  <Override PartName="/xl/drawings/drawing147.xml" ContentType="application/vnd.openxmlformats-officedocument.drawing+xml"/>
  <Override PartName="/xl/comments221.xml" ContentType="application/vnd.openxmlformats-officedocument.spreadsheetml.comments+xml"/>
  <Override PartName="/xl/threadedComments/threadedComment221.xml" ContentType="application/vnd.ms-excel.threadedcomments+xml"/>
  <Override PartName="/xl/drawings/drawing148.xml" ContentType="application/vnd.openxmlformats-officedocument.drawing+xml"/>
  <Override PartName="/xl/comments222.xml" ContentType="application/vnd.openxmlformats-officedocument.spreadsheetml.comments+xml"/>
  <Override PartName="/xl/threadedComments/threadedComment222.xml" ContentType="application/vnd.ms-excel.threadedcomments+xml"/>
  <Override PartName="/xl/drawings/drawing149.xml" ContentType="application/vnd.openxmlformats-officedocument.drawing+xml"/>
  <Override PartName="/xl/comments223.xml" ContentType="application/vnd.openxmlformats-officedocument.spreadsheetml.comments+xml"/>
  <Override PartName="/xl/threadedComments/threadedComment223.xml" ContentType="application/vnd.ms-excel.threadedcomments+xml"/>
  <Override PartName="/xl/drawings/drawing150.xml" ContentType="application/vnd.openxmlformats-officedocument.drawing+xml"/>
  <Override PartName="/xl/comments224.xml" ContentType="application/vnd.openxmlformats-officedocument.spreadsheetml.comments+xml"/>
  <Override PartName="/xl/threadedComments/threadedComment224.xml" ContentType="application/vnd.ms-excel.threadedcomments+xml"/>
  <Override PartName="/xl/drawings/drawing151.xml" ContentType="application/vnd.openxmlformats-officedocument.drawing+xml"/>
  <Override PartName="/xl/comments225.xml" ContentType="application/vnd.openxmlformats-officedocument.spreadsheetml.comments+xml"/>
  <Override PartName="/xl/threadedComments/threadedComment225.xml" ContentType="application/vnd.ms-excel.threadedcomments+xml"/>
  <Override PartName="/xl/drawings/drawing152.xml" ContentType="application/vnd.openxmlformats-officedocument.drawing+xml"/>
  <Override PartName="/xl/comments226.xml" ContentType="application/vnd.openxmlformats-officedocument.spreadsheetml.comments+xml"/>
  <Override PartName="/xl/threadedComments/threadedComment226.xml" ContentType="application/vnd.ms-excel.threadedcomments+xml"/>
  <Override PartName="/xl/drawings/drawing153.xml" ContentType="application/vnd.openxmlformats-officedocument.drawing+xml"/>
  <Override PartName="/xl/comments227.xml" ContentType="application/vnd.openxmlformats-officedocument.spreadsheetml.comments+xml"/>
  <Override PartName="/xl/threadedComments/threadedComment227.xml" ContentType="application/vnd.ms-excel.threadedcomments+xml"/>
  <Override PartName="/xl/drawings/drawing154.xml" ContentType="application/vnd.openxmlformats-officedocument.drawing+xml"/>
  <Override PartName="/xl/comments228.xml" ContentType="application/vnd.openxmlformats-officedocument.spreadsheetml.comments+xml"/>
  <Override PartName="/xl/threadedComments/threadedComment228.xml" ContentType="application/vnd.ms-excel.threadedcomments+xml"/>
  <Override PartName="/xl/drawings/drawing155.xml" ContentType="application/vnd.openxmlformats-officedocument.drawing+xml"/>
  <Override PartName="/xl/comments229.xml" ContentType="application/vnd.openxmlformats-officedocument.spreadsheetml.comments+xml"/>
  <Override PartName="/xl/threadedComments/threadedComment229.xml" ContentType="application/vnd.ms-excel.threadedcomments+xml"/>
  <Override PartName="/xl/drawings/drawing156.xml" ContentType="application/vnd.openxmlformats-officedocument.drawing+xml"/>
  <Override PartName="/xl/comments230.xml" ContentType="application/vnd.openxmlformats-officedocument.spreadsheetml.comments+xml"/>
  <Override PartName="/xl/threadedComments/threadedComment230.xml" ContentType="application/vnd.ms-excel.threadedcomments+xml"/>
  <Override PartName="/xl/drawings/drawing157.xml" ContentType="application/vnd.openxmlformats-officedocument.drawing+xml"/>
  <Override PartName="/xl/comments231.xml" ContentType="application/vnd.openxmlformats-officedocument.spreadsheetml.comments+xml"/>
  <Override PartName="/xl/threadedComments/threadedComment231.xml" ContentType="application/vnd.ms-excel.threadedcomments+xml"/>
  <Override PartName="/xl/drawings/drawing158.xml" ContentType="application/vnd.openxmlformats-officedocument.drawing+xml"/>
  <Override PartName="/xl/comments232.xml" ContentType="application/vnd.openxmlformats-officedocument.spreadsheetml.comments+xml"/>
  <Override PartName="/xl/threadedComments/threadedComment232.xml" ContentType="application/vnd.ms-excel.threadedcomments+xml"/>
  <Override PartName="/xl/drawings/drawing159.xml" ContentType="application/vnd.openxmlformats-officedocument.drawing+xml"/>
  <Override PartName="/xl/comments233.xml" ContentType="application/vnd.openxmlformats-officedocument.spreadsheetml.comments+xml"/>
  <Override PartName="/xl/threadedComments/threadedComment233.xml" ContentType="application/vnd.ms-excel.threadedcomments+xml"/>
  <Override PartName="/xl/drawings/drawing160.xml" ContentType="application/vnd.openxmlformats-officedocument.drawing+xml"/>
  <Override PartName="/xl/comments234.xml" ContentType="application/vnd.openxmlformats-officedocument.spreadsheetml.comments+xml"/>
  <Override PartName="/xl/threadedComments/threadedComment234.xml" ContentType="application/vnd.ms-excel.threadedcomments+xml"/>
  <Override PartName="/xl/drawings/drawing161.xml" ContentType="application/vnd.openxmlformats-officedocument.drawing+xml"/>
  <Override PartName="/xl/comments235.xml" ContentType="application/vnd.openxmlformats-officedocument.spreadsheetml.comments+xml"/>
  <Override PartName="/xl/threadedComments/threadedComment235.xml" ContentType="application/vnd.ms-excel.threadedcomments+xml"/>
  <Override PartName="/xl/drawings/drawing162.xml" ContentType="application/vnd.openxmlformats-officedocument.drawing+xml"/>
  <Override PartName="/xl/comments236.xml" ContentType="application/vnd.openxmlformats-officedocument.spreadsheetml.comments+xml"/>
  <Override PartName="/xl/threadedComments/threadedComment236.xml" ContentType="application/vnd.ms-excel.threadedcomments+xml"/>
  <Override PartName="/xl/drawings/drawing163.xml" ContentType="application/vnd.openxmlformats-officedocument.drawing+xml"/>
  <Override PartName="/xl/comments237.xml" ContentType="application/vnd.openxmlformats-officedocument.spreadsheetml.comments+xml"/>
  <Override PartName="/xl/threadedComments/threadedComment237.xml" ContentType="application/vnd.ms-excel.threadedcomments+xml"/>
  <Override PartName="/xl/drawings/drawing164.xml" ContentType="application/vnd.openxmlformats-officedocument.drawing+xml"/>
  <Override PartName="/xl/comments238.xml" ContentType="application/vnd.openxmlformats-officedocument.spreadsheetml.comments+xml"/>
  <Override PartName="/xl/threadedComments/threadedComment238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f74bef770805fc/Desktop/Real Estate Investing Folder/REI Analyses/"/>
    </mc:Choice>
  </mc:AlternateContent>
  <xr:revisionPtr revIDLastSave="3436" documentId="8_{B923D896-F7F5-4AF7-8348-3238180479BA}" xr6:coauthVersionLast="45" xr6:coauthVersionMax="45" xr10:uidLastSave="{63034D24-4150-4A2B-8353-7C62724BEAAF}"/>
  <bookViews>
    <workbookView xWindow="780" yWindow="780" windowWidth="15375" windowHeight="7875" firstSheet="234" activeTab="234" xr2:uid="{E80E7D75-E0F5-486C-B93F-1B11EC6915DC}"/>
  </bookViews>
  <sheets>
    <sheet name="1241 72nd, Windsor Heights, Iow" sheetId="1" r:id="rId1"/>
    <sheet name="1904 52nd Street Des Moines, Io" sheetId="2" r:id="rId2"/>
    <sheet name="4900 Douglas Avenue Des Moines," sheetId="3" r:id="rId3"/>
    <sheet name="1312 9th St Des Moines , Iowa" sheetId="4" r:id="rId4"/>
    <sheet name="1130 66th St, Windsor Heights, " sheetId="5" r:id="rId5"/>
    <sheet name="1409 University Ave, Des Moines" sheetId="6" r:id="rId6"/>
    <sheet name="3121 Victoria Dr, Des Moines, I" sheetId="7" r:id="rId7"/>
    <sheet name="1204 Southeast Belmont Drive, A" sheetId="8" r:id="rId8"/>
    <sheet name="6746 NW 4th Ct, Des Moines, IA," sheetId="9" r:id="rId9"/>
    <sheet name="302 SE 2nd St, Ankeny, IA, 5002" sheetId="10" r:id="rId10"/>
    <sheet name="2914 SW Glenbrooke Blvd, Ankeny" sheetId="11" r:id="rId11"/>
    <sheet name="625 12th Street, West Des Moine" sheetId="12" r:id="rId12"/>
    <sheet name="4218 Northwest Linwood Drive, A" sheetId="13" r:id="rId13"/>
    <sheet name="15411 Aurora Ave, Urbandale, IA" sheetId="14" r:id="rId14"/>
    <sheet name="8838 Woodmayr Dr, Norwalk, IA, " sheetId="15" r:id="rId15"/>
    <sheet name="2812 SW Plaza Ln, Ankeny, IA, 2" sheetId="16" r:id="rId16"/>
    <sheet name="843 Euclid Ave, Des Moines, IA," sheetId="17" r:id="rId17"/>
    <sheet name="4320 66th St, Urbandale, IA, 50" sheetId="18" r:id="rId18"/>
    <sheet name="1910 7th Street, Des Moines, Io" sheetId="19" r:id="rId19"/>
    <sheet name="5600 Hickman Rd, Des Moines, IA" sheetId="20" r:id="rId20"/>
    <sheet name="505 6th Street Pl SE, Altoona, " sheetId="21" r:id="rId21"/>
    <sheet name="3914 77th St, Urbandale, IA 503" sheetId="22" r:id="rId22"/>
    <sheet name="863 NW 45th Ave, Des Moines, IA" sheetId="23" r:id="rId23"/>
    <sheet name="3009 NW 29th St, Ankeny, IA 500" sheetId="24" r:id="rId24"/>
    <sheet name="4009 Douglas Avenue, Des Moines" sheetId="25" r:id="rId25"/>
    <sheet name="805 Southeast Belmont Drive, An" sheetId="26" r:id="rId26"/>
    <sheet name="1204 SE Belmont Dr, Ankeny, IA " sheetId="27" r:id="rId27"/>
    <sheet name="2812 SW Plaza Ln, Ankeny, IA, 5" sheetId="28" r:id="rId28"/>
    <sheet name="2319 SW 35th St, Ankeny, IA, 50" sheetId="29" r:id="rId29"/>
    <sheet name="302 SE 2nd St, Ankeny, IA 2" sheetId="30" r:id="rId30"/>
    <sheet name="2124 University Avenue, Des Moi" sheetId="31" r:id="rId31"/>
    <sheet name="704 7th Ave SE, Altoona, IA, 50" sheetId="32" r:id="rId32"/>
    <sheet name="4249 Morton Ave, Des Moines, IA" sheetId="33" r:id="rId33"/>
    <sheet name="4602 Meadow Valley Dr, West Des" sheetId="34" r:id="rId34"/>
    <sheet name="2405 Maple St, West Des Moines," sheetId="35" r:id="rId35"/>
    <sheet name="14612 Westbrook Dr, Urbandale, " sheetId="36" r:id="rId36"/>
    <sheet name="928 Hunter Dr, Norwalk, IA, 502" sheetId="40" r:id="rId37"/>
    <sheet name="3809 8th St, Des Moines, IA, 50" sheetId="37" r:id="rId38"/>
    <sheet name="1023 SE Chaparal Dr, Ankeny, IA" sheetId="38" r:id="rId39"/>
    <sheet name="Lovington House FB Marketplace" sheetId="39" r:id="rId40"/>
    <sheet name="1109 Parkhill Dr, Norwalk, IA, " sheetId="41" r:id="rId41"/>
    <sheet name="928 Hunter Dr, Norwalk, IA, 2" sheetId="42" r:id="rId42"/>
    <sheet name="4213 Aurora Avenue, Des Moines," sheetId="43" r:id="rId43"/>
    <sheet name="4607 Amick Ave, Des Moines, IA " sheetId="44" r:id="rId44"/>
    <sheet name="817 Pioneer Road, Des Moines, I" sheetId="45" r:id="rId45"/>
    <sheet name="1421 NW Pebble Dr, Ankeny, IA, " sheetId="46" r:id="rId46"/>
    <sheet name="6281 NW 54th Ct, Johnston, IA, " sheetId="47" r:id="rId47"/>
    <sheet name="4300 74th St, Urbandale, IA, 50" sheetId="48" r:id="rId48"/>
    <sheet name="625 22nd St, West Des Moines, I" sheetId="51" r:id="rId49"/>
    <sheet name="700 E Miller Ave, Des Moines, I" sheetId="52" r:id="rId50"/>
    <sheet name="2538 River Meadows Dr, Des Moin" sheetId="53" r:id="rId51"/>
    <sheet name="3620 Franklin Ave, Des Moines, " sheetId="54" r:id="rId52"/>
    <sheet name="9614 Oakwood Dr, Urbandale, IA," sheetId="55" r:id="rId53"/>
    <sheet name="5223 NW 4th St, Ankeny, IA, 500" sheetId="56" r:id="rId54"/>
    <sheet name="6281 Northwest 54th Court, John" sheetId="57" r:id="rId55"/>
    <sheet name="404 NW Norton Cir, Grimes, IA, " sheetId="58" r:id="rId56"/>
    <sheet name="802 Filmore Ave SE, Bondurant, " sheetId="59" r:id="rId57"/>
    <sheet name="4926 Willow Dr, Pleasant Hill, " sheetId="60" r:id="rId58"/>
    <sheet name="4101 Ashworth Rd, West Des Moin" sheetId="61" r:id="rId59"/>
    <sheet name="1705 SE Waddell Way, Waukee, IA" sheetId="62" r:id="rId60"/>
    <sheet name="3022 E 9th St, Des Moines, IA, " sheetId="63" r:id="rId61"/>
    <sheet name="1415 E 13th St, Des Moines, IA," sheetId="64" r:id="rId62"/>
    <sheet name="1226 E University Ave, Des Moin" sheetId="65" r:id="rId63"/>
    <sheet name="2104 36th Street, Rock Island, " sheetId="66" r:id="rId64"/>
    <sheet name="3401-3403 37th Avenue, Moline, " sheetId="67" r:id="rId65"/>
    <sheet name="3517-3519 35th St, Moline, IL," sheetId="68" r:id="rId66"/>
    <sheet name="1419-1421 19th Ave, Moline, IL," sheetId="69" r:id="rId67"/>
    <sheet name="4400 7th Ave, Rock Island, IL, " sheetId="70" r:id="rId68"/>
    <sheet name="422-424 44th St, Moline, IL, 61" sheetId="71" r:id="rId69"/>
    <sheet name="558 34th Ave, East Moline, IL, " sheetId="72" r:id="rId70"/>
    <sheet name="3520-3522 34th St, Moline, IL, " sheetId="73" r:id="rId71"/>
    <sheet name="215 3rd St, Colona, IL, 61241" sheetId="74" r:id="rId72"/>
    <sheet name="1122-1124 3rd St, Moline, IL, 6" sheetId="75" r:id="rId73"/>
    <sheet name="1121 14th St, Moline, IL, 61265" sheetId="76" r:id="rId74"/>
    <sheet name="824 10th St, Silvis, IL, 61282" sheetId="77" r:id="rId75"/>
    <sheet name="1523 29th St, Rock Island, IL, " sheetId="78" r:id="rId76"/>
    <sheet name="808 27th St, Rock Island, Illin" sheetId="79" r:id="rId77"/>
    <sheet name="8116 9th St W, Rock Island, IL," sheetId="80" r:id="rId78"/>
    <sheet name="2515 16th St, Moline, IL, 61265" sheetId="81" r:id="rId79"/>
    <sheet name="1730 10th St, Moline, IL, 61265" sheetId="82" r:id="rId80"/>
    <sheet name="923 21st St, Rock Island, IL, 6" sheetId="83" r:id="rId81"/>
    <sheet name="831 41st St, Rock Island, IL, 6" sheetId="84" r:id="rId82"/>
    <sheet name="2909-2911 7th Ave, Rock Island," sheetId="85" r:id="rId83"/>
    <sheet name="4327 7th Ave, Rock Island, IL, " sheetId="86" r:id="rId84"/>
    <sheet name="2517 W 55th St, Davenport, IA, " sheetId="87" r:id="rId85"/>
    <sheet name="1408-1410 15th Ave, Rock Island" sheetId="88" r:id="rId86"/>
    <sheet name="1919 16th St, Moline, IL, 61265" sheetId="89" r:id="rId87"/>
    <sheet name="1802 4th St, Moline, IL, 61265" sheetId="90" r:id="rId88"/>
    <sheet name="915 20th St, Rock Island, IL, 6" sheetId="91" r:id="rId89"/>
    <sheet name="630 Water St, Colona, IL, 61241" sheetId="92" r:id="rId90"/>
    <sheet name="3204 27th Ave, Rock Island, IL," sheetId="93" r:id="rId91"/>
    <sheet name="2224 24th St, Rock Island, IL, " sheetId="94" r:id="rId92"/>
    <sheet name="1223 14th St, Moline, IL, 61265" sheetId="95" r:id="rId93"/>
    <sheet name="3513-3515 35th St, Moline, IL, " sheetId="96" r:id="rId94"/>
    <sheet name="3509-3511 35th St, Moline, IL, " sheetId="97" r:id="rId95"/>
    <sheet name="1305 2nd Ave, Iowa City, IA, 52" sheetId="98" r:id="rId96"/>
    <sheet name="728 W Donahue St, Eldridge, IA," sheetId="99" r:id="rId97"/>
    <sheet name="2703 N Harrison St, Davenport, " sheetId="100" r:id="rId98"/>
    <sheet name="125 E Bryant St, Walcott, IA, 5" sheetId="101" r:id="rId99"/>
    <sheet name="522 S Lucas St, Iowa City, IA, " sheetId="102" r:id="rId100"/>
    <sheet name="2613 Ferndale Dr, Iowa City, IA" sheetId="103" r:id="rId101"/>
    <sheet name="1233-1235 Dolen Pl, Iowa City, " sheetId="104" r:id="rId102"/>
    <sheet name="1127 Knox Road, Oneida, IL" sheetId="105" r:id="rId103"/>
    <sheet name="541 N Russell Ave, Geneseo, IL," sheetId="106" r:id="rId104"/>
    <sheet name="605 S Tremont St, Kewanee, IL, " sheetId="107" r:id="rId105"/>
    <sheet name="801 W 3rd St, Dixon, IL, 61021" sheetId="108" r:id="rId106"/>
    <sheet name="216 Crawford Ave, Dixon, IL, 61" sheetId="109" r:id="rId107"/>
    <sheet name="505 Dixon Ave, Rock Falls, IL, " sheetId="110" r:id="rId108"/>
    <sheet name="1411-1417 Kinsey Ave, Rockdale," sheetId="111" r:id="rId109"/>
    <sheet name="786 E Benton St, Aurora, IL, 60" sheetId="112" r:id="rId110"/>
    <sheet name="478 E Chicago St, Elgin, IL, 60" sheetId="113" r:id="rId111"/>
    <sheet name="417 E Orange St, Geneseo, IL, 6" sheetId="114" r:id="rId112"/>
    <sheet name="1113 Saint Clements St, Iowa Ci" sheetId="115" r:id="rId113"/>
    <sheet name="303 3rd St, Low Moor, IA, 52757" sheetId="116" r:id="rId114"/>
    <sheet name="535-537 23rd St, Rock Island, I" sheetId="117" r:id="rId115"/>
    <sheet name="1011 6th Ave, Sterling, IL, 610" sheetId="118" r:id="rId116"/>
    <sheet name="811 Leroy Ave, Rock Falls, IL, " sheetId="119" r:id="rId117"/>
    <sheet name="2133 N Division St, Davenport, " sheetId="120" r:id="rId118"/>
    <sheet name="1715-1715 1 2 Fillmore Ln, Dave" sheetId="121" r:id="rId119"/>
    <sheet name="1725 Davie St, Davenport, IA, 5" sheetId="122" r:id="rId120"/>
    <sheet name="2017 17th Street, Rock Island, " sheetId="123" r:id="rId121"/>
    <sheet name="1625-1625 1 2 St, Rock Island, " sheetId="124" r:id="rId122"/>
    <sheet name="1043 16th Ave, East Moline, IL," sheetId="125" r:id="rId123"/>
    <sheet name="2600 11th St, Rock Island, IL, " sheetId="126" r:id="rId124"/>
    <sheet name="619-621 23rd St, Rock Island, I" sheetId="127" r:id="rId125"/>
    <sheet name="352-354 1st St, Moline, IL, 612" sheetId="128" r:id="rId126"/>
    <sheet name="1933 W 2nd St, Davenport, IA, 5" sheetId="129" r:id="rId127"/>
    <sheet name="5809-5811 Jebens Ave, Davenport" sheetId="130" r:id="rId128"/>
    <sheet name="1429 W 14th St, Davenport, IA, " sheetId="131" r:id="rId129"/>
    <sheet name="1149 1151 48th St, Moline, IL, " sheetId="132" r:id="rId130"/>
    <sheet name="1415-1417 11th St, Silvis, IL, " sheetId="133" r:id="rId131"/>
    <sheet name="635 and 637 W 63rd St, Davenpor" sheetId="138" r:id="rId132"/>
    <sheet name="837 17th Ave, East Moline, IL, " sheetId="134" r:id="rId133"/>
    <sheet name="6322 and 6324 Appomattox Rd, Da" sheetId="135" r:id="rId134"/>
    <sheet name="3025 3027 W 66th St, Davenport," sheetId="136" r:id="rId135"/>
    <sheet name="539 W 29th St, Davenport, IA, 5" sheetId="141" r:id="rId136"/>
    <sheet name="1928 Pershing Ave, Davenport, I" sheetId="137" r:id="rId137"/>
    <sheet name="1715-1715 1 2 Fillmore Ln, Dav" sheetId="139" r:id="rId138"/>
    <sheet name="3203 Greenbrier Dr, Bettendorf," sheetId="140" r:id="rId139"/>
    <sheet name="2650 Tanglefoot Ln, Bettendorf," sheetId="142" r:id="rId140"/>
    <sheet name="4210 Bunker Hill Dr, Bettendorf" sheetId="143" r:id="rId141"/>
    <sheet name="3461 Clearwater Dr, Bettendorf," sheetId="144" r:id="rId142"/>
    <sheet name="3855 Greenbrier Dr, Bettendorf," sheetId="145" r:id="rId143"/>
    <sheet name="2714 Heather Ln, Bettendorf, IA" sheetId="146" r:id="rId144"/>
    <sheet name="3502 Greenbrier Dr, Bettendorf," sheetId="147" r:id="rId145"/>
    <sheet name="2702 Crestview Dr, Bettendorf, " sheetId="148" r:id="rId146"/>
    <sheet name="2234 Maplecrest Rd, Bettendorf," sheetId="149" r:id="rId147"/>
    <sheet name="3726 Vogel Ct, Bettendorf, IA, " sheetId="150" r:id="rId148"/>
    <sheet name="1628 Robeson Ave, Bettendorf, I" sheetId="151" r:id="rId149"/>
    <sheet name="1905 Parkway Dr, Bettendorf, IA" sheetId="152" r:id="rId150"/>
    <sheet name="3124 Oxford Dr, Bettendorf, IA," sheetId="153" r:id="rId151"/>
    <sheet name="37 Parklane Cir, Bettendorf, IA" sheetId="154" r:id="rId152"/>
    <sheet name="3405 Grove Pl, Bettendorf, IA, " sheetId="155" r:id="rId153"/>
    <sheet name="3207 Magnolia Ct, Bettendorf, I" sheetId="156" r:id="rId154"/>
    <sheet name="2922 Magnolia Dr, Bettendorf, I" sheetId="157" r:id="rId155"/>
    <sheet name="2626 Heather Ln, Bettendorf, IA" sheetId="158" r:id="rId156"/>
    <sheet name="1830 Central Ave, Bettendorf, I" sheetId="159" r:id="rId157"/>
    <sheet name="2803 Hillside Ct, Bettendorf, I" sheetId="160" r:id="rId158"/>
    <sheet name="1131 Meadow Lane Dr, Bettendorf" sheetId="161" r:id="rId159"/>
    <sheet name="1531 Fairlane Dr, Bettendorf, I" sheetId="162" r:id="rId160"/>
    <sheet name="3018 Oxford Dr, Bettendorf, IA," sheetId="163" r:id="rId161"/>
    <sheet name="1731 Susan Ct, Bettendorf, IA, " sheetId="164" r:id="rId162"/>
    <sheet name="4003 Tanglefoot Ter, Bettendorf" sheetId="165" r:id="rId163"/>
    <sheet name="2347 Hawk Dr, Bettendorf, IA, 5" sheetId="166" r:id="rId164"/>
    <sheet name="4665 Lindbergh Dr, Bettendorf, " sheetId="167" r:id="rId165"/>
    <sheet name="2007 Mississippi Blvd, Bettendo" sheetId="168" r:id="rId166"/>
    <sheet name="2314 Kingsway Dr, Bettendorf, I" sheetId="169" r:id="rId167"/>
    <sheet name="3926 Lexington Ct, Bettendorf, " sheetId="170" r:id="rId168"/>
    <sheet name="2650 Tanglefoot Ln, Bettendorf2" sheetId="171" r:id="rId169"/>
    <sheet name="3685 Sunny Hill Dr, Bettendorf," sheetId="173" r:id="rId170"/>
    <sheet name="1904 Kings Dr, Bettendorf, IA, " sheetId="174" r:id="rId171"/>
    <sheet name="1728 Middle Rd, Bettendorf, IA," sheetId="175" r:id="rId172"/>
    <sheet name="1803 Lincoln Rd, Bettendorf, IA" sheetId="176" r:id="rId173"/>
    <sheet name="2612 Crestview Dr, Bettendorf, " sheetId="177" r:id="rId174"/>
    <sheet name="3419 Kenwood Ave, Davenport, IA" sheetId="178" r:id="rId175"/>
    <sheet name="2602 E 32nd St, Davenport, IA, " sheetId="179" r:id="rId176"/>
    <sheet name="3207 Magnolia Ct, Bettendorf 2" sheetId="180" r:id="rId177"/>
    <sheet name="3967 Valley View Dr, Bettendorf" sheetId="181" r:id="rId178"/>
    <sheet name="7132 Valley Dr, Bettendorf, IA," sheetId="182" r:id="rId179"/>
    <sheet name="3900 Rolling Wood Ct, Bettendor" sheetId="183" r:id="rId180"/>
    <sheet name="3602 Cedarwood Ct, Bettendorf, " sheetId="184" r:id="rId181"/>
    <sheet name="1500 Parklane Dr, Bettendorf, I" sheetId="185" r:id="rId182"/>
    <sheet name="2819 Avalon Dr, Bettendorf, IA," sheetId="186" r:id="rId183"/>
    <sheet name="4565 Aspen Hills Cir, Bettendor" sheetId="187" r:id="rId184"/>
    <sheet name="3775 Moencks Rd, Bettendorf, IA" sheetId="188" r:id="rId185"/>
    <sheet name="5516 Joshua St, Bettendorf, IA," sheetId="189" r:id="rId186"/>
    <sheet name="2230 W 55th St, Davenport, IA, " sheetId="190" r:id="rId187"/>
    <sheet name="4433 N Pine St, Davenport, IA, " sheetId="191" r:id="rId188"/>
    <sheet name="2033 W 59th St, Davenport, IA, " sheetId="192" r:id="rId189"/>
    <sheet name="3247 Sunburst Dr, Bettendorf, I" sheetId="193" r:id="rId190"/>
    <sheet name="3018 Oxford Dr, Bettendorf, IA " sheetId="194" r:id="rId191"/>
    <sheet name="4114 White Pines Dr, Davenport," sheetId="195" r:id="rId192"/>
    <sheet name="1810 W 54th St, Davenport, IA, " sheetId="196" r:id="rId193"/>
    <sheet name="217 W 46th St, Davenport, IA, 5" sheetId="197" r:id="rId194"/>
    <sheet name="769 W 46th St, Davenport, IA, 5" sheetId="198" r:id="rId195"/>
    <sheet name="4505 Sheridan St, Davenport, IA" sheetId="199" r:id="rId196"/>
    <sheet name="5211 Brown St, Davenport, IA, 5" sheetId="200" r:id="rId197"/>
    <sheet name="2503 Sheffield Dr, Davenport, I" sheetId="201" r:id="rId198"/>
    <sheet name="2028 W 49th St, Davenport, IA, " sheetId="202" r:id="rId199"/>
    <sheet name="2029 W 51st St," sheetId="203" r:id="rId200"/>
    <sheet name="2376 W 49th St, Davenport, IA, " sheetId="204" r:id="rId201"/>
    <sheet name="3130 W 2nd St, Davenport, IA, 5" sheetId="205" r:id="rId202"/>
    <sheet name="611 E Columbia Ave, Davenport, " sheetId="206" r:id="rId203"/>
    <sheet name="803 W Rusholme St, Davenport, I" sheetId="207" r:id="rId204"/>
    <sheet name="841-843 15th Ave, East Moline, " sheetId="208" r:id="rId205"/>
    <sheet name="2523 Glenn St, Bettendorf, IA, " sheetId="209" r:id="rId206"/>
    <sheet name="1711 Parkway Dr, Bettendorf, IA" sheetId="210" r:id="rId207"/>
    <sheet name="2524 7th St, East Moline, IL, 6" sheetId="211" r:id="rId208"/>
    <sheet name="1134 52nd Street Ct, Moline, IL" sheetId="212" r:id="rId209"/>
    <sheet name="1218 49th St, Moline, IL, 61265" sheetId="213" r:id="rId210"/>
    <sheet name="220 30th Ave, East Moline, IL, " sheetId="214" r:id="rId211"/>
    <sheet name="2614 2nd Street Ct, East Moline" sheetId="215" r:id="rId212"/>
    <sheet name="5214 12th Ave, Moline, IL, 6126" sheetId="216" r:id="rId213"/>
    <sheet name="3632 9th St, East Moline, IL, 6" sheetId="217" r:id="rId214"/>
    <sheet name="215 15th St, Silvis, IL, 61282" sheetId="218" r:id="rId215"/>
    <sheet name="515 8th Ave, Silvis, IL, 61282" sheetId="219" r:id="rId216"/>
    <sheet name="1214 37th St, Rock Island, IL, " sheetId="220" r:id="rId217"/>
    <sheet name="1518 32nd St, Rock Island, IL, " sheetId="221" r:id="rId218"/>
    <sheet name="1531 29 1 2 St, Rock Island, IL" sheetId="222" r:id="rId219"/>
    <sheet name="2607 47th St, Moline, IL, 61265" sheetId="223" r:id="rId220"/>
    <sheet name="1920 32nd St, Moline, IL, 61265" sheetId="224" r:id="rId221"/>
    <sheet name="2553 30th Avenue Ct, Moline, IL" sheetId="225" r:id="rId222"/>
    <sheet name="1726 10th St, Moline, IL, 61265" sheetId="226" r:id="rId223"/>
    <sheet name="1924 13th St, East Moline, IL, " sheetId="227" r:id="rId224"/>
    <sheet name="2035 12th St, East Moline, IL, " sheetId="228" r:id="rId225"/>
    <sheet name="7203 N Pine St, Davenport, IA, " sheetId="229" r:id="rId226"/>
    <sheet name="2714 W 69th St, Davenport, IA, " sheetId="230" r:id="rId227"/>
    <sheet name="2172 Stadium Dr, Rock Island, I" sheetId="231" r:id="rId228"/>
    <sheet name="3223 N Division St, Davenport, " sheetId="232" r:id="rId229"/>
    <sheet name="2221 Hickory Grove Rd, Davenpor" sheetId="233" r:id="rId230"/>
    <sheet name="2618 Arlington Ave, Davenport, " sheetId="234" r:id="rId231"/>
    <sheet name="318 S Main St, Bellevue, IL, 61" sheetId="235" r:id="rId232"/>
    <sheet name="3806 N Donna Ln, Peoria, IL, 61" sheetId="236" r:id="rId233"/>
    <sheet name="2702-04 W Millbrook Ct, Peoria," sheetId="237" r:id="rId234"/>
    <sheet name="House 169 (70)" sheetId="238" r:id="rId235"/>
    <sheet name="House 169 (71)" sheetId="239" r:id="rId236"/>
    <sheet name="House 169 (72)" sheetId="240" r:id="rId237"/>
    <sheet name="House 169 (73)" sheetId="241" r:id="rId2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0" i="238" l="1"/>
  <c r="E28" i="238"/>
  <c r="B46" i="238"/>
  <c r="I35" i="241" l="1"/>
  <c r="I34" i="241"/>
  <c r="I33" i="241"/>
  <c r="I32" i="241"/>
  <c r="I36" i="241" s="1"/>
  <c r="I27" i="241"/>
  <c r="B28" i="241" s="1"/>
  <c r="B30" i="241" s="1"/>
  <c r="E27" i="241"/>
  <c r="E28" i="241" s="1"/>
  <c r="E23" i="241"/>
  <c r="B14" i="241" a="1"/>
  <c r="B14" i="241" s="1"/>
  <c r="B15" i="241" s="1"/>
  <c r="B16" i="241" s="1"/>
  <c r="B13" i="241"/>
  <c r="I35" i="240"/>
  <c r="I34" i="240"/>
  <c r="I33" i="240"/>
  <c r="I32" i="240"/>
  <c r="I36" i="240" s="1"/>
  <c r="I27" i="240"/>
  <c r="E27" i="240"/>
  <c r="E23" i="240"/>
  <c r="B14" i="240" a="1"/>
  <c r="B14" i="240" s="1"/>
  <c r="B15" i="240" s="1"/>
  <c r="B16" i="240" s="1"/>
  <c r="B13" i="240"/>
  <c r="I35" i="239"/>
  <c r="I34" i="239"/>
  <c r="I33" i="239"/>
  <c r="I32" i="239"/>
  <c r="I27" i="239"/>
  <c r="E27" i="239"/>
  <c r="E23" i="239"/>
  <c r="B14" i="239" a="1"/>
  <c r="B14" i="239" s="1"/>
  <c r="B15" i="239" s="1"/>
  <c r="B16" i="239" s="1"/>
  <c r="B13" i="239"/>
  <c r="B23" i="237"/>
  <c r="I32" i="237" s="1"/>
  <c r="B13" i="236"/>
  <c r="B23" i="236"/>
  <c r="I33" i="236" s="1"/>
  <c r="B13" i="235"/>
  <c r="B23" i="235"/>
  <c r="I35" i="238"/>
  <c r="I34" i="238"/>
  <c r="I33" i="238"/>
  <c r="I32" i="238"/>
  <c r="I27" i="238"/>
  <c r="E27" i="238"/>
  <c r="E23" i="238"/>
  <c r="B14" i="238" a="1"/>
  <c r="B14" i="238" s="1"/>
  <c r="B15" i="238" s="1"/>
  <c r="B13" i="238"/>
  <c r="I27" i="237"/>
  <c r="E27" i="237"/>
  <c r="E23" i="237"/>
  <c r="B14" i="237" a="1"/>
  <c r="B14" i="237" s="1"/>
  <c r="B15" i="237" s="1"/>
  <c r="B13" i="237"/>
  <c r="I27" i="236"/>
  <c r="E27" i="236"/>
  <c r="E23" i="236"/>
  <c r="B14" i="236" a="1"/>
  <c r="B14" i="236" s="1"/>
  <c r="B15" i="236" s="1"/>
  <c r="B31" i="241" l="1"/>
  <c r="B47" i="241"/>
  <c r="B46" i="241"/>
  <c r="B34" i="241"/>
  <c r="B20" i="241"/>
  <c r="E24" i="241"/>
  <c r="E25" i="241" s="1"/>
  <c r="B17" i="241"/>
  <c r="B19" i="241" s="1"/>
  <c r="B24" i="241"/>
  <c r="B25" i="241" s="1"/>
  <c r="E30" i="241"/>
  <c r="E31" i="241" s="1"/>
  <c r="B16" i="238"/>
  <c r="I36" i="239"/>
  <c r="E28" i="240"/>
  <c r="B47" i="240"/>
  <c r="E24" i="240"/>
  <c r="E25" i="240" s="1"/>
  <c r="B24" i="240"/>
  <c r="B25" i="240" s="1"/>
  <c r="B46" i="240"/>
  <c r="B34" i="240"/>
  <c r="B17" i="240"/>
  <c r="B19" i="240" s="1"/>
  <c r="B28" i="240"/>
  <c r="B30" i="240" s="1"/>
  <c r="E30" i="240"/>
  <c r="B47" i="239"/>
  <c r="B17" i="239"/>
  <c r="B19" i="239" s="1"/>
  <c r="B46" i="239"/>
  <c r="B34" i="239"/>
  <c r="E24" i="239"/>
  <c r="E25" i="239" s="1"/>
  <c r="B24" i="239"/>
  <c r="B25" i="239" s="1"/>
  <c r="E28" i="239"/>
  <c r="B28" i="239"/>
  <c r="B30" i="239" s="1"/>
  <c r="B31" i="239" s="1"/>
  <c r="E30" i="239"/>
  <c r="E31" i="239" s="1"/>
  <c r="I36" i="238"/>
  <c r="B16" i="237"/>
  <c r="B46" i="237" s="1"/>
  <c r="I33" i="237"/>
  <c r="I34" i="237"/>
  <c r="I35" i="237"/>
  <c r="I35" i="236"/>
  <c r="I34" i="236"/>
  <c r="I32" i="236"/>
  <c r="B47" i="238"/>
  <c r="B34" i="238"/>
  <c r="E24" i="238"/>
  <c r="E25" i="238" s="1"/>
  <c r="B24" i="238"/>
  <c r="B25" i="238" s="1"/>
  <c r="B17" i="238"/>
  <c r="B19" i="238" s="1"/>
  <c r="B28" i="238"/>
  <c r="B30" i="238" s="1"/>
  <c r="B16" i="236"/>
  <c r="B46" i="236" s="1"/>
  <c r="B47" i="237"/>
  <c r="B34" i="237"/>
  <c r="E24" i="237"/>
  <c r="E25" i="237" s="1"/>
  <c r="B24" i="237"/>
  <c r="B25" i="237" s="1"/>
  <c r="B13" i="233"/>
  <c r="B13" i="232"/>
  <c r="B41" i="241" l="1"/>
  <c r="B42" i="241" s="1"/>
  <c r="B43" i="241" s="1"/>
  <c r="B44" i="241" s="1"/>
  <c r="B39" i="241"/>
  <c r="B40" i="241" s="1"/>
  <c r="B35" i="241"/>
  <c r="B36" i="241" s="1"/>
  <c r="I36" i="237"/>
  <c r="B28" i="237" s="1"/>
  <c r="B30" i="237" s="1"/>
  <c r="B20" i="240"/>
  <c r="E31" i="240"/>
  <c r="B35" i="240"/>
  <c r="B36" i="240" s="1"/>
  <c r="B31" i="240"/>
  <c r="B20" i="239"/>
  <c r="I36" i="236"/>
  <c r="E28" i="236" s="1"/>
  <c r="B17" i="237"/>
  <c r="B19" i="237" s="1"/>
  <c r="B31" i="237" s="1"/>
  <c r="E30" i="237"/>
  <c r="E28" i="237"/>
  <c r="B17" i="236"/>
  <c r="B19" i="236" s="1"/>
  <c r="B28" i="236"/>
  <c r="B30" i="236" s="1"/>
  <c r="B31" i="236" s="1"/>
  <c r="B24" i="236"/>
  <c r="B25" i="236" s="1"/>
  <c r="E24" i="236"/>
  <c r="E25" i="236" s="1"/>
  <c r="B34" i="236"/>
  <c r="B47" i="236"/>
  <c r="E31" i="238"/>
  <c r="B31" i="238"/>
  <c r="B20" i="238"/>
  <c r="I35" i="235"/>
  <c r="I34" i="235"/>
  <c r="I33" i="235"/>
  <c r="I32" i="235"/>
  <c r="I27" i="235"/>
  <c r="E27" i="235"/>
  <c r="E23" i="235"/>
  <c r="B14" i="235" a="1"/>
  <c r="B14" i="235" s="1"/>
  <c r="B15" i="235" s="1"/>
  <c r="I35" i="234"/>
  <c r="I34" i="234"/>
  <c r="I33" i="234"/>
  <c r="I32" i="234"/>
  <c r="I27" i="234"/>
  <c r="E27" i="234"/>
  <c r="E23" i="234"/>
  <c r="B14" i="234" a="1"/>
  <c r="B14" i="234" s="1"/>
  <c r="B15" i="234" s="1"/>
  <c r="B13" i="234"/>
  <c r="I35" i="233"/>
  <c r="I34" i="233"/>
  <c r="I33" i="233"/>
  <c r="I32" i="233"/>
  <c r="I27" i="233"/>
  <c r="E27" i="233"/>
  <c r="E23" i="233"/>
  <c r="B14" i="233" a="1"/>
  <c r="B14" i="233" s="1"/>
  <c r="B15" i="233" s="1"/>
  <c r="B13" i="231"/>
  <c r="E23" i="230"/>
  <c r="B13" i="230"/>
  <c r="E23" i="229"/>
  <c r="B13" i="229"/>
  <c r="B20" i="236" l="1"/>
  <c r="E30" i="236"/>
  <c r="B41" i="240"/>
  <c r="B42" i="240" s="1"/>
  <c r="B43" i="240" s="1"/>
  <c r="B44" i="240" s="1"/>
  <c r="B39" i="240"/>
  <c r="B40" i="240" s="1"/>
  <c r="B20" i="237"/>
  <c r="E31" i="236"/>
  <c r="B41" i="239"/>
  <c r="B42" i="239" s="1"/>
  <c r="B43" i="239" s="1"/>
  <c r="B44" i="239" s="1"/>
  <c r="B39" i="239"/>
  <c r="B40" i="239" s="1"/>
  <c r="B35" i="239"/>
  <c r="B36" i="239" s="1"/>
  <c r="E31" i="237"/>
  <c r="B35" i="237"/>
  <c r="B36" i="237" s="1"/>
  <c r="B41" i="238"/>
  <c r="B42" i="238" s="1"/>
  <c r="B43" i="238" s="1"/>
  <c r="B44" i="238" s="1"/>
  <c r="B39" i="238"/>
  <c r="B40" i="238" s="1"/>
  <c r="B35" i="238"/>
  <c r="B36" i="238" s="1"/>
  <c r="B16" i="235"/>
  <c r="B46" i="235" s="1"/>
  <c r="I36" i="235"/>
  <c r="E28" i="235" s="1"/>
  <c r="B41" i="236"/>
  <c r="B42" i="236" s="1"/>
  <c r="B43" i="236" s="1"/>
  <c r="B44" i="236" s="1"/>
  <c r="B39" i="236"/>
  <c r="B40" i="236" s="1"/>
  <c r="B35" i="236"/>
  <c r="B36" i="236" s="1"/>
  <c r="I36" i="234"/>
  <c r="E28" i="234" s="1"/>
  <c r="B16" i="234"/>
  <c r="B46" i="234" s="1"/>
  <c r="B16" i="233"/>
  <c r="B34" i="233" s="1"/>
  <c r="I36" i="233"/>
  <c r="E30" i="233" s="1"/>
  <c r="I35" i="232"/>
  <c r="I34" i="232"/>
  <c r="I33" i="232"/>
  <c r="I32" i="232"/>
  <c r="I27" i="232"/>
  <c r="E27" i="232"/>
  <c r="E23" i="232"/>
  <c r="B14" i="232" a="1"/>
  <c r="B14" i="232" s="1"/>
  <c r="B15" i="232" s="1"/>
  <c r="I35" i="231"/>
  <c r="I34" i="231"/>
  <c r="I33" i="231"/>
  <c r="I32" i="231"/>
  <c r="I27" i="231"/>
  <c r="E27" i="231"/>
  <c r="E23" i="231"/>
  <c r="B14" i="231" a="1"/>
  <c r="B14" i="231" s="1"/>
  <c r="B15" i="231" s="1"/>
  <c r="I35" i="230"/>
  <c r="I34" i="230"/>
  <c r="I33" i="230"/>
  <c r="I32" i="230"/>
  <c r="I27" i="230"/>
  <c r="E27" i="230"/>
  <c r="B14" i="230" a="1"/>
  <c r="B14" i="230" s="1"/>
  <c r="B15" i="230" s="1"/>
  <c r="B13" i="228"/>
  <c r="E23" i="227"/>
  <c r="B13" i="227"/>
  <c r="E23" i="226"/>
  <c r="B13" i="226"/>
  <c r="E30" i="235" l="1"/>
  <c r="B28" i="234"/>
  <c r="B30" i="234" s="1"/>
  <c r="B39" i="237"/>
  <c r="B40" i="237" s="1"/>
  <c r="B41" i="237"/>
  <c r="B42" i="237" s="1"/>
  <c r="B43" i="237" s="1"/>
  <c r="B44" i="237" s="1"/>
  <c r="E28" i="233"/>
  <c r="B47" i="234"/>
  <c r="B28" i="235"/>
  <c r="B30" i="235" s="1"/>
  <c r="B28" i="233"/>
  <c r="B30" i="233" s="1"/>
  <c r="B24" i="234"/>
  <c r="B25" i="234" s="1"/>
  <c r="E30" i="234"/>
  <c r="E24" i="235"/>
  <c r="E25" i="235" s="1"/>
  <c r="B24" i="235"/>
  <c r="B25" i="235" s="1"/>
  <c r="B34" i="235"/>
  <c r="B47" i="235"/>
  <c r="B17" i="235"/>
  <c r="E24" i="234"/>
  <c r="E25" i="234" s="1"/>
  <c r="B17" i="234"/>
  <c r="B20" i="234" s="1"/>
  <c r="B17" i="233"/>
  <c r="B20" i="233" s="1"/>
  <c r="B35" i="233" s="1"/>
  <c r="B36" i="233" s="1"/>
  <c r="B47" i="233"/>
  <c r="B34" i="234"/>
  <c r="B24" i="233"/>
  <c r="B25" i="233" s="1"/>
  <c r="B46" i="233"/>
  <c r="E31" i="233"/>
  <c r="B31" i="233"/>
  <c r="E24" i="233"/>
  <c r="E25" i="233" s="1"/>
  <c r="E31" i="234"/>
  <c r="B31" i="234"/>
  <c r="B16" i="232"/>
  <c r="E24" i="232" s="1"/>
  <c r="E25" i="232" s="1"/>
  <c r="I36" i="232"/>
  <c r="B28" i="232" s="1"/>
  <c r="B30" i="232" s="1"/>
  <c r="I36" i="231"/>
  <c r="B28" i="231" s="1"/>
  <c r="B30" i="231" s="1"/>
  <c r="B16" i="231"/>
  <c r="B34" i="231" s="1"/>
  <c r="B16" i="230"/>
  <c r="B46" i="230" s="1"/>
  <c r="I36" i="230"/>
  <c r="E28" i="230" s="1"/>
  <c r="I35" i="229"/>
  <c r="I34" i="229"/>
  <c r="I33" i="229"/>
  <c r="I32" i="229"/>
  <c r="I27" i="229"/>
  <c r="E27" i="229"/>
  <c r="B14" i="229" a="1"/>
  <c r="B14" i="229" s="1"/>
  <c r="B15" i="229" s="1"/>
  <c r="B16" i="229" s="1"/>
  <c r="I35" i="228"/>
  <c r="I34" i="228"/>
  <c r="I33" i="228"/>
  <c r="I32" i="228"/>
  <c r="I27" i="228"/>
  <c r="E27" i="228"/>
  <c r="E23" i="228"/>
  <c r="B14" i="228" a="1"/>
  <c r="B14" i="228" s="1"/>
  <c r="B15" i="228" s="1"/>
  <c r="I35" i="227"/>
  <c r="I34" i="227"/>
  <c r="I33" i="227"/>
  <c r="I32" i="227"/>
  <c r="I27" i="227"/>
  <c r="E27" i="227"/>
  <c r="B14" i="227" a="1"/>
  <c r="B14" i="227" s="1"/>
  <c r="B15" i="227" s="1"/>
  <c r="B13" i="225"/>
  <c r="E23" i="224"/>
  <c r="B13" i="224"/>
  <c r="B13" i="223"/>
  <c r="B19" i="235" l="1"/>
  <c r="E31" i="235" s="1"/>
  <c r="B20" i="235"/>
  <c r="B35" i="235" s="1"/>
  <c r="B36" i="235" s="1"/>
  <c r="B31" i="235"/>
  <c r="E28" i="231"/>
  <c r="B17" i="230"/>
  <c r="B19" i="230" s="1"/>
  <c r="B35" i="234"/>
  <c r="B36" i="234" s="1"/>
  <c r="B47" i="230"/>
  <c r="B24" i="230"/>
  <c r="B25" i="230" s="1"/>
  <c r="E24" i="230"/>
  <c r="E25" i="230" s="1"/>
  <c r="E28" i="232"/>
  <c r="B39" i="233"/>
  <c r="B40" i="233" s="1"/>
  <c r="B41" i="233"/>
  <c r="B42" i="233" s="1"/>
  <c r="B43" i="233" s="1"/>
  <c r="B44" i="233" s="1"/>
  <c r="B47" i="232"/>
  <c r="B34" i="232"/>
  <c r="B46" i="232"/>
  <c r="B17" i="232"/>
  <c r="B31" i="232" s="1"/>
  <c r="B24" i="232"/>
  <c r="B25" i="232" s="1"/>
  <c r="E30" i="232"/>
  <c r="B41" i="234"/>
  <c r="B42" i="234" s="1"/>
  <c r="B43" i="234" s="1"/>
  <c r="B44" i="234" s="1"/>
  <c r="B39" i="234"/>
  <c r="B40" i="234" s="1"/>
  <c r="E30" i="231"/>
  <c r="B17" i="231"/>
  <c r="B19" i="231" s="1"/>
  <c r="B46" i="231"/>
  <c r="B47" i="231"/>
  <c r="B24" i="231"/>
  <c r="B25" i="231" s="1"/>
  <c r="E24" i="231"/>
  <c r="E25" i="231" s="1"/>
  <c r="E30" i="230"/>
  <c r="E31" i="230" s="1"/>
  <c r="B28" i="230"/>
  <c r="B30" i="230" s="1"/>
  <c r="B31" i="230" s="1"/>
  <c r="B34" i="230"/>
  <c r="I36" i="229"/>
  <c r="E30" i="229" s="1"/>
  <c r="B20" i="230"/>
  <c r="I36" i="228"/>
  <c r="E28" i="228" s="1"/>
  <c r="B16" i="228"/>
  <c r="E24" i="228" s="1"/>
  <c r="E25" i="228" s="1"/>
  <c r="B16" i="227"/>
  <c r="B17" i="227" s="1"/>
  <c r="B47" i="229"/>
  <c r="E24" i="229"/>
  <c r="E25" i="229" s="1"/>
  <c r="B46" i="229"/>
  <c r="B34" i="229"/>
  <c r="B24" i="229"/>
  <c r="B25" i="229" s="1"/>
  <c r="B17" i="229"/>
  <c r="B19" i="229" s="1"/>
  <c r="I36" i="227"/>
  <c r="E30" i="227" s="1"/>
  <c r="B47" i="227"/>
  <c r="I35" i="226"/>
  <c r="I34" i="226"/>
  <c r="I33" i="226"/>
  <c r="I32" i="226"/>
  <c r="I27" i="226"/>
  <c r="E27" i="226"/>
  <c r="B14" i="226" a="1"/>
  <c r="B14" i="226" s="1"/>
  <c r="B15" i="226" s="1"/>
  <c r="I35" i="225"/>
  <c r="I34" i="225"/>
  <c r="I33" i="225"/>
  <c r="I32" i="225"/>
  <c r="I27" i="225"/>
  <c r="E27" i="225"/>
  <c r="E23" i="225"/>
  <c r="B14" i="225" a="1"/>
  <c r="B14" i="225" s="1"/>
  <c r="B15" i="225" s="1"/>
  <c r="I35" i="224"/>
  <c r="I34" i="224"/>
  <c r="I33" i="224"/>
  <c r="I32" i="224"/>
  <c r="I27" i="224"/>
  <c r="E27" i="224"/>
  <c r="B14" i="224" a="1"/>
  <c r="B14" i="224" s="1"/>
  <c r="B15" i="224" s="1"/>
  <c r="E23" i="222"/>
  <c r="E23" i="221"/>
  <c r="E23" i="220"/>
  <c r="B39" i="235" l="1"/>
  <c r="B40" i="235" s="1"/>
  <c r="B41" i="235"/>
  <c r="B42" i="235" s="1"/>
  <c r="B43" i="235" s="1"/>
  <c r="B44" i="235" s="1"/>
  <c r="E31" i="232"/>
  <c r="B20" i="232"/>
  <c r="B39" i="232" s="1"/>
  <c r="B40" i="232" s="1"/>
  <c r="E31" i="231"/>
  <c r="B34" i="227"/>
  <c r="B31" i="231"/>
  <c r="B20" i="231"/>
  <c r="B39" i="231" s="1"/>
  <c r="B40" i="231" s="1"/>
  <c r="B28" i="229"/>
  <c r="B30" i="229" s="1"/>
  <c r="B31" i="229" s="1"/>
  <c r="E28" i="229"/>
  <c r="E31" i="229"/>
  <c r="B28" i="227"/>
  <c r="B30" i="227" s="1"/>
  <c r="B34" i="228"/>
  <c r="B41" i="230"/>
  <c r="B42" i="230" s="1"/>
  <c r="B43" i="230" s="1"/>
  <c r="B44" i="230" s="1"/>
  <c r="B39" i="230"/>
  <c r="B40" i="230" s="1"/>
  <c r="B35" i="230"/>
  <c r="B36" i="230" s="1"/>
  <c r="E28" i="227"/>
  <c r="B17" i="228"/>
  <c r="B20" i="228" s="1"/>
  <c r="B46" i="228"/>
  <c r="B24" i="228"/>
  <c r="B25" i="228" s="1"/>
  <c r="B47" i="228"/>
  <c r="B28" i="228"/>
  <c r="B30" i="228" s="1"/>
  <c r="B46" i="227"/>
  <c r="B20" i="227"/>
  <c r="B41" i="227" s="1"/>
  <c r="B42" i="227" s="1"/>
  <c r="B43" i="227" s="1"/>
  <c r="B44" i="227" s="1"/>
  <c r="E30" i="228"/>
  <c r="B19" i="228"/>
  <c r="B24" i="227"/>
  <c r="B25" i="227" s="1"/>
  <c r="E24" i="227"/>
  <c r="E25" i="227" s="1"/>
  <c r="B16" i="226"/>
  <c r="B47" i="226" s="1"/>
  <c r="B20" i="229"/>
  <c r="I36" i="226"/>
  <c r="E28" i="226" s="1"/>
  <c r="I36" i="225"/>
  <c r="E28" i="225" s="1"/>
  <c r="B16" i="225"/>
  <c r="B46" i="225" s="1"/>
  <c r="B16" i="224"/>
  <c r="B24" i="224" s="1"/>
  <c r="B25" i="224" s="1"/>
  <c r="I36" i="224"/>
  <c r="B28" i="224" s="1"/>
  <c r="B30" i="224" s="1"/>
  <c r="I35" i="223"/>
  <c r="I34" i="223"/>
  <c r="I33" i="223"/>
  <c r="I32" i="223"/>
  <c r="I27" i="223"/>
  <c r="E27" i="223"/>
  <c r="E23" i="223"/>
  <c r="B14" i="223" a="1"/>
  <c r="B14" i="223" s="1"/>
  <c r="B15" i="223" s="1"/>
  <c r="I35" i="222"/>
  <c r="I34" i="222"/>
  <c r="I33" i="222"/>
  <c r="I32" i="222"/>
  <c r="I27" i="222"/>
  <c r="E27" i="222"/>
  <c r="B14" i="222" a="1"/>
  <c r="B14" i="222" s="1"/>
  <c r="B15" i="222" s="1"/>
  <c r="B13" i="222"/>
  <c r="I35" i="221"/>
  <c r="I34" i="221"/>
  <c r="I33" i="221"/>
  <c r="I32" i="221"/>
  <c r="I27" i="221"/>
  <c r="E27" i="221"/>
  <c r="B14" i="221" a="1"/>
  <c r="B14" i="221" s="1"/>
  <c r="B15" i="221" s="1"/>
  <c r="B13" i="221"/>
  <c r="B13" i="217"/>
  <c r="B24" i="226" l="1"/>
  <c r="B25" i="226" s="1"/>
  <c r="B17" i="226"/>
  <c r="B35" i="232"/>
  <c r="B36" i="232" s="1"/>
  <c r="B41" i="232"/>
  <c r="B42" i="232" s="1"/>
  <c r="B43" i="232" s="1"/>
  <c r="B44" i="232" s="1"/>
  <c r="E30" i="225"/>
  <c r="B47" i="225"/>
  <c r="E24" i="226"/>
  <c r="E25" i="226" s="1"/>
  <c r="B34" i="226"/>
  <c r="B46" i="226"/>
  <c r="B41" i="231"/>
  <c r="B42" i="231" s="1"/>
  <c r="B43" i="231" s="1"/>
  <c r="B44" i="231" s="1"/>
  <c r="B35" i="231"/>
  <c r="B36" i="231" s="1"/>
  <c r="B31" i="228"/>
  <c r="B17" i="224"/>
  <c r="B20" i="224" s="1"/>
  <c r="B34" i="224"/>
  <c r="B41" i="228"/>
  <c r="B42" i="228" s="1"/>
  <c r="B43" i="228" s="1"/>
  <c r="B44" i="228" s="1"/>
  <c r="B39" i="228"/>
  <c r="B40" i="228" s="1"/>
  <c r="B35" i="228"/>
  <c r="B36" i="228" s="1"/>
  <c r="E30" i="226"/>
  <c r="B28" i="226"/>
  <c r="B30" i="226" s="1"/>
  <c r="E31" i="228"/>
  <c r="B39" i="227"/>
  <c r="B40" i="227" s="1"/>
  <c r="B35" i="227"/>
  <c r="B36" i="227" s="1"/>
  <c r="B39" i="229"/>
  <c r="B40" i="229" s="1"/>
  <c r="B41" i="229"/>
  <c r="B42" i="229" s="1"/>
  <c r="B43" i="229" s="1"/>
  <c r="B44" i="229" s="1"/>
  <c r="B35" i="229"/>
  <c r="B36" i="229" s="1"/>
  <c r="B28" i="225"/>
  <c r="B30" i="225" s="1"/>
  <c r="E28" i="224"/>
  <c r="B17" i="225"/>
  <c r="B19" i="225" s="1"/>
  <c r="E24" i="225"/>
  <c r="E25" i="225" s="1"/>
  <c r="E24" i="224"/>
  <c r="E25" i="224" s="1"/>
  <c r="B34" i="225"/>
  <c r="B24" i="225"/>
  <c r="B25" i="225" s="1"/>
  <c r="E30" i="224"/>
  <c r="B46" i="224"/>
  <c r="B47" i="224"/>
  <c r="B16" i="223"/>
  <c r="B46" i="223" s="1"/>
  <c r="B20" i="226"/>
  <c r="E31" i="226"/>
  <c r="I36" i="223"/>
  <c r="B28" i="223" s="1"/>
  <c r="B30" i="223" s="1"/>
  <c r="I36" i="222"/>
  <c r="E30" i="222" s="1"/>
  <c r="B16" i="222"/>
  <c r="B34" i="222" s="1"/>
  <c r="B16" i="221"/>
  <c r="B46" i="221" s="1"/>
  <c r="I36" i="221"/>
  <c r="B28" i="221" s="1"/>
  <c r="B30" i="221" s="1"/>
  <c r="I35" i="220"/>
  <c r="I34" i="220"/>
  <c r="I33" i="220"/>
  <c r="I32" i="220"/>
  <c r="I27" i="220"/>
  <c r="E27" i="220"/>
  <c r="B14" i="220" a="1"/>
  <c r="B14" i="220" s="1"/>
  <c r="B15" i="220" s="1"/>
  <c r="B13" i="220"/>
  <c r="I35" i="219"/>
  <c r="I34" i="219"/>
  <c r="I33" i="219"/>
  <c r="I32" i="219"/>
  <c r="I27" i="219"/>
  <c r="E27" i="219"/>
  <c r="E23" i="219"/>
  <c r="B14" i="219" a="1"/>
  <c r="B14" i="219" s="1"/>
  <c r="B15" i="219" s="1"/>
  <c r="B13" i="219"/>
  <c r="I35" i="218"/>
  <c r="I34" i="218"/>
  <c r="I33" i="218"/>
  <c r="I32" i="218"/>
  <c r="I27" i="218"/>
  <c r="E27" i="218"/>
  <c r="E23" i="218"/>
  <c r="B14" i="218" a="1"/>
  <c r="B14" i="218" s="1"/>
  <c r="B15" i="218" s="1"/>
  <c r="B13" i="218"/>
  <c r="B23" i="216"/>
  <c r="B13" i="215"/>
  <c r="E23" i="214"/>
  <c r="B13" i="214"/>
  <c r="E28" i="223" l="1"/>
  <c r="B35" i="226"/>
  <c r="B36" i="226" s="1"/>
  <c r="B20" i="225"/>
  <c r="B41" i="225" s="1"/>
  <c r="B42" i="225" s="1"/>
  <c r="B43" i="225" s="1"/>
  <c r="B44" i="225" s="1"/>
  <c r="B31" i="225"/>
  <c r="E31" i="225"/>
  <c r="B46" i="222"/>
  <c r="B17" i="223"/>
  <c r="B19" i="223" s="1"/>
  <c r="B31" i="223" s="1"/>
  <c r="B17" i="222"/>
  <c r="B20" i="222" s="1"/>
  <c r="B35" i="222" s="1"/>
  <c r="B36" i="222" s="1"/>
  <c r="E30" i="223"/>
  <c r="B34" i="223"/>
  <c r="B24" i="223"/>
  <c r="B25" i="223" s="1"/>
  <c r="E24" i="223"/>
  <c r="E25" i="223" s="1"/>
  <c r="B47" i="223"/>
  <c r="B41" i="226"/>
  <c r="B42" i="226" s="1"/>
  <c r="B43" i="226" s="1"/>
  <c r="B44" i="226" s="1"/>
  <c r="B39" i="226"/>
  <c r="B40" i="226" s="1"/>
  <c r="B28" i="222"/>
  <c r="B30" i="222" s="1"/>
  <c r="E28" i="222"/>
  <c r="B41" i="224"/>
  <c r="B42" i="224" s="1"/>
  <c r="B43" i="224" s="1"/>
  <c r="B44" i="224" s="1"/>
  <c r="B39" i="224"/>
  <c r="B40" i="224" s="1"/>
  <c r="B35" i="224"/>
  <c r="B36" i="224" s="1"/>
  <c r="B24" i="222"/>
  <c r="B25" i="222" s="1"/>
  <c r="E24" i="222"/>
  <c r="E25" i="222" s="1"/>
  <c r="B47" i="222"/>
  <c r="E24" i="221"/>
  <c r="E25" i="221" s="1"/>
  <c r="E28" i="221"/>
  <c r="B17" i="221"/>
  <c r="B20" i="221" s="1"/>
  <c r="B41" i="221" s="1"/>
  <c r="B42" i="221" s="1"/>
  <c r="B43" i="221" s="1"/>
  <c r="B44" i="221" s="1"/>
  <c r="B24" i="221"/>
  <c r="B25" i="221" s="1"/>
  <c r="B20" i="223"/>
  <c r="E30" i="221"/>
  <c r="B34" i="221"/>
  <c r="B47" i="221"/>
  <c r="B16" i="220"/>
  <c r="B47" i="220" s="1"/>
  <c r="I36" i="220"/>
  <c r="E30" i="220" s="1"/>
  <c r="B16" i="219"/>
  <c r="B46" i="219" s="1"/>
  <c r="I36" i="219"/>
  <c r="E28" i="219" s="1"/>
  <c r="B16" i="218"/>
  <c r="B34" i="218" s="1"/>
  <c r="I36" i="218"/>
  <c r="B28" i="218" s="1"/>
  <c r="B30" i="218" s="1"/>
  <c r="I35" i="217"/>
  <c r="I34" i="217"/>
  <c r="I33" i="217"/>
  <c r="I32" i="217"/>
  <c r="I27" i="217"/>
  <c r="E27" i="217"/>
  <c r="E23" i="217"/>
  <c r="B14" i="217" a="1"/>
  <c r="B14" i="217" s="1"/>
  <c r="B15" i="217" s="1"/>
  <c r="I35" i="216"/>
  <c r="I34" i="216"/>
  <c r="I33" i="216"/>
  <c r="I32" i="216"/>
  <c r="I27" i="216"/>
  <c r="E27" i="216"/>
  <c r="E23" i="216"/>
  <c r="B14" i="216" a="1"/>
  <c r="B14" i="216" s="1"/>
  <c r="B15" i="216" s="1"/>
  <c r="B13" i="216"/>
  <c r="I35" i="215"/>
  <c r="I34" i="215"/>
  <c r="I33" i="215"/>
  <c r="I32" i="215"/>
  <c r="I27" i="215"/>
  <c r="E27" i="215"/>
  <c r="E23" i="215"/>
  <c r="B14" i="215" a="1"/>
  <c r="B14" i="215" s="1"/>
  <c r="B15" i="215" s="1"/>
  <c r="B13" i="213"/>
  <c r="B13" i="212"/>
  <c r="B13" i="211"/>
  <c r="B39" i="225" l="1"/>
  <c r="B40" i="225" s="1"/>
  <c r="B35" i="225"/>
  <c r="B36" i="225" s="1"/>
  <c r="E31" i="223"/>
  <c r="B34" i="220"/>
  <c r="B35" i="221"/>
  <c r="B36" i="221" s="1"/>
  <c r="B46" i="220"/>
  <c r="B28" i="220"/>
  <c r="B30" i="220" s="1"/>
  <c r="B17" i="220"/>
  <c r="B24" i="220"/>
  <c r="B25" i="220" s="1"/>
  <c r="B41" i="223"/>
  <c r="B42" i="223" s="1"/>
  <c r="B43" i="223" s="1"/>
  <c r="B44" i="223" s="1"/>
  <c r="B39" i="223"/>
  <c r="B40" i="223" s="1"/>
  <c r="B35" i="223"/>
  <c r="B36" i="223" s="1"/>
  <c r="E28" i="220"/>
  <c r="E24" i="220"/>
  <c r="E25" i="220" s="1"/>
  <c r="B41" i="222"/>
  <c r="B42" i="222" s="1"/>
  <c r="B43" i="222" s="1"/>
  <c r="B44" i="222" s="1"/>
  <c r="B39" i="222"/>
  <c r="B40" i="222" s="1"/>
  <c r="B39" i="221"/>
  <c r="B40" i="221" s="1"/>
  <c r="B17" i="219"/>
  <c r="E30" i="219"/>
  <c r="B28" i="219"/>
  <c r="B30" i="219" s="1"/>
  <c r="B47" i="219"/>
  <c r="E24" i="219"/>
  <c r="E25" i="219" s="1"/>
  <c r="B34" i="219"/>
  <c r="B24" i="219"/>
  <c r="B25" i="219" s="1"/>
  <c r="E28" i="218"/>
  <c r="E30" i="218"/>
  <c r="B46" i="218"/>
  <c r="B16" i="217"/>
  <c r="B34" i="217" s="1"/>
  <c r="B24" i="218"/>
  <c r="B25" i="218" s="1"/>
  <c r="B17" i="218"/>
  <c r="E24" i="218"/>
  <c r="E25" i="218" s="1"/>
  <c r="B47" i="218"/>
  <c r="I36" i="217"/>
  <c r="B28" i="217" s="1"/>
  <c r="B30" i="217" s="1"/>
  <c r="B20" i="219"/>
  <c r="I36" i="215"/>
  <c r="B28" i="215" s="1"/>
  <c r="B30" i="215" s="1"/>
  <c r="B16" i="215"/>
  <c r="E24" i="215" s="1"/>
  <c r="E25" i="215" s="1"/>
  <c r="B16" i="216"/>
  <c r="B46" i="216" s="1"/>
  <c r="I36" i="216"/>
  <c r="E28" i="216" s="1"/>
  <c r="I35" i="214"/>
  <c r="I34" i="214"/>
  <c r="I33" i="214"/>
  <c r="I32" i="214"/>
  <c r="I27" i="214"/>
  <c r="E27" i="214"/>
  <c r="B14" i="214" a="1"/>
  <c r="B14" i="214" s="1"/>
  <c r="B15" i="214" s="1"/>
  <c r="I35" i="213"/>
  <c r="I34" i="213"/>
  <c r="I33" i="213"/>
  <c r="I32" i="213"/>
  <c r="I27" i="213"/>
  <c r="E27" i="213"/>
  <c r="E23" i="213"/>
  <c r="B14" i="213" a="1"/>
  <c r="B14" i="213" s="1"/>
  <c r="B15" i="213" s="1"/>
  <c r="I35" i="212"/>
  <c r="I34" i="212"/>
  <c r="I33" i="212"/>
  <c r="I32" i="212"/>
  <c r="I27" i="212"/>
  <c r="E27" i="212"/>
  <c r="E23" i="212"/>
  <c r="B14" i="212" a="1"/>
  <c r="B14" i="212" s="1"/>
  <c r="B15" i="212" s="1"/>
  <c r="E23" i="210"/>
  <c r="B13" i="210"/>
  <c r="B19" i="209"/>
  <c r="E23" i="209"/>
  <c r="B13" i="209"/>
  <c r="B23" i="208"/>
  <c r="I23" i="208"/>
  <c r="I24" i="208"/>
  <c r="B13" i="208"/>
  <c r="B20" i="220" l="1"/>
  <c r="B35" i="220" s="1"/>
  <c r="B36" i="220" s="1"/>
  <c r="B17" i="217"/>
  <c r="E28" i="215"/>
  <c r="B47" i="217"/>
  <c r="B24" i="217"/>
  <c r="B25" i="217" s="1"/>
  <c r="E28" i="217"/>
  <c r="B17" i="215"/>
  <c r="E30" i="217"/>
  <c r="E31" i="217" s="1"/>
  <c r="B46" i="217"/>
  <c r="B46" i="215"/>
  <c r="E31" i="219"/>
  <c r="B35" i="219"/>
  <c r="B36" i="219" s="1"/>
  <c r="E31" i="218"/>
  <c r="B20" i="218"/>
  <c r="B39" i="218" s="1"/>
  <c r="B40" i="218" s="1"/>
  <c r="E24" i="217"/>
  <c r="E25" i="217" s="1"/>
  <c r="B41" i="220"/>
  <c r="B42" i="220" s="1"/>
  <c r="B43" i="220" s="1"/>
  <c r="B44" i="220" s="1"/>
  <c r="E30" i="215"/>
  <c r="E31" i="215" s="1"/>
  <c r="B28" i="216"/>
  <c r="B30" i="216" s="1"/>
  <c r="B41" i="219"/>
  <c r="B42" i="219" s="1"/>
  <c r="B43" i="219" s="1"/>
  <c r="B44" i="219" s="1"/>
  <c r="B39" i="219"/>
  <c r="B40" i="219" s="1"/>
  <c r="B34" i="215"/>
  <c r="E24" i="216"/>
  <c r="E25" i="216" s="1"/>
  <c r="B41" i="218"/>
  <c r="B42" i="218" s="1"/>
  <c r="B43" i="218" s="1"/>
  <c r="B44" i="218" s="1"/>
  <c r="E30" i="216"/>
  <c r="B20" i="217"/>
  <c r="B35" i="217" s="1"/>
  <c r="B36" i="217" s="1"/>
  <c r="B47" i="216"/>
  <c r="B24" i="215"/>
  <c r="B25" i="215" s="1"/>
  <c r="B47" i="215"/>
  <c r="B17" i="216"/>
  <c r="B34" i="216"/>
  <c r="B20" i="215"/>
  <c r="B39" i="215" s="1"/>
  <c r="B40" i="215" s="1"/>
  <c r="B24" i="216"/>
  <c r="B25" i="216" s="1"/>
  <c r="I36" i="214"/>
  <c r="E30" i="214" s="1"/>
  <c r="B16" i="214"/>
  <c r="B47" i="214" s="1"/>
  <c r="I36" i="213"/>
  <c r="E28" i="213" s="1"/>
  <c r="B16" i="213"/>
  <c r="B34" i="213" s="1"/>
  <c r="E28" i="214"/>
  <c r="I36" i="212"/>
  <c r="E30" i="212" s="1"/>
  <c r="B16" i="212"/>
  <c r="B17" i="212" s="1"/>
  <c r="I35" i="211"/>
  <c r="I34" i="211"/>
  <c r="I33" i="211"/>
  <c r="I32" i="211"/>
  <c r="I27" i="211"/>
  <c r="E27" i="211"/>
  <c r="E23" i="211"/>
  <c r="B14" i="211" a="1"/>
  <c r="B14" i="211" s="1"/>
  <c r="B15" i="211" s="1"/>
  <c r="I35" i="210"/>
  <c r="I34" i="210"/>
  <c r="I33" i="210"/>
  <c r="I32" i="210"/>
  <c r="I27" i="210"/>
  <c r="E27" i="210"/>
  <c r="B14" i="210" a="1"/>
  <c r="B14" i="210" s="1"/>
  <c r="B15" i="210" s="1"/>
  <c r="I35" i="209"/>
  <c r="I34" i="209"/>
  <c r="I33" i="209"/>
  <c r="I32" i="209"/>
  <c r="I27" i="209"/>
  <c r="E27" i="209"/>
  <c r="B14" i="209" a="1"/>
  <c r="B14" i="209" s="1"/>
  <c r="E23" i="207"/>
  <c r="B13" i="207"/>
  <c r="E23" i="206"/>
  <c r="B17" i="213" l="1"/>
  <c r="B20" i="213" s="1"/>
  <c r="B39" i="213" s="1"/>
  <c r="B40" i="213" s="1"/>
  <c r="B46" i="213"/>
  <c r="B39" i="220"/>
  <c r="B40" i="220" s="1"/>
  <c r="B35" i="218"/>
  <c r="B36" i="218" s="1"/>
  <c r="B39" i="217"/>
  <c r="B40" i="217" s="1"/>
  <c r="B28" i="214"/>
  <c r="B30" i="214" s="1"/>
  <c r="B41" i="217"/>
  <c r="B42" i="217" s="1"/>
  <c r="B43" i="217" s="1"/>
  <c r="B44" i="217" s="1"/>
  <c r="B19" i="216"/>
  <c r="B31" i="216" s="1"/>
  <c r="B41" i="215"/>
  <c r="B42" i="215" s="1"/>
  <c r="B43" i="215" s="1"/>
  <c r="B44" i="215" s="1"/>
  <c r="B34" i="214"/>
  <c r="E24" i="214"/>
  <c r="E25" i="214" s="1"/>
  <c r="B46" i="214"/>
  <c r="B17" i="214"/>
  <c r="B35" i="215"/>
  <c r="B36" i="215" s="1"/>
  <c r="E30" i="213"/>
  <c r="B24" i="214"/>
  <c r="B25" i="214" s="1"/>
  <c r="B20" i="216"/>
  <c r="B28" i="213"/>
  <c r="B30" i="213" s="1"/>
  <c r="E24" i="213"/>
  <c r="E25" i="213" s="1"/>
  <c r="B24" i="213"/>
  <c r="B25" i="213" s="1"/>
  <c r="B47" i="213"/>
  <c r="B28" i="212"/>
  <c r="B30" i="212" s="1"/>
  <c r="E28" i="212"/>
  <c r="B34" i="212"/>
  <c r="B24" i="212"/>
  <c r="B25" i="212" s="1"/>
  <c r="I36" i="211"/>
  <c r="B28" i="211" s="1"/>
  <c r="B30" i="211" s="1"/>
  <c r="B46" i="212"/>
  <c r="E24" i="212"/>
  <c r="E25" i="212" s="1"/>
  <c r="B47" i="212"/>
  <c r="B16" i="211"/>
  <c r="B24" i="211" s="1"/>
  <c r="B25" i="211" s="1"/>
  <c r="B20" i="212"/>
  <c r="B16" i="210"/>
  <c r="B47" i="210" s="1"/>
  <c r="B16" i="209"/>
  <c r="B24" i="209" s="1"/>
  <c r="B25" i="209" s="1"/>
  <c r="I36" i="210"/>
  <c r="B28" i="210" s="1"/>
  <c r="B30" i="210" s="1"/>
  <c r="I36" i="209"/>
  <c r="B28" i="209" s="1"/>
  <c r="B30" i="209" s="1"/>
  <c r="B31" i="209" s="1"/>
  <c r="I35" i="208"/>
  <c r="I34" i="208"/>
  <c r="I33" i="208"/>
  <c r="I32" i="208"/>
  <c r="I27" i="208"/>
  <c r="E27" i="208"/>
  <c r="E23" i="208"/>
  <c r="B14" i="208" a="1"/>
  <c r="B14" i="208" s="1"/>
  <c r="B15" i="208" s="1"/>
  <c r="I35" i="207"/>
  <c r="I34" i="207"/>
  <c r="I33" i="207"/>
  <c r="I32" i="207"/>
  <c r="I27" i="207"/>
  <c r="E27" i="207"/>
  <c r="B14" i="207" a="1"/>
  <c r="B14" i="207" s="1"/>
  <c r="B15" i="207" s="1"/>
  <c r="I35" i="206"/>
  <c r="I34" i="206"/>
  <c r="I33" i="206"/>
  <c r="I32" i="206"/>
  <c r="I27" i="206"/>
  <c r="E27" i="206"/>
  <c r="B14" i="206" a="1"/>
  <c r="B14" i="206" s="1"/>
  <c r="B13" i="203"/>
  <c r="B14" i="202" a="1"/>
  <c r="B14" i="202" s="1"/>
  <c r="E31" i="216" l="1"/>
  <c r="B34" i="210"/>
  <c r="B47" i="211"/>
  <c r="B34" i="209"/>
  <c r="E30" i="211"/>
  <c r="B20" i="214"/>
  <c r="E28" i="211"/>
  <c r="B39" i="216"/>
  <c r="B40" i="216" s="1"/>
  <c r="B41" i="216"/>
  <c r="B42" i="216" s="1"/>
  <c r="B43" i="216" s="1"/>
  <c r="B44" i="216" s="1"/>
  <c r="B35" i="216"/>
  <c r="B36" i="216" s="1"/>
  <c r="B46" i="209"/>
  <c r="B47" i="209"/>
  <c r="B17" i="211"/>
  <c r="B20" i="211" s="1"/>
  <c r="B41" i="213"/>
  <c r="B42" i="213" s="1"/>
  <c r="B43" i="213" s="1"/>
  <c r="B44" i="213" s="1"/>
  <c r="B35" i="212"/>
  <c r="B36" i="212" s="1"/>
  <c r="B41" i="212"/>
  <c r="B42" i="212" s="1"/>
  <c r="B43" i="212" s="1"/>
  <c r="B44" i="212" s="1"/>
  <c r="B39" i="212"/>
  <c r="B40" i="212" s="1"/>
  <c r="E24" i="211"/>
  <c r="E25" i="211" s="1"/>
  <c r="B46" i="211"/>
  <c r="B34" i="211"/>
  <c r="B17" i="209"/>
  <c r="B20" i="209" s="1"/>
  <c r="B35" i="213"/>
  <c r="B36" i="213" s="1"/>
  <c r="E24" i="209"/>
  <c r="E25" i="209" s="1"/>
  <c r="B17" i="210"/>
  <c r="B20" i="210" s="1"/>
  <c r="B35" i="210" s="1"/>
  <c r="B36" i="210" s="1"/>
  <c r="B24" i="210"/>
  <c r="B25" i="210" s="1"/>
  <c r="E24" i="210"/>
  <c r="E25" i="210" s="1"/>
  <c r="E28" i="210"/>
  <c r="E30" i="210"/>
  <c r="B46" i="210"/>
  <c r="E30" i="209"/>
  <c r="E31" i="209" s="1"/>
  <c r="E28" i="209"/>
  <c r="B16" i="208"/>
  <c r="B17" i="208" s="1"/>
  <c r="B19" i="208" s="1"/>
  <c r="I36" i="208"/>
  <c r="B28" i="208" s="1"/>
  <c r="B30" i="208" s="1"/>
  <c r="I36" i="207"/>
  <c r="E28" i="207" s="1"/>
  <c r="B16" i="207"/>
  <c r="B34" i="207" s="1"/>
  <c r="B16" i="206"/>
  <c r="I36" i="206"/>
  <c r="E30" i="206" s="1"/>
  <c r="I35" i="205"/>
  <c r="I34" i="205"/>
  <c r="I33" i="205"/>
  <c r="I32" i="205"/>
  <c r="I27" i="205"/>
  <c r="E27" i="205"/>
  <c r="B14" i="205" a="1"/>
  <c r="B14" i="205" s="1"/>
  <c r="B15" i="205" s="1"/>
  <c r="B13" i="205"/>
  <c r="I35" i="204"/>
  <c r="I34" i="204"/>
  <c r="I33" i="204"/>
  <c r="I32" i="204"/>
  <c r="I27" i="204"/>
  <c r="E27" i="204"/>
  <c r="E23" i="204"/>
  <c r="B14" i="204" a="1"/>
  <c r="B14" i="204" s="1"/>
  <c r="B15" i="204" s="1"/>
  <c r="B13" i="204"/>
  <c r="I35" i="203"/>
  <c r="I34" i="203"/>
  <c r="I33" i="203"/>
  <c r="I32" i="203"/>
  <c r="I27" i="203"/>
  <c r="E27" i="203"/>
  <c r="E23" i="203"/>
  <c r="B14" i="203" a="1"/>
  <c r="B14" i="203" s="1"/>
  <c r="B15" i="203" s="1"/>
  <c r="B35" i="214" l="1"/>
  <c r="B36" i="214" s="1"/>
  <c r="B41" i="214"/>
  <c r="B42" i="214" s="1"/>
  <c r="B43" i="214" s="1"/>
  <c r="B44" i="214" s="1"/>
  <c r="B39" i="214"/>
  <c r="B40" i="214" s="1"/>
  <c r="B35" i="209"/>
  <c r="B36" i="209" s="1"/>
  <c r="B41" i="209"/>
  <c r="B42" i="209" s="1"/>
  <c r="B43" i="209" s="1"/>
  <c r="B44" i="209" s="1"/>
  <c r="B41" i="210"/>
  <c r="B42" i="210" s="1"/>
  <c r="B43" i="210" s="1"/>
  <c r="B44" i="210" s="1"/>
  <c r="B39" i="210"/>
  <c r="B40" i="210" s="1"/>
  <c r="B39" i="209"/>
  <c r="B40" i="209" s="1"/>
  <c r="B24" i="208"/>
  <c r="B25" i="208" s="1"/>
  <c r="E24" i="208"/>
  <c r="E25" i="208" s="1"/>
  <c r="B46" i="208"/>
  <c r="B47" i="208"/>
  <c r="B34" i="208"/>
  <c r="B41" i="211"/>
  <c r="B42" i="211" s="1"/>
  <c r="B43" i="211" s="1"/>
  <c r="B44" i="211" s="1"/>
  <c r="B39" i="211"/>
  <c r="B40" i="211" s="1"/>
  <c r="B35" i="211"/>
  <c r="B36" i="211" s="1"/>
  <c r="E28" i="208"/>
  <c r="E30" i="208"/>
  <c r="B46" i="206"/>
  <c r="B17" i="206"/>
  <c r="B19" i="206" s="1"/>
  <c r="E31" i="206" s="1"/>
  <c r="E24" i="207"/>
  <c r="E25" i="207" s="1"/>
  <c r="B28" i="207"/>
  <c r="B30" i="207" s="1"/>
  <c r="E30" i="207"/>
  <c r="B46" i="207"/>
  <c r="B17" i="207"/>
  <c r="B19" i="207" s="1"/>
  <c r="B24" i="207"/>
  <c r="B25" i="207" s="1"/>
  <c r="B47" i="207"/>
  <c r="B28" i="206"/>
  <c r="B30" i="206" s="1"/>
  <c r="B34" i="206"/>
  <c r="E24" i="206"/>
  <c r="E25" i="206" s="1"/>
  <c r="B47" i="206"/>
  <c r="E28" i="206"/>
  <c r="B16" i="205"/>
  <c r="B46" i="205" s="1"/>
  <c r="B24" i="206"/>
  <c r="B25" i="206" s="1"/>
  <c r="I36" i="205"/>
  <c r="B28" i="205" s="1"/>
  <c r="B30" i="205" s="1"/>
  <c r="I36" i="204"/>
  <c r="E28" i="204" s="1"/>
  <c r="B16" i="204"/>
  <c r="B34" i="204" s="1"/>
  <c r="B16" i="203"/>
  <c r="B46" i="203" s="1"/>
  <c r="I36" i="203"/>
  <c r="B28" i="203" s="1"/>
  <c r="B30" i="203" s="1"/>
  <c r="I35" i="202"/>
  <c r="I34" i="202"/>
  <c r="I33" i="202"/>
  <c r="I32" i="202"/>
  <c r="I27" i="202"/>
  <c r="E27" i="202"/>
  <c r="E23" i="202"/>
  <c r="B13" i="202"/>
  <c r="I35" i="201"/>
  <c r="I34" i="201"/>
  <c r="I33" i="201"/>
  <c r="I32" i="201"/>
  <c r="I27" i="201"/>
  <c r="E27" i="201"/>
  <c r="E23" i="201"/>
  <c r="B14" i="201" a="1"/>
  <c r="B14" i="201" s="1"/>
  <c r="B15" i="201" s="1"/>
  <c r="B13" i="201"/>
  <c r="I35" i="200"/>
  <c r="I34" i="200"/>
  <c r="I33" i="200"/>
  <c r="I32" i="200"/>
  <c r="I27" i="200"/>
  <c r="E27" i="200"/>
  <c r="E23" i="200"/>
  <c r="B14" i="200" a="1"/>
  <c r="B14" i="200" s="1"/>
  <c r="B15" i="200" s="1"/>
  <c r="B13" i="200"/>
  <c r="B13" i="197"/>
  <c r="B46" i="204" l="1"/>
  <c r="E30" i="204"/>
  <c r="B28" i="204"/>
  <c r="B30" i="204" s="1"/>
  <c r="E28" i="205"/>
  <c r="E31" i="208"/>
  <c r="B31" i="208"/>
  <c r="B20" i="208"/>
  <c r="B47" i="203"/>
  <c r="E30" i="205"/>
  <c r="B20" i="206"/>
  <c r="B39" i="206" s="1"/>
  <c r="B40" i="206" s="1"/>
  <c r="B31" i="206"/>
  <c r="E31" i="207"/>
  <c r="B31" i="207"/>
  <c r="B20" i="207"/>
  <c r="B35" i="207" s="1"/>
  <c r="B36" i="207" s="1"/>
  <c r="B24" i="205"/>
  <c r="B25" i="205" s="1"/>
  <c r="E24" i="205"/>
  <c r="E25" i="205" s="1"/>
  <c r="B47" i="205"/>
  <c r="B34" i="205"/>
  <c r="B17" i="205"/>
  <c r="B20" i="205" s="1"/>
  <c r="B41" i="205" s="1"/>
  <c r="B42" i="205" s="1"/>
  <c r="B43" i="205" s="1"/>
  <c r="B44" i="205" s="1"/>
  <c r="B34" i="203"/>
  <c r="B17" i="204"/>
  <c r="B19" i="204" s="1"/>
  <c r="E24" i="204"/>
  <c r="E25" i="204" s="1"/>
  <c r="B24" i="204"/>
  <c r="B25" i="204" s="1"/>
  <c r="B47" i="204"/>
  <c r="E30" i="203"/>
  <c r="E28" i="203"/>
  <c r="B24" i="203"/>
  <c r="B25" i="203" s="1"/>
  <c r="E24" i="203"/>
  <c r="E25" i="203" s="1"/>
  <c r="B17" i="203"/>
  <c r="B16" i="202"/>
  <c r="B34" i="202" s="1"/>
  <c r="I36" i="202"/>
  <c r="B28" i="202" s="1"/>
  <c r="B30" i="202" s="1"/>
  <c r="I36" i="200"/>
  <c r="E30" i="200" s="1"/>
  <c r="I36" i="201"/>
  <c r="B28" i="201" s="1"/>
  <c r="B30" i="201" s="1"/>
  <c r="B16" i="201"/>
  <c r="B46" i="201" s="1"/>
  <c r="B16" i="200"/>
  <c r="B46" i="200" s="1"/>
  <c r="I35" i="199"/>
  <c r="I34" i="199"/>
  <c r="I33" i="199"/>
  <c r="I32" i="199"/>
  <c r="I27" i="199"/>
  <c r="E27" i="199"/>
  <c r="E23" i="199"/>
  <c r="B14" i="199" a="1"/>
  <c r="B14" i="199" s="1"/>
  <c r="B15" i="199" s="1"/>
  <c r="B13" i="199"/>
  <c r="I35" i="198"/>
  <c r="I34" i="198"/>
  <c r="I33" i="198"/>
  <c r="I32" i="198"/>
  <c r="I27" i="198"/>
  <c r="E27" i="198"/>
  <c r="E23" i="198"/>
  <c r="B14" i="198" a="1"/>
  <c r="B14" i="198" s="1"/>
  <c r="B15" i="198" s="1"/>
  <c r="B13" i="198"/>
  <c r="I35" i="197"/>
  <c r="I34" i="197"/>
  <c r="I33" i="197"/>
  <c r="I32" i="197"/>
  <c r="I27" i="197"/>
  <c r="E27" i="197"/>
  <c r="E23" i="197"/>
  <c r="B14" i="197" a="1"/>
  <c r="B14" i="197" s="1"/>
  <c r="B15" i="197" s="1"/>
  <c r="E31" i="204" l="1"/>
  <c r="B39" i="208"/>
  <c r="B40" i="208" s="1"/>
  <c r="B41" i="208"/>
  <c r="B42" i="208" s="1"/>
  <c r="B43" i="208" s="1"/>
  <c r="B44" i="208" s="1"/>
  <c r="B35" i="208"/>
  <c r="B36" i="208" s="1"/>
  <c r="B34" i="201"/>
  <c r="B47" i="202"/>
  <c r="B28" i="200"/>
  <c r="B30" i="200" s="1"/>
  <c r="E28" i="202"/>
  <c r="B41" i="206"/>
  <c r="B42" i="206" s="1"/>
  <c r="B43" i="206" s="1"/>
  <c r="B44" i="206" s="1"/>
  <c r="B35" i="206"/>
  <c r="B36" i="206" s="1"/>
  <c r="B39" i="207"/>
  <c r="B40" i="207" s="1"/>
  <c r="B41" i="207"/>
  <c r="B42" i="207" s="1"/>
  <c r="B43" i="207" s="1"/>
  <c r="B44" i="207" s="1"/>
  <c r="B19" i="205"/>
  <c r="B31" i="205" s="1"/>
  <c r="E28" i="201"/>
  <c r="B35" i="205"/>
  <c r="B36" i="205" s="1"/>
  <c r="B20" i="204"/>
  <c r="B41" i="204" s="1"/>
  <c r="B42" i="204" s="1"/>
  <c r="B43" i="204" s="1"/>
  <c r="B44" i="204" s="1"/>
  <c r="B39" i="205"/>
  <c r="B40" i="205" s="1"/>
  <c r="E30" i="202"/>
  <c r="B31" i="204"/>
  <c r="E28" i="200"/>
  <c r="B17" i="202"/>
  <c r="B19" i="202" s="1"/>
  <c r="B46" i="202"/>
  <c r="B19" i="203"/>
  <c r="E31" i="203" s="1"/>
  <c r="B20" i="203"/>
  <c r="B39" i="203" s="1"/>
  <c r="B40" i="203" s="1"/>
  <c r="B24" i="202"/>
  <c r="B25" i="202" s="1"/>
  <c r="E24" i="202"/>
  <c r="E25" i="202" s="1"/>
  <c r="B24" i="201"/>
  <c r="B25" i="201" s="1"/>
  <c r="B47" i="201"/>
  <c r="E30" i="201"/>
  <c r="B17" i="201"/>
  <c r="B19" i="201" s="1"/>
  <c r="B31" i="201" s="1"/>
  <c r="I36" i="199"/>
  <c r="B28" i="199" s="1"/>
  <c r="B30" i="199" s="1"/>
  <c r="E24" i="201"/>
  <c r="E25" i="201" s="1"/>
  <c r="B34" i="200"/>
  <c r="B24" i="200"/>
  <c r="B25" i="200" s="1"/>
  <c r="B17" i="200"/>
  <c r="B19" i="200" s="1"/>
  <c r="E31" i="200" s="1"/>
  <c r="B47" i="200"/>
  <c r="E24" i="200"/>
  <c r="E25" i="200" s="1"/>
  <c r="B16" i="199"/>
  <c r="B46" i="199" s="1"/>
  <c r="I36" i="198"/>
  <c r="E28" i="198" s="1"/>
  <c r="B16" i="198"/>
  <c r="B17" i="198" s="1"/>
  <c r="B19" i="198" s="1"/>
  <c r="I36" i="197"/>
  <c r="B28" i="197" s="1"/>
  <c r="B30" i="197" s="1"/>
  <c r="B16" i="197"/>
  <c r="B34" i="197" s="1"/>
  <c r="I35" i="196"/>
  <c r="I34" i="196"/>
  <c r="I33" i="196"/>
  <c r="I32" i="196"/>
  <c r="I27" i="196"/>
  <c r="E27" i="196"/>
  <c r="E23" i="196"/>
  <c r="B14" i="196" a="1"/>
  <c r="B14" i="196" s="1"/>
  <c r="B15" i="196" s="1"/>
  <c r="B13" i="196"/>
  <c r="I35" i="195"/>
  <c r="I34" i="195"/>
  <c r="I33" i="195"/>
  <c r="I32" i="195"/>
  <c r="I27" i="195"/>
  <c r="E27" i="195"/>
  <c r="E23" i="195"/>
  <c r="B14" i="195" a="1"/>
  <c r="B14" i="195" s="1"/>
  <c r="B15" i="195" s="1"/>
  <c r="B13" i="195"/>
  <c r="B18" i="195" s="1"/>
  <c r="I35" i="194"/>
  <c r="I34" i="194"/>
  <c r="I33" i="194"/>
  <c r="I32" i="194"/>
  <c r="I27" i="194"/>
  <c r="E27" i="194"/>
  <c r="E23" i="194"/>
  <c r="B14" i="194" a="1"/>
  <c r="B14" i="194" s="1"/>
  <c r="B15" i="194" s="1"/>
  <c r="B13" i="194"/>
  <c r="B18" i="194" s="1"/>
  <c r="B24" i="199" l="1"/>
  <c r="B25" i="199" s="1"/>
  <c r="E24" i="197"/>
  <c r="E25" i="197" s="1"/>
  <c r="B46" i="197"/>
  <c r="B41" i="203"/>
  <c r="B42" i="203" s="1"/>
  <c r="B43" i="203" s="1"/>
  <c r="B44" i="203" s="1"/>
  <c r="B35" i="204"/>
  <c r="B36" i="204" s="1"/>
  <c r="B39" i="204"/>
  <c r="B40" i="204" s="1"/>
  <c r="B28" i="198"/>
  <c r="B30" i="198" s="1"/>
  <c r="E31" i="202"/>
  <c r="B24" i="197"/>
  <c r="B25" i="197" s="1"/>
  <c r="E30" i="199"/>
  <c r="E31" i="205"/>
  <c r="B47" i="197"/>
  <c r="E28" i="199"/>
  <c r="B20" i="202"/>
  <c r="B35" i="202" s="1"/>
  <c r="B36" i="202" s="1"/>
  <c r="E30" i="198"/>
  <c r="E31" i="198" s="1"/>
  <c r="B31" i="202"/>
  <c r="B31" i="200"/>
  <c r="E30" i="197"/>
  <c r="B17" i="197"/>
  <c r="B19" i="197" s="1"/>
  <c r="B31" i="197" s="1"/>
  <c r="B47" i="199"/>
  <c r="E28" i="197"/>
  <c r="B35" i="203"/>
  <c r="B36" i="203" s="1"/>
  <c r="E31" i="201"/>
  <c r="I36" i="195"/>
  <c r="B28" i="195" s="1"/>
  <c r="B30" i="195" s="1"/>
  <c r="E24" i="198"/>
  <c r="E25" i="198" s="1"/>
  <c r="B47" i="198"/>
  <c r="B20" i="201"/>
  <c r="I36" i="196"/>
  <c r="E30" i="196" s="1"/>
  <c r="B34" i="198"/>
  <c r="E24" i="199"/>
  <c r="E25" i="199" s="1"/>
  <c r="B46" i="198"/>
  <c r="B34" i="199"/>
  <c r="B24" i="198"/>
  <c r="B25" i="198" s="1"/>
  <c r="B17" i="199"/>
  <c r="B19" i="199" s="1"/>
  <c r="B31" i="199" s="1"/>
  <c r="B39" i="201"/>
  <c r="B40" i="201" s="1"/>
  <c r="B20" i="200"/>
  <c r="B41" i="200" s="1"/>
  <c r="B42" i="200" s="1"/>
  <c r="B43" i="200" s="1"/>
  <c r="B44" i="200" s="1"/>
  <c r="B16" i="196"/>
  <c r="B17" i="196" s="1"/>
  <c r="B19" i="196" s="1"/>
  <c r="B20" i="198"/>
  <c r="B31" i="198"/>
  <c r="B16" i="195"/>
  <c r="B34" i="195" s="1"/>
  <c r="I36" i="194"/>
  <c r="B28" i="194" s="1"/>
  <c r="B30" i="194" s="1"/>
  <c r="B16" i="194"/>
  <c r="B17" i="194" s="1"/>
  <c r="B19" i="194" s="1"/>
  <c r="I35" i="193"/>
  <c r="I34" i="193"/>
  <c r="I33" i="193"/>
  <c r="I32" i="193"/>
  <c r="I27" i="193"/>
  <c r="E27" i="193"/>
  <c r="E23" i="193"/>
  <c r="B14" i="193" a="1"/>
  <c r="B14" i="193" s="1"/>
  <c r="B15" i="193" s="1"/>
  <c r="B13" i="193"/>
  <c r="B18" i="193" s="1"/>
  <c r="I35" i="192"/>
  <c r="I34" i="192"/>
  <c r="I33" i="192"/>
  <c r="I32" i="192"/>
  <c r="I27" i="192"/>
  <c r="E27" i="192"/>
  <c r="E23" i="192"/>
  <c r="B14" i="192" a="1"/>
  <c r="B14" i="192" s="1"/>
  <c r="B15" i="192" s="1"/>
  <c r="B13" i="192"/>
  <c r="B18" i="192" s="1"/>
  <c r="I35" i="191"/>
  <c r="I34" i="191"/>
  <c r="I33" i="191"/>
  <c r="I32" i="191"/>
  <c r="I27" i="191"/>
  <c r="E27" i="191"/>
  <c r="E23" i="191"/>
  <c r="B14" i="191" a="1"/>
  <c r="B14" i="191" s="1"/>
  <c r="B13" i="191"/>
  <c r="B18" i="191" s="1"/>
  <c r="B39" i="202" l="1"/>
  <c r="B40" i="202" s="1"/>
  <c r="B35" i="198"/>
  <c r="B36" i="198" s="1"/>
  <c r="B28" i="196"/>
  <c r="B30" i="196" s="1"/>
  <c r="B31" i="196" s="1"/>
  <c r="B41" i="202"/>
  <c r="B42" i="202" s="1"/>
  <c r="B43" i="202" s="1"/>
  <c r="B44" i="202" s="1"/>
  <c r="B34" i="194"/>
  <c r="B46" i="194"/>
  <c r="E31" i="197"/>
  <c r="B24" i="194"/>
  <c r="B25" i="194" s="1"/>
  <c r="B47" i="194"/>
  <c r="E24" i="194"/>
  <c r="E25" i="194" s="1"/>
  <c r="B20" i="197"/>
  <c r="B35" i="197" s="1"/>
  <c r="B36" i="197" s="1"/>
  <c r="B46" i="195"/>
  <c r="E24" i="195"/>
  <c r="E25" i="195" s="1"/>
  <c r="B46" i="196"/>
  <c r="E30" i="195"/>
  <c r="E28" i="195"/>
  <c r="E28" i="196"/>
  <c r="B39" i="200"/>
  <c r="B40" i="200" s="1"/>
  <c r="B47" i="196"/>
  <c r="B17" i="195"/>
  <c r="B19" i="195" s="1"/>
  <c r="B31" i="195" s="1"/>
  <c r="E24" i="196"/>
  <c r="E25" i="196" s="1"/>
  <c r="B20" i="199"/>
  <c r="B39" i="199" s="1"/>
  <c r="B40" i="199" s="1"/>
  <c r="I36" i="191"/>
  <c r="E28" i="191" s="1"/>
  <c r="B34" i="196"/>
  <c r="E31" i="199"/>
  <c r="B41" i="201"/>
  <c r="B42" i="201" s="1"/>
  <c r="B43" i="201" s="1"/>
  <c r="B44" i="201" s="1"/>
  <c r="B35" i="201"/>
  <c r="B36" i="201" s="1"/>
  <c r="E30" i="194"/>
  <c r="E31" i="194" s="1"/>
  <c r="B24" i="195"/>
  <c r="B25" i="195" s="1"/>
  <c r="B47" i="195"/>
  <c r="B24" i="196"/>
  <c r="B25" i="196" s="1"/>
  <c r="E28" i="194"/>
  <c r="B35" i="200"/>
  <c r="B36" i="200" s="1"/>
  <c r="B41" i="199"/>
  <c r="B42" i="199" s="1"/>
  <c r="B43" i="199" s="1"/>
  <c r="B44" i="199" s="1"/>
  <c r="B41" i="198"/>
  <c r="B42" i="198" s="1"/>
  <c r="B43" i="198" s="1"/>
  <c r="B44" i="198" s="1"/>
  <c r="B39" i="198"/>
  <c r="B40" i="198" s="1"/>
  <c r="B31" i="194"/>
  <c r="B16" i="193"/>
  <c r="B47" i="193" s="1"/>
  <c r="I36" i="193"/>
  <c r="E28" i="193" s="1"/>
  <c r="E31" i="196"/>
  <c r="B20" i="196"/>
  <c r="B20" i="194"/>
  <c r="I36" i="192"/>
  <c r="E28" i="192" s="1"/>
  <c r="B16" i="192"/>
  <c r="B47" i="192" s="1"/>
  <c r="B16" i="191"/>
  <c r="B47" i="191" s="1"/>
  <c r="B17" i="193"/>
  <c r="B19" i="193" s="1"/>
  <c r="B28" i="191"/>
  <c r="B30" i="191" s="1"/>
  <c r="I35" i="190"/>
  <c r="I34" i="190"/>
  <c r="I33" i="190"/>
  <c r="I32" i="190"/>
  <c r="I27" i="190"/>
  <c r="E27" i="190"/>
  <c r="E23" i="190"/>
  <c r="B14" i="190" a="1"/>
  <c r="B14" i="190" s="1"/>
  <c r="B15" i="190" s="1"/>
  <c r="B13" i="190"/>
  <c r="B18" i="190" s="1"/>
  <c r="I35" i="189"/>
  <c r="I34" i="189"/>
  <c r="I33" i="189"/>
  <c r="I32" i="189"/>
  <c r="I27" i="189"/>
  <c r="E27" i="189"/>
  <c r="E23" i="189"/>
  <c r="B14" i="189" a="1"/>
  <c r="B14" i="189" s="1"/>
  <c r="B15" i="189" s="1"/>
  <c r="B13" i="189"/>
  <c r="B18" i="189" s="1"/>
  <c r="I35" i="188"/>
  <c r="I34" i="188"/>
  <c r="I33" i="188"/>
  <c r="I32" i="188"/>
  <c r="I27" i="188"/>
  <c r="E27" i="188"/>
  <c r="E23" i="188"/>
  <c r="B14" i="188" a="1"/>
  <c r="B14" i="188" s="1"/>
  <c r="B15" i="188" s="1"/>
  <c r="B13" i="188"/>
  <c r="B18" i="188" s="1"/>
  <c r="B13" i="186"/>
  <c r="B13" i="185"/>
  <c r="B13" i="184"/>
  <c r="B39" i="197" l="1"/>
  <c r="B40" i="197" s="1"/>
  <c r="E30" i="191"/>
  <c r="E30" i="192"/>
  <c r="B35" i="194"/>
  <c r="B36" i="194" s="1"/>
  <c r="B41" i="197"/>
  <c r="B42" i="197" s="1"/>
  <c r="B43" i="197" s="1"/>
  <c r="B44" i="197" s="1"/>
  <c r="E30" i="193"/>
  <c r="E31" i="193" s="1"/>
  <c r="B24" i="193"/>
  <c r="B25" i="193" s="1"/>
  <c r="B28" i="193"/>
  <c r="B30" i="193" s="1"/>
  <c r="B31" i="193" s="1"/>
  <c r="E31" i="195"/>
  <c r="B46" i="193"/>
  <c r="B28" i="192"/>
  <c r="B30" i="192" s="1"/>
  <c r="B34" i="193"/>
  <c r="B20" i="195"/>
  <c r="B35" i="195" s="1"/>
  <c r="B36" i="195" s="1"/>
  <c r="B35" i="196"/>
  <c r="B36" i="196" s="1"/>
  <c r="B17" i="192"/>
  <c r="B19" i="192" s="1"/>
  <c r="E31" i="192" s="1"/>
  <c r="B35" i="199"/>
  <c r="B36" i="199" s="1"/>
  <c r="I36" i="189"/>
  <c r="B28" i="189" s="1"/>
  <c r="B30" i="189" s="1"/>
  <c r="E24" i="193"/>
  <c r="E25" i="193" s="1"/>
  <c r="I36" i="190"/>
  <c r="E30" i="190" s="1"/>
  <c r="E24" i="192"/>
  <c r="E25" i="192" s="1"/>
  <c r="B41" i="196"/>
  <c r="B42" i="196" s="1"/>
  <c r="B43" i="196" s="1"/>
  <c r="B44" i="196" s="1"/>
  <c r="B39" i="196"/>
  <c r="B40" i="196" s="1"/>
  <c r="B41" i="194"/>
  <c r="B42" i="194" s="1"/>
  <c r="B43" i="194" s="1"/>
  <c r="B44" i="194" s="1"/>
  <c r="B39" i="194"/>
  <c r="B40" i="194" s="1"/>
  <c r="B46" i="192"/>
  <c r="B24" i="192"/>
  <c r="B25" i="192" s="1"/>
  <c r="B34" i="192"/>
  <c r="B24" i="191"/>
  <c r="B25" i="191" s="1"/>
  <c r="E24" i="191"/>
  <c r="E25" i="191" s="1"/>
  <c r="B17" i="191"/>
  <c r="B34" i="191"/>
  <c r="B46" i="191"/>
  <c r="B16" i="190"/>
  <c r="B17" i="190" s="1"/>
  <c r="B19" i="190" s="1"/>
  <c r="B20" i="193"/>
  <c r="B16" i="189"/>
  <c r="B34" i="189" s="1"/>
  <c r="I36" i="188"/>
  <c r="B28" i="188" s="1"/>
  <c r="B30" i="188" s="1"/>
  <c r="B16" i="188"/>
  <c r="B46" i="188" s="1"/>
  <c r="I35" i="187"/>
  <c r="I34" i="187"/>
  <c r="I33" i="187"/>
  <c r="I32" i="187"/>
  <c r="I27" i="187"/>
  <c r="E27" i="187"/>
  <c r="E23" i="187"/>
  <c r="B14" i="187" a="1"/>
  <c r="B14" i="187" s="1"/>
  <c r="B15" i="187" s="1"/>
  <c r="B13" i="187"/>
  <c r="B18" i="187" s="1"/>
  <c r="I35" i="186"/>
  <c r="I34" i="186"/>
  <c r="I33" i="186"/>
  <c r="I32" i="186"/>
  <c r="I27" i="186"/>
  <c r="E27" i="186"/>
  <c r="E23" i="186"/>
  <c r="B14" i="186" a="1"/>
  <c r="B14" i="186" s="1"/>
  <c r="B15" i="186" s="1"/>
  <c r="B18" i="186"/>
  <c r="I35" i="185"/>
  <c r="I34" i="185"/>
  <c r="I33" i="185"/>
  <c r="I32" i="185"/>
  <c r="I27" i="185"/>
  <c r="E27" i="185"/>
  <c r="E23" i="185"/>
  <c r="B14" i="185" a="1"/>
  <c r="B14" i="185" s="1"/>
  <c r="B15" i="185" s="1"/>
  <c r="B18" i="185"/>
  <c r="B23" i="181"/>
  <c r="B17" i="189" l="1"/>
  <c r="B19" i="189" s="1"/>
  <c r="B31" i="189" s="1"/>
  <c r="B41" i="195"/>
  <c r="B42" i="195" s="1"/>
  <c r="B43" i="195" s="1"/>
  <c r="B44" i="195" s="1"/>
  <c r="B28" i="190"/>
  <c r="B30" i="190" s="1"/>
  <c r="B31" i="190" s="1"/>
  <c r="B35" i="193"/>
  <c r="B36" i="193" s="1"/>
  <c r="E28" i="189"/>
  <c r="E30" i="189"/>
  <c r="B31" i="192"/>
  <c r="B39" i="195"/>
  <c r="B40" i="195" s="1"/>
  <c r="E28" i="190"/>
  <c r="E30" i="188"/>
  <c r="E28" i="188"/>
  <c r="B20" i="192"/>
  <c r="B39" i="192" s="1"/>
  <c r="B40" i="192" s="1"/>
  <c r="I36" i="185"/>
  <c r="E30" i="185" s="1"/>
  <c r="E24" i="189"/>
  <c r="E25" i="189" s="1"/>
  <c r="B46" i="189"/>
  <c r="B24" i="189"/>
  <c r="B25" i="189" s="1"/>
  <c r="B47" i="189"/>
  <c r="B47" i="190"/>
  <c r="B19" i="191"/>
  <c r="E31" i="191" s="1"/>
  <c r="B35" i="192"/>
  <c r="B36" i="192" s="1"/>
  <c r="B20" i="191"/>
  <c r="B35" i="191" s="1"/>
  <c r="B36" i="191" s="1"/>
  <c r="E24" i="190"/>
  <c r="E25" i="190" s="1"/>
  <c r="B34" i="190"/>
  <c r="B46" i="190"/>
  <c r="B24" i="190"/>
  <c r="B25" i="190" s="1"/>
  <c r="B41" i="193"/>
  <c r="B42" i="193" s="1"/>
  <c r="B43" i="193" s="1"/>
  <c r="B44" i="193" s="1"/>
  <c r="B39" i="193"/>
  <c r="B40" i="193" s="1"/>
  <c r="B41" i="192"/>
  <c r="B42" i="192" s="1"/>
  <c r="B43" i="192" s="1"/>
  <c r="B44" i="192" s="1"/>
  <c r="B41" i="191"/>
  <c r="B42" i="191" s="1"/>
  <c r="B43" i="191" s="1"/>
  <c r="B44" i="191" s="1"/>
  <c r="B17" i="188"/>
  <c r="B19" i="188" s="1"/>
  <c r="B31" i="188" s="1"/>
  <c r="E24" i="188"/>
  <c r="E25" i="188" s="1"/>
  <c r="B47" i="188"/>
  <c r="B24" i="188"/>
  <c r="B25" i="188" s="1"/>
  <c r="B34" i="188"/>
  <c r="I36" i="187"/>
  <c r="E28" i="187" s="1"/>
  <c r="B16" i="187"/>
  <c r="B46" i="187" s="1"/>
  <c r="E31" i="190"/>
  <c r="B20" i="190"/>
  <c r="B16" i="186"/>
  <c r="B46" i="186" s="1"/>
  <c r="I36" i="186"/>
  <c r="E28" i="186" s="1"/>
  <c r="B16" i="185"/>
  <c r="B47" i="185" s="1"/>
  <c r="I35" i="184"/>
  <c r="I34" i="184"/>
  <c r="I33" i="184"/>
  <c r="I32" i="184"/>
  <c r="I27" i="184"/>
  <c r="E27" i="184"/>
  <c r="E23" i="184"/>
  <c r="B18" i="184"/>
  <c r="B14" i="184" a="1"/>
  <c r="B14" i="184" s="1"/>
  <c r="B15" i="184" s="1"/>
  <c r="B16" i="184" s="1"/>
  <c r="I35" i="183"/>
  <c r="I34" i="183"/>
  <c r="I33" i="183"/>
  <c r="I32" i="183"/>
  <c r="I27" i="183"/>
  <c r="E27" i="183"/>
  <c r="E23" i="183"/>
  <c r="B14" i="183" a="1"/>
  <c r="B14" i="183" s="1"/>
  <c r="B15" i="183" s="1"/>
  <c r="B13" i="183"/>
  <c r="B18" i="183" s="1"/>
  <c r="I35" i="182"/>
  <c r="I34" i="182"/>
  <c r="I33" i="182"/>
  <c r="I32" i="182"/>
  <c r="I27" i="182"/>
  <c r="E27" i="182"/>
  <c r="E23" i="182"/>
  <c r="B14" i="182" a="1"/>
  <c r="B14" i="182" s="1"/>
  <c r="B15" i="182" s="1"/>
  <c r="B13" i="182"/>
  <c r="B18" i="182" s="1"/>
  <c r="B20" i="189" l="1"/>
  <c r="B35" i="189" s="1"/>
  <c r="B36" i="189" s="1"/>
  <c r="B28" i="185"/>
  <c r="B30" i="185" s="1"/>
  <c r="B39" i="191"/>
  <c r="B40" i="191" s="1"/>
  <c r="E31" i="189"/>
  <c r="B34" i="185"/>
  <c r="E28" i="185"/>
  <c r="B28" i="187"/>
  <c r="B30" i="187" s="1"/>
  <c r="E31" i="188"/>
  <c r="E24" i="187"/>
  <c r="E25" i="187" s="1"/>
  <c r="B46" i="185"/>
  <c r="B17" i="187"/>
  <c r="B19" i="187" s="1"/>
  <c r="B31" i="187" s="1"/>
  <c r="I36" i="183"/>
  <c r="B28" i="183" s="1"/>
  <c r="B30" i="183" s="1"/>
  <c r="E24" i="186"/>
  <c r="E25" i="186" s="1"/>
  <c r="B24" i="187"/>
  <c r="B25" i="187" s="1"/>
  <c r="B47" i="187"/>
  <c r="B47" i="186"/>
  <c r="B34" i="187"/>
  <c r="E24" i="185"/>
  <c r="E25" i="185" s="1"/>
  <c r="B17" i="185"/>
  <c r="B19" i="185" s="1"/>
  <c r="B28" i="186"/>
  <c r="B30" i="186" s="1"/>
  <c r="E30" i="186"/>
  <c r="B31" i="191"/>
  <c r="B24" i="185"/>
  <c r="B25" i="185" s="1"/>
  <c r="B24" i="186"/>
  <c r="B25" i="186" s="1"/>
  <c r="E30" i="187"/>
  <c r="B20" i="188"/>
  <c r="B35" i="188" s="1"/>
  <c r="B36" i="188" s="1"/>
  <c r="B35" i="190"/>
  <c r="B36" i="190" s="1"/>
  <c r="B41" i="190"/>
  <c r="B42" i="190" s="1"/>
  <c r="B43" i="190" s="1"/>
  <c r="B44" i="190" s="1"/>
  <c r="B39" i="190"/>
  <c r="B40" i="190" s="1"/>
  <c r="B41" i="189"/>
  <c r="B42" i="189" s="1"/>
  <c r="B43" i="189" s="1"/>
  <c r="B44" i="189" s="1"/>
  <c r="B39" i="189"/>
  <c r="B40" i="189" s="1"/>
  <c r="B34" i="186"/>
  <c r="B17" i="186"/>
  <c r="B19" i="186" s="1"/>
  <c r="E31" i="186" s="1"/>
  <c r="I36" i="184"/>
  <c r="E28" i="184" s="1"/>
  <c r="B16" i="183"/>
  <c r="B24" i="183" s="1"/>
  <c r="B25" i="183" s="1"/>
  <c r="I36" i="182"/>
  <c r="E28" i="182" s="1"/>
  <c r="B16" i="182"/>
  <c r="B34" i="182" s="1"/>
  <c r="B47" i="184"/>
  <c r="B17" i="184"/>
  <c r="B46" i="184"/>
  <c r="B34" i="184"/>
  <c r="E24" i="184"/>
  <c r="E25" i="184" s="1"/>
  <c r="B24" i="184"/>
  <c r="B25" i="184" s="1"/>
  <c r="I35" i="181"/>
  <c r="I34" i="181"/>
  <c r="I33" i="181"/>
  <c r="I32" i="181"/>
  <c r="I27" i="181"/>
  <c r="E27" i="181"/>
  <c r="E23" i="181"/>
  <c r="B14" i="181" a="1"/>
  <c r="B14" i="181" s="1"/>
  <c r="B15" i="181" s="1"/>
  <c r="B13" i="181"/>
  <c r="B18" i="181" s="1"/>
  <c r="I35" i="180"/>
  <c r="I34" i="180"/>
  <c r="I33" i="180"/>
  <c r="I32" i="180"/>
  <c r="I27" i="180"/>
  <c r="E27" i="180"/>
  <c r="E23" i="180"/>
  <c r="B14" i="180" a="1"/>
  <c r="B14" i="180" s="1"/>
  <c r="B15" i="180" s="1"/>
  <c r="B13" i="180"/>
  <c r="B18" i="180" s="1"/>
  <c r="I35" i="179"/>
  <c r="I34" i="179"/>
  <c r="I33" i="179"/>
  <c r="I32" i="179"/>
  <c r="I27" i="179"/>
  <c r="E27" i="179"/>
  <c r="E23" i="179"/>
  <c r="B14" i="179" a="1"/>
  <c r="B14" i="179" s="1"/>
  <c r="B15" i="179" s="1"/>
  <c r="B13" i="179"/>
  <c r="B18" i="179" s="1"/>
  <c r="E31" i="187" l="1"/>
  <c r="B31" i="185"/>
  <c r="E30" i="182"/>
  <c r="E28" i="183"/>
  <c r="E31" i="185"/>
  <c r="E24" i="183"/>
  <c r="E25" i="183" s="1"/>
  <c r="B20" i="187"/>
  <c r="B39" i="187" s="1"/>
  <c r="B40" i="187" s="1"/>
  <c r="E30" i="183"/>
  <c r="B28" i="184"/>
  <c r="B30" i="184" s="1"/>
  <c r="B46" i="183"/>
  <c r="B17" i="183"/>
  <c r="B19" i="183" s="1"/>
  <c r="E30" i="184"/>
  <c r="B24" i="182"/>
  <c r="B25" i="182" s="1"/>
  <c r="B17" i="182"/>
  <c r="B19" i="182" s="1"/>
  <c r="B47" i="183"/>
  <c r="B20" i="185"/>
  <c r="B35" i="185" s="1"/>
  <c r="B36" i="185" s="1"/>
  <c r="B39" i="188"/>
  <c r="B40" i="188" s="1"/>
  <c r="B46" i="182"/>
  <c r="B34" i="183"/>
  <c r="B28" i="182"/>
  <c r="B30" i="182" s="1"/>
  <c r="B41" i="188"/>
  <c r="B42" i="188" s="1"/>
  <c r="B43" i="188" s="1"/>
  <c r="B44" i="188" s="1"/>
  <c r="I36" i="181"/>
  <c r="E28" i="181" s="1"/>
  <c r="B31" i="186"/>
  <c r="B20" i="186"/>
  <c r="B35" i="186" s="1"/>
  <c r="B36" i="186" s="1"/>
  <c r="B19" i="184"/>
  <c r="B31" i="184" s="1"/>
  <c r="E24" i="182"/>
  <c r="E25" i="182" s="1"/>
  <c r="B47" i="182"/>
  <c r="B16" i="181"/>
  <c r="B46" i="181" s="1"/>
  <c r="B20" i="184"/>
  <c r="B35" i="184" s="1"/>
  <c r="B36" i="184" s="1"/>
  <c r="I36" i="180"/>
  <c r="B28" i="180" s="1"/>
  <c r="B30" i="180" s="1"/>
  <c r="B16" i="180"/>
  <c r="B47" i="180" s="1"/>
  <c r="I36" i="179"/>
  <c r="B28" i="179" s="1"/>
  <c r="B30" i="179" s="1"/>
  <c r="B16" i="179"/>
  <c r="B47" i="179" s="1"/>
  <c r="E21" i="158"/>
  <c r="E31" i="182" l="1"/>
  <c r="B39" i="185"/>
  <c r="B40" i="185" s="1"/>
  <c r="B41" i="185"/>
  <c r="B42" i="185" s="1"/>
  <c r="B43" i="185" s="1"/>
  <c r="B44" i="185" s="1"/>
  <c r="E28" i="179"/>
  <c r="B20" i="182"/>
  <c r="B35" i="182" s="1"/>
  <c r="B36" i="182" s="1"/>
  <c r="B41" i="187"/>
  <c r="B42" i="187" s="1"/>
  <c r="B43" i="187" s="1"/>
  <c r="B44" i="187" s="1"/>
  <c r="B35" i="187"/>
  <c r="B36" i="187" s="1"/>
  <c r="E30" i="181"/>
  <c r="B28" i="181"/>
  <c r="B30" i="181" s="1"/>
  <c r="E31" i="183"/>
  <c r="B24" i="179"/>
  <c r="B25" i="179" s="1"/>
  <c r="B20" i="183"/>
  <c r="B35" i="183" s="1"/>
  <c r="B36" i="183" s="1"/>
  <c r="B31" i="183"/>
  <c r="B31" i="182"/>
  <c r="B34" i="179"/>
  <c r="B17" i="181"/>
  <c r="B19" i="181" s="1"/>
  <c r="E30" i="179"/>
  <c r="B17" i="179"/>
  <c r="B19" i="179" s="1"/>
  <c r="E24" i="179"/>
  <c r="E25" i="179" s="1"/>
  <c r="B46" i="180"/>
  <c r="B46" i="179"/>
  <c r="E28" i="180"/>
  <c r="E30" i="180"/>
  <c r="B24" i="180"/>
  <c r="B25" i="180" s="1"/>
  <c r="E24" i="180"/>
  <c r="E25" i="180" s="1"/>
  <c r="B34" i="180"/>
  <c r="E31" i="184"/>
  <c r="B39" i="186"/>
  <c r="B40" i="186" s="1"/>
  <c r="B41" i="186"/>
  <c r="B42" i="186" s="1"/>
  <c r="B43" i="186" s="1"/>
  <c r="B44" i="186" s="1"/>
  <c r="E24" i="181"/>
  <c r="E25" i="181" s="1"/>
  <c r="B34" i="181"/>
  <c r="B24" i="181"/>
  <c r="B25" i="181" s="1"/>
  <c r="B47" i="181"/>
  <c r="B41" i="184"/>
  <c r="B42" i="184" s="1"/>
  <c r="B43" i="184" s="1"/>
  <c r="B44" i="184" s="1"/>
  <c r="B39" i="184"/>
  <c r="B40" i="184" s="1"/>
  <c r="B39" i="183"/>
  <c r="B40" i="183" s="1"/>
  <c r="B17" i="180"/>
  <c r="B19" i="180" s="1"/>
  <c r="B31" i="180" s="1"/>
  <c r="I35" i="178"/>
  <c r="I34" i="178"/>
  <c r="I33" i="178"/>
  <c r="I32" i="178"/>
  <c r="I27" i="178"/>
  <c r="E27" i="178"/>
  <c r="E23" i="178"/>
  <c r="B14" i="178" a="1"/>
  <c r="B14" i="178" s="1"/>
  <c r="B15" i="178" s="1"/>
  <c r="B13" i="178"/>
  <c r="B18" i="178" s="1"/>
  <c r="I35" i="177"/>
  <c r="I34" i="177"/>
  <c r="I33" i="177"/>
  <c r="I32" i="177"/>
  <c r="I27" i="177"/>
  <c r="E27" i="177"/>
  <c r="E23" i="177"/>
  <c r="B14" i="177" a="1"/>
  <c r="B14" i="177" s="1"/>
  <c r="B15" i="177" s="1"/>
  <c r="B13" i="177"/>
  <c r="B18" i="177" s="1"/>
  <c r="I35" i="176"/>
  <c r="I34" i="176"/>
  <c r="I33" i="176"/>
  <c r="I32" i="176"/>
  <c r="I27" i="176"/>
  <c r="E27" i="176"/>
  <c r="E23" i="176"/>
  <c r="B14" i="176" a="1"/>
  <c r="B14" i="176" s="1"/>
  <c r="B15" i="176" s="1"/>
  <c r="B13" i="176"/>
  <c r="B18" i="176" s="1"/>
  <c r="B13" i="174"/>
  <c r="B13" i="173"/>
  <c r="B41" i="183" l="1"/>
  <c r="B42" i="183" s="1"/>
  <c r="B43" i="183" s="1"/>
  <c r="B44" i="183" s="1"/>
  <c r="E31" i="181"/>
  <c r="B20" i="181"/>
  <c r="B35" i="181" s="1"/>
  <c r="B36" i="181" s="1"/>
  <c r="B39" i="182"/>
  <c r="B40" i="182" s="1"/>
  <c r="B41" i="182"/>
  <c r="B42" i="182" s="1"/>
  <c r="B43" i="182" s="1"/>
  <c r="B44" i="182" s="1"/>
  <c r="B31" i="181"/>
  <c r="E31" i="179"/>
  <c r="B31" i="179"/>
  <c r="B20" i="179"/>
  <c r="B20" i="180"/>
  <c r="B35" i="180" s="1"/>
  <c r="B36" i="180" s="1"/>
  <c r="B16" i="178"/>
  <c r="B17" i="178" s="1"/>
  <c r="B19" i="178" s="1"/>
  <c r="E31" i="180"/>
  <c r="I36" i="176"/>
  <c r="B28" i="176" s="1"/>
  <c r="B30" i="176" s="1"/>
  <c r="I36" i="177"/>
  <c r="E28" i="177" s="1"/>
  <c r="I36" i="178"/>
  <c r="B28" i="178" s="1"/>
  <c r="B30" i="178" s="1"/>
  <c r="B16" i="177"/>
  <c r="B46" i="177" s="1"/>
  <c r="B16" i="176"/>
  <c r="B17" i="176" s="1"/>
  <c r="B19" i="176" s="1"/>
  <c r="I35" i="175"/>
  <c r="I34" i="175"/>
  <c r="I33" i="175"/>
  <c r="I32" i="175"/>
  <c r="I27" i="175"/>
  <c r="E27" i="175"/>
  <c r="E23" i="175"/>
  <c r="B14" i="175" a="1"/>
  <c r="B14" i="175" s="1"/>
  <c r="B15" i="175" s="1"/>
  <c r="B13" i="175"/>
  <c r="B18" i="175" s="1"/>
  <c r="I35" i="174"/>
  <c r="I34" i="174"/>
  <c r="I33" i="174"/>
  <c r="I32" i="174"/>
  <c r="I27" i="174"/>
  <c r="E27" i="174"/>
  <c r="E23" i="174"/>
  <c r="B14" i="174" a="1"/>
  <c r="B14" i="174" s="1"/>
  <c r="B15" i="174" s="1"/>
  <c r="B18" i="174"/>
  <c r="I35" i="173"/>
  <c r="I34" i="173"/>
  <c r="I33" i="173"/>
  <c r="I32" i="173"/>
  <c r="I27" i="173"/>
  <c r="E27" i="173"/>
  <c r="E23" i="173"/>
  <c r="B14" i="173" a="1"/>
  <c r="B14" i="173" s="1"/>
  <c r="B15" i="173" s="1"/>
  <c r="B18" i="173"/>
  <c r="B39" i="181" l="1"/>
  <c r="B40" i="181" s="1"/>
  <c r="B41" i="181"/>
  <c r="B42" i="181" s="1"/>
  <c r="B43" i="181" s="1"/>
  <c r="B44" i="181" s="1"/>
  <c r="B47" i="176"/>
  <c r="E24" i="178"/>
  <c r="E25" i="178" s="1"/>
  <c r="B47" i="178"/>
  <c r="E30" i="176"/>
  <c r="E31" i="176" s="1"/>
  <c r="E28" i="176"/>
  <c r="B39" i="180"/>
  <c r="B40" i="180" s="1"/>
  <c r="E24" i="176"/>
  <c r="E25" i="176" s="1"/>
  <c r="B41" i="180"/>
  <c r="B42" i="180" s="1"/>
  <c r="B43" i="180" s="1"/>
  <c r="B44" i="180" s="1"/>
  <c r="E30" i="177"/>
  <c r="B28" i="177"/>
  <c r="B30" i="177" s="1"/>
  <c r="B34" i="178"/>
  <c r="B46" i="178"/>
  <c r="B35" i="179"/>
  <c r="B36" i="179" s="1"/>
  <c r="B41" i="179"/>
  <c r="B42" i="179" s="1"/>
  <c r="B43" i="179" s="1"/>
  <c r="B44" i="179" s="1"/>
  <c r="B39" i="179"/>
  <c r="B40" i="179" s="1"/>
  <c r="B24" i="178"/>
  <c r="B25" i="178" s="1"/>
  <c r="B17" i="177"/>
  <c r="B19" i="177" s="1"/>
  <c r="B34" i="176"/>
  <c r="B46" i="176"/>
  <c r="B24" i="176"/>
  <c r="B25" i="176" s="1"/>
  <c r="E30" i="178"/>
  <c r="E31" i="178" s="1"/>
  <c r="E28" i="178"/>
  <c r="I36" i="173"/>
  <c r="B28" i="173" s="1"/>
  <c r="B30" i="173" s="1"/>
  <c r="E24" i="177"/>
  <c r="E25" i="177" s="1"/>
  <c r="B24" i="177"/>
  <c r="B25" i="177" s="1"/>
  <c r="B47" i="177"/>
  <c r="B34" i="177"/>
  <c r="I36" i="175"/>
  <c r="B28" i="175" s="1"/>
  <c r="B30" i="175" s="1"/>
  <c r="B16" i="175"/>
  <c r="B24" i="175" s="1"/>
  <c r="B25" i="175" s="1"/>
  <c r="B20" i="178"/>
  <c r="B31" i="178"/>
  <c r="B31" i="176"/>
  <c r="B20" i="176"/>
  <c r="I36" i="174"/>
  <c r="B28" i="174" s="1"/>
  <c r="B30" i="174" s="1"/>
  <c r="B16" i="174"/>
  <c r="B47" i="174" s="1"/>
  <c r="B16" i="173"/>
  <c r="B34" i="173" s="1"/>
  <c r="I35" i="171"/>
  <c r="I34" i="171"/>
  <c r="I33" i="171"/>
  <c r="I32" i="171"/>
  <c r="I27" i="171"/>
  <c r="E27" i="171"/>
  <c r="E23" i="171"/>
  <c r="B14" i="171" a="1"/>
  <c r="B14" i="171" s="1"/>
  <c r="B15" i="171" s="1"/>
  <c r="B13" i="171"/>
  <c r="B18" i="171" s="1"/>
  <c r="I35" i="170"/>
  <c r="I34" i="170"/>
  <c r="I33" i="170"/>
  <c r="I32" i="170"/>
  <c r="I27" i="170"/>
  <c r="E27" i="170"/>
  <c r="E23" i="170"/>
  <c r="B14" i="170" a="1"/>
  <c r="B14" i="170" s="1"/>
  <c r="B15" i="170" s="1"/>
  <c r="B13" i="170"/>
  <c r="B18" i="170" s="1"/>
  <c r="I35" i="169"/>
  <c r="I34" i="169"/>
  <c r="I33" i="169"/>
  <c r="I32" i="169"/>
  <c r="I27" i="169"/>
  <c r="E27" i="169"/>
  <c r="E23" i="169"/>
  <c r="B14" i="169" a="1"/>
  <c r="B14" i="169" s="1"/>
  <c r="B15" i="169" s="1"/>
  <c r="B13" i="169"/>
  <c r="B18" i="169" s="1"/>
  <c r="I35" i="168"/>
  <c r="I34" i="168"/>
  <c r="I33" i="168"/>
  <c r="I32" i="168"/>
  <c r="I27" i="168"/>
  <c r="E27" i="168"/>
  <c r="E23" i="168"/>
  <c r="B14" i="168" a="1"/>
  <c r="B14" i="168" s="1"/>
  <c r="B15" i="168" s="1"/>
  <c r="B13" i="168"/>
  <c r="B18" i="168" s="1"/>
  <c r="I35" i="167"/>
  <c r="I34" i="167"/>
  <c r="I33" i="167"/>
  <c r="I32" i="167"/>
  <c r="I27" i="167"/>
  <c r="E27" i="167"/>
  <c r="E23" i="167"/>
  <c r="B14" i="167" a="1"/>
  <c r="B14" i="167" s="1"/>
  <c r="B15" i="167" s="1"/>
  <c r="B13" i="167"/>
  <c r="B18" i="167" s="1"/>
  <c r="I35" i="166"/>
  <c r="I34" i="166"/>
  <c r="I33" i="166"/>
  <c r="I32" i="166"/>
  <c r="I27" i="166"/>
  <c r="E27" i="166"/>
  <c r="E23" i="166"/>
  <c r="B14" i="166" a="1"/>
  <c r="B14" i="166" s="1"/>
  <c r="B15" i="166" s="1"/>
  <c r="B13" i="166"/>
  <c r="B18" i="166" s="1"/>
  <c r="B46" i="173" l="1"/>
  <c r="B35" i="178"/>
  <c r="B36" i="178" s="1"/>
  <c r="B20" i="177"/>
  <c r="B39" i="177" s="1"/>
  <c r="B40" i="177" s="1"/>
  <c r="B24" i="174"/>
  <c r="B25" i="174" s="1"/>
  <c r="E31" i="177"/>
  <c r="E28" i="174"/>
  <c r="B31" i="177"/>
  <c r="B16" i="168"/>
  <c r="B17" i="168" s="1"/>
  <c r="B19" i="168" s="1"/>
  <c r="B17" i="173"/>
  <c r="B19" i="173" s="1"/>
  <c r="B31" i="173" s="1"/>
  <c r="E30" i="174"/>
  <c r="E30" i="173"/>
  <c r="E28" i="173"/>
  <c r="B24" i="173"/>
  <c r="B25" i="173" s="1"/>
  <c r="B47" i="173"/>
  <c r="E24" i="173"/>
  <c r="E25" i="173" s="1"/>
  <c r="B34" i="175"/>
  <c r="B17" i="175"/>
  <c r="B19" i="175" s="1"/>
  <c r="B31" i="175" s="1"/>
  <c r="B47" i="175"/>
  <c r="E24" i="175"/>
  <c r="E25" i="175" s="1"/>
  <c r="I36" i="168"/>
  <c r="E28" i="168" s="1"/>
  <c r="I36" i="170"/>
  <c r="E28" i="170" s="1"/>
  <c r="B34" i="174"/>
  <c r="E30" i="175"/>
  <c r="E28" i="175"/>
  <c r="I36" i="171"/>
  <c r="B28" i="171" s="1"/>
  <c r="B30" i="171" s="1"/>
  <c r="B46" i="174"/>
  <c r="B46" i="175"/>
  <c r="I36" i="167"/>
  <c r="B28" i="167" s="1"/>
  <c r="B30" i="167" s="1"/>
  <c r="E24" i="174"/>
  <c r="E25" i="174" s="1"/>
  <c r="B17" i="174"/>
  <c r="B19" i="174" s="1"/>
  <c r="B31" i="174" s="1"/>
  <c r="B41" i="178"/>
  <c r="B42" i="178" s="1"/>
  <c r="B43" i="178" s="1"/>
  <c r="B44" i="178" s="1"/>
  <c r="B39" i="178"/>
  <c r="B40" i="178" s="1"/>
  <c r="B41" i="176"/>
  <c r="B42" i="176" s="1"/>
  <c r="B43" i="176" s="1"/>
  <c r="B44" i="176" s="1"/>
  <c r="B39" i="176"/>
  <c r="B40" i="176" s="1"/>
  <c r="B35" i="176"/>
  <c r="B36" i="176" s="1"/>
  <c r="B16" i="171"/>
  <c r="B46" i="171" s="1"/>
  <c r="B16" i="170"/>
  <c r="B17" i="170" s="1"/>
  <c r="B19" i="170" s="1"/>
  <c r="I36" i="169"/>
  <c r="E28" i="169" s="1"/>
  <c r="B16" i="169"/>
  <c r="B47" i="169" s="1"/>
  <c r="B16" i="167"/>
  <c r="B17" i="167" s="1"/>
  <c r="B19" i="167" s="1"/>
  <c r="I36" i="166"/>
  <c r="E30" i="166" s="1"/>
  <c r="B16" i="166"/>
  <c r="B24" i="166" s="1"/>
  <c r="B25" i="166" s="1"/>
  <c r="B41" i="177" l="1"/>
  <c r="B42" i="177" s="1"/>
  <c r="B43" i="177" s="1"/>
  <c r="B44" i="177" s="1"/>
  <c r="B35" i="177"/>
  <c r="B36" i="177" s="1"/>
  <c r="B34" i="169"/>
  <c r="E24" i="168"/>
  <c r="E25" i="168" s="1"/>
  <c r="B34" i="168"/>
  <c r="B47" i="168"/>
  <c r="E31" i="174"/>
  <c r="B34" i="167"/>
  <c r="B20" i="174"/>
  <c r="B35" i="174" s="1"/>
  <c r="B36" i="174" s="1"/>
  <c r="B47" i="167"/>
  <c r="E30" i="171"/>
  <c r="B20" i="173"/>
  <c r="B35" i="173" s="1"/>
  <c r="B36" i="173" s="1"/>
  <c r="B28" i="168"/>
  <c r="B30" i="168" s="1"/>
  <c r="B31" i="168" s="1"/>
  <c r="B46" i="168"/>
  <c r="E28" i="171"/>
  <c r="E31" i="173"/>
  <c r="E24" i="166"/>
  <c r="E25" i="166" s="1"/>
  <c r="B24" i="168"/>
  <c r="B25" i="168" s="1"/>
  <c r="E30" i="170"/>
  <c r="E31" i="170" s="1"/>
  <c r="B28" i="170"/>
  <c r="B30" i="170" s="1"/>
  <c r="B31" i="170" s="1"/>
  <c r="E24" i="171"/>
  <c r="E25" i="171" s="1"/>
  <c r="E31" i="175"/>
  <c r="B47" i="166"/>
  <c r="B17" i="171"/>
  <c r="B19" i="171" s="1"/>
  <c r="B31" i="171" s="1"/>
  <c r="B20" i="175"/>
  <c r="B39" i="175" s="1"/>
  <c r="B40" i="175" s="1"/>
  <c r="B46" i="169"/>
  <c r="B24" i="169"/>
  <c r="B25" i="169" s="1"/>
  <c r="B17" i="169"/>
  <c r="B19" i="169" s="1"/>
  <c r="E24" i="169"/>
  <c r="E25" i="169" s="1"/>
  <c r="E28" i="167"/>
  <c r="E30" i="167"/>
  <c r="E31" i="167" s="1"/>
  <c r="E30" i="168"/>
  <c r="E31" i="168" s="1"/>
  <c r="B28" i="169"/>
  <c r="B30" i="169" s="1"/>
  <c r="B47" i="170"/>
  <c r="B17" i="166"/>
  <c r="B19" i="166" s="1"/>
  <c r="E31" i="166" s="1"/>
  <c r="B34" i="166"/>
  <c r="E24" i="170"/>
  <c r="E25" i="170" s="1"/>
  <c r="E28" i="166"/>
  <c r="B46" i="166"/>
  <c r="E24" i="167"/>
  <c r="E25" i="167" s="1"/>
  <c r="E30" i="169"/>
  <c r="B34" i="170"/>
  <c r="B24" i="171"/>
  <c r="B25" i="171" s="1"/>
  <c r="B47" i="171"/>
  <c r="B34" i="171"/>
  <c r="B46" i="170"/>
  <c r="B24" i="170"/>
  <c r="B25" i="170" s="1"/>
  <c r="B20" i="170"/>
  <c r="B46" i="167"/>
  <c r="B24" i="167"/>
  <c r="B25" i="167" s="1"/>
  <c r="B28" i="166"/>
  <c r="B30" i="166" s="1"/>
  <c r="B20" i="168"/>
  <c r="B20" i="167"/>
  <c r="B31" i="167"/>
  <c r="I35" i="165"/>
  <c r="I34" i="165"/>
  <c r="I33" i="165"/>
  <c r="I32" i="165"/>
  <c r="I27" i="165"/>
  <c r="E27" i="165"/>
  <c r="E23" i="165"/>
  <c r="B14" i="165" a="1"/>
  <c r="B14" i="165" s="1"/>
  <c r="B15" i="165" s="1"/>
  <c r="B13" i="165"/>
  <c r="B18" i="165" s="1"/>
  <c r="I33" i="164"/>
  <c r="I32" i="164"/>
  <c r="I31" i="164"/>
  <c r="I30" i="164"/>
  <c r="I25" i="164"/>
  <c r="E25" i="164"/>
  <c r="E21" i="164"/>
  <c r="B14" i="164" a="1"/>
  <c r="B14" i="164" s="1"/>
  <c r="B15" i="164" s="1"/>
  <c r="B13" i="164"/>
  <c r="I33" i="163"/>
  <c r="I32" i="163"/>
  <c r="I31" i="163"/>
  <c r="I30" i="163"/>
  <c r="I25" i="163"/>
  <c r="E25" i="163"/>
  <c r="E21" i="163"/>
  <c r="B14" i="163" a="1"/>
  <c r="B14" i="163" s="1"/>
  <c r="B15" i="163" s="1"/>
  <c r="B13" i="163"/>
  <c r="B35" i="167" l="1"/>
  <c r="B36" i="167" s="1"/>
  <c r="B41" i="173"/>
  <c r="B42" i="173" s="1"/>
  <c r="B43" i="173" s="1"/>
  <c r="B44" i="173" s="1"/>
  <c r="B35" i="168"/>
  <c r="B36" i="168" s="1"/>
  <c r="B41" i="175"/>
  <c r="B42" i="175" s="1"/>
  <c r="B43" i="175" s="1"/>
  <c r="B44" i="175" s="1"/>
  <c r="E31" i="169"/>
  <c r="B39" i="173"/>
  <c r="B40" i="173" s="1"/>
  <c r="E31" i="171"/>
  <c r="B41" i="174"/>
  <c r="B42" i="174" s="1"/>
  <c r="B43" i="174" s="1"/>
  <c r="B44" i="174" s="1"/>
  <c r="B31" i="169"/>
  <c r="B35" i="175"/>
  <c r="B36" i="175" s="1"/>
  <c r="B39" i="174"/>
  <c r="B40" i="174" s="1"/>
  <c r="B31" i="166"/>
  <c r="B20" i="171"/>
  <c r="B35" i="171" s="1"/>
  <c r="B36" i="171" s="1"/>
  <c r="B20" i="169"/>
  <c r="B35" i="169" s="1"/>
  <c r="B36" i="169" s="1"/>
  <c r="B20" i="166"/>
  <c r="B35" i="166" s="1"/>
  <c r="B36" i="166" s="1"/>
  <c r="I34" i="163"/>
  <c r="E26" i="163" s="1"/>
  <c r="B35" i="170"/>
  <c r="B36" i="170" s="1"/>
  <c r="I36" i="165"/>
  <c r="E30" i="165" s="1"/>
  <c r="B41" i="170"/>
  <c r="B42" i="170" s="1"/>
  <c r="B43" i="170" s="1"/>
  <c r="B44" i="170" s="1"/>
  <c r="B39" i="170"/>
  <c r="B40" i="170" s="1"/>
  <c r="B16" i="165"/>
  <c r="B34" i="165" s="1"/>
  <c r="B41" i="168"/>
  <c r="B42" i="168" s="1"/>
  <c r="B43" i="168" s="1"/>
  <c r="B44" i="168" s="1"/>
  <c r="B39" i="168"/>
  <c r="B40" i="168" s="1"/>
  <c r="B41" i="167"/>
  <c r="B42" i="167" s="1"/>
  <c r="B43" i="167" s="1"/>
  <c r="B44" i="167" s="1"/>
  <c r="B39" i="167"/>
  <c r="B40" i="167" s="1"/>
  <c r="I34" i="164"/>
  <c r="E26" i="164" s="1"/>
  <c r="B16" i="164"/>
  <c r="B32" i="164" s="1"/>
  <c r="B16" i="163"/>
  <c r="B44" i="163" s="1"/>
  <c r="E28" i="163" l="1"/>
  <c r="B26" i="163"/>
  <c r="B28" i="163" s="1"/>
  <c r="B39" i="166"/>
  <c r="B40" i="166" s="1"/>
  <c r="B39" i="171"/>
  <c r="B40" i="171" s="1"/>
  <c r="E28" i="164"/>
  <c r="B41" i="166"/>
  <c r="B42" i="166" s="1"/>
  <c r="B43" i="166" s="1"/>
  <c r="B44" i="166" s="1"/>
  <c r="B44" i="164"/>
  <c r="B28" i="165"/>
  <c r="B30" i="165" s="1"/>
  <c r="B41" i="169"/>
  <c r="B42" i="169" s="1"/>
  <c r="B43" i="169" s="1"/>
  <c r="B44" i="169" s="1"/>
  <c r="B41" i="171"/>
  <c r="B42" i="171" s="1"/>
  <c r="B43" i="171" s="1"/>
  <c r="B44" i="171" s="1"/>
  <c r="B39" i="169"/>
  <c r="B40" i="169" s="1"/>
  <c r="E22" i="164"/>
  <c r="E23" i="164" s="1"/>
  <c r="B45" i="164"/>
  <c r="B22" i="164"/>
  <c r="B23" i="164" s="1"/>
  <c r="B46" i="165"/>
  <c r="B17" i="164"/>
  <c r="B18" i="164" s="1"/>
  <c r="B37" i="164" s="1"/>
  <c r="B38" i="164" s="1"/>
  <c r="E28" i="165"/>
  <c r="B26" i="164"/>
  <c r="B28" i="164" s="1"/>
  <c r="B17" i="163"/>
  <c r="B18" i="163" s="1"/>
  <c r="B39" i="163" s="1"/>
  <c r="B40" i="163" s="1"/>
  <c r="B41" i="163" s="1"/>
  <c r="B42" i="163" s="1"/>
  <c r="B22" i="163"/>
  <c r="B23" i="163" s="1"/>
  <c r="E22" i="163"/>
  <c r="E23" i="163" s="1"/>
  <c r="B45" i="163"/>
  <c r="B32" i="163"/>
  <c r="B24" i="165"/>
  <c r="B25" i="165" s="1"/>
  <c r="E24" i="165"/>
  <c r="E25" i="165" s="1"/>
  <c r="B17" i="165"/>
  <c r="B47" i="165"/>
  <c r="E29" i="164" l="1"/>
  <c r="B29" i="164"/>
  <c r="B33" i="164"/>
  <c r="B34" i="164" s="1"/>
  <c r="B39" i="164"/>
  <c r="B40" i="164" s="1"/>
  <c r="B41" i="164" s="1"/>
  <c r="B42" i="164" s="1"/>
  <c r="B29" i="163"/>
  <c r="B33" i="163"/>
  <c r="B34" i="163" s="1"/>
  <c r="B37" i="163"/>
  <c r="B38" i="163" s="1"/>
  <c r="E29" i="163"/>
  <c r="B20" i="165"/>
  <c r="B19" i="165"/>
  <c r="I33" i="162"/>
  <c r="I32" i="162"/>
  <c r="I31" i="162"/>
  <c r="I30" i="162"/>
  <c r="I25" i="162"/>
  <c r="E25" i="162"/>
  <c r="E21" i="162"/>
  <c r="B14" i="162" a="1"/>
  <c r="B14" i="162" s="1"/>
  <c r="B15" i="162" s="1"/>
  <c r="B13" i="162"/>
  <c r="I33" i="161"/>
  <c r="I32" i="161"/>
  <c r="I31" i="161"/>
  <c r="I30" i="161"/>
  <c r="I25" i="161"/>
  <c r="E25" i="161"/>
  <c r="E21" i="161"/>
  <c r="B14" i="161" a="1"/>
  <c r="B14" i="161" s="1"/>
  <c r="B15" i="161" s="1"/>
  <c r="B13" i="161"/>
  <c r="I33" i="160"/>
  <c r="I32" i="160"/>
  <c r="I31" i="160"/>
  <c r="I30" i="160"/>
  <c r="I25" i="160"/>
  <c r="E25" i="160"/>
  <c r="E21" i="160"/>
  <c r="B14" i="160" a="1"/>
  <c r="B14" i="160" s="1"/>
  <c r="B15" i="160" s="1"/>
  <c r="B13" i="160"/>
  <c r="I34" i="160" l="1"/>
  <c r="B26" i="160" s="1"/>
  <c r="B28" i="160" s="1"/>
  <c r="B31" i="165"/>
  <c r="E31" i="165"/>
  <c r="B35" i="165"/>
  <c r="B36" i="165" s="1"/>
  <c r="B39" i="165"/>
  <c r="B40" i="165" s="1"/>
  <c r="B41" i="165"/>
  <c r="B42" i="165" s="1"/>
  <c r="B43" i="165" s="1"/>
  <c r="B44" i="165" s="1"/>
  <c r="I34" i="162"/>
  <c r="E28" i="162" s="1"/>
  <c r="B16" i="162"/>
  <c r="B17" i="162" s="1"/>
  <c r="B16" i="161"/>
  <c r="E22" i="161" s="1"/>
  <c r="E23" i="161" s="1"/>
  <c r="I34" i="161"/>
  <c r="E28" i="161" s="1"/>
  <c r="B16" i="160"/>
  <c r="B32" i="160" s="1"/>
  <c r="B13" i="157"/>
  <c r="E26" i="160" l="1"/>
  <c r="E26" i="162"/>
  <c r="E26" i="161"/>
  <c r="E28" i="160"/>
  <c r="B26" i="161"/>
  <c r="B28" i="161" s="1"/>
  <c r="B22" i="162"/>
  <c r="B23" i="162" s="1"/>
  <c r="B45" i="162"/>
  <c r="B32" i="161"/>
  <c r="B32" i="162"/>
  <c r="B17" i="160"/>
  <c r="B18" i="160" s="1"/>
  <c r="B33" i="160" s="1"/>
  <c r="B34" i="160" s="1"/>
  <c r="E22" i="162"/>
  <c r="E23" i="162" s="1"/>
  <c r="B44" i="162"/>
  <c r="B26" i="162"/>
  <c r="B28" i="162" s="1"/>
  <c r="B29" i="162" s="1"/>
  <c r="E29" i="162"/>
  <c r="B22" i="161"/>
  <c r="B23" i="161" s="1"/>
  <c r="B17" i="161"/>
  <c r="E29" i="161" s="1"/>
  <c r="B22" i="160"/>
  <c r="B23" i="160" s="1"/>
  <c r="E22" i="160"/>
  <c r="E23" i="160" s="1"/>
  <c r="B18" i="162"/>
  <c r="I33" i="159"/>
  <c r="I32" i="159"/>
  <c r="I31" i="159"/>
  <c r="I30" i="159"/>
  <c r="I25" i="159"/>
  <c r="E25" i="159"/>
  <c r="E21" i="159"/>
  <c r="B14" i="159" a="1"/>
  <c r="B14" i="159" s="1"/>
  <c r="B15" i="159" s="1"/>
  <c r="B13" i="159"/>
  <c r="I33" i="158"/>
  <c r="I32" i="158"/>
  <c r="I31" i="158"/>
  <c r="I30" i="158"/>
  <c r="I25" i="158"/>
  <c r="E25" i="158"/>
  <c r="B14" i="158" a="1"/>
  <c r="B14" i="158" s="1"/>
  <c r="B15" i="158" s="1"/>
  <c r="B13" i="158"/>
  <c r="I33" i="157"/>
  <c r="I32" i="157"/>
  <c r="I31" i="157"/>
  <c r="I30" i="157"/>
  <c r="I25" i="157"/>
  <c r="E25" i="157"/>
  <c r="E21" i="157"/>
  <c r="B14" i="157" a="1"/>
  <c r="B14" i="157" s="1"/>
  <c r="B15" i="157" s="1"/>
  <c r="B13" i="155"/>
  <c r="B13" i="154"/>
  <c r="B21" i="153"/>
  <c r="B13" i="153"/>
  <c r="B33" i="162" l="1"/>
  <c r="B34" i="162" s="1"/>
  <c r="E29" i="160"/>
  <c r="B39" i="160"/>
  <c r="B40" i="160" s="1"/>
  <c r="B41" i="160" s="1"/>
  <c r="B42" i="160" s="1"/>
  <c r="B29" i="160"/>
  <c r="B37" i="160"/>
  <c r="B38" i="160" s="1"/>
  <c r="I34" i="159"/>
  <c r="E26" i="159" s="1"/>
  <c r="I34" i="157"/>
  <c r="B26" i="157" s="1"/>
  <c r="B28" i="157" s="1"/>
  <c r="B18" i="161"/>
  <c r="B33" i="161" s="1"/>
  <c r="B34" i="161" s="1"/>
  <c r="B29" i="161"/>
  <c r="B16" i="159"/>
  <c r="B17" i="159" s="1"/>
  <c r="B37" i="162"/>
  <c r="B38" i="162" s="1"/>
  <c r="B39" i="162"/>
  <c r="B40" i="162" s="1"/>
  <c r="B41" i="162" s="1"/>
  <c r="B42" i="162" s="1"/>
  <c r="I34" i="158"/>
  <c r="B26" i="158" s="1"/>
  <c r="B28" i="158" s="1"/>
  <c r="B16" i="158"/>
  <c r="E22" i="158" s="1"/>
  <c r="E23" i="158" s="1"/>
  <c r="B16" i="157"/>
  <c r="B22" i="157" s="1"/>
  <c r="B23" i="157" s="1"/>
  <c r="I33" i="156"/>
  <c r="I32" i="156"/>
  <c r="I31" i="156"/>
  <c r="I30" i="156"/>
  <c r="I25" i="156"/>
  <c r="E25" i="156"/>
  <c r="E21" i="156"/>
  <c r="B14" i="156" a="1"/>
  <c r="B14" i="156" s="1"/>
  <c r="B15" i="156" s="1"/>
  <c r="B13" i="156"/>
  <c r="I33" i="155"/>
  <c r="I32" i="155"/>
  <c r="I31" i="155"/>
  <c r="I30" i="155"/>
  <c r="I25" i="155"/>
  <c r="E25" i="155"/>
  <c r="E21" i="155"/>
  <c r="B14" i="155" a="1"/>
  <c r="B14" i="155" s="1"/>
  <c r="B15" i="155" s="1"/>
  <c r="I33" i="154"/>
  <c r="I32" i="154"/>
  <c r="I31" i="154"/>
  <c r="I30" i="154"/>
  <c r="I25" i="154"/>
  <c r="E25" i="154"/>
  <c r="E21" i="154"/>
  <c r="B14" i="154" a="1"/>
  <c r="B14" i="154" s="1"/>
  <c r="B15" i="154" s="1"/>
  <c r="B13" i="152"/>
  <c r="B13" i="151"/>
  <c r="B13" i="150"/>
  <c r="B17" i="157" l="1"/>
  <c r="B29" i="157" s="1"/>
  <c r="B26" i="159"/>
  <c r="B28" i="159" s="1"/>
  <c r="B29" i="159" s="1"/>
  <c r="E28" i="157"/>
  <c r="E22" i="159"/>
  <c r="E23" i="159" s="1"/>
  <c r="E28" i="159"/>
  <c r="E29" i="159" s="1"/>
  <c r="E26" i="157"/>
  <c r="B32" i="157"/>
  <c r="B32" i="158"/>
  <c r="B39" i="161"/>
  <c r="B40" i="161" s="1"/>
  <c r="B41" i="161" s="1"/>
  <c r="B42" i="161" s="1"/>
  <c r="I34" i="154"/>
  <c r="B26" i="154" s="1"/>
  <c r="B28" i="154" s="1"/>
  <c r="B22" i="158"/>
  <c r="B23" i="158" s="1"/>
  <c r="B17" i="158"/>
  <c r="B18" i="158" s="1"/>
  <c r="B33" i="158" s="1"/>
  <c r="B34" i="158" s="1"/>
  <c r="B37" i="161"/>
  <c r="B38" i="161" s="1"/>
  <c r="I34" i="155"/>
  <c r="E28" i="155" s="1"/>
  <c r="I34" i="156"/>
  <c r="E26" i="156" s="1"/>
  <c r="E26" i="158"/>
  <c r="E28" i="158"/>
  <c r="B32" i="159"/>
  <c r="B22" i="159"/>
  <c r="B23" i="159" s="1"/>
  <c r="E22" i="157"/>
  <c r="E23" i="157" s="1"/>
  <c r="B16" i="156"/>
  <c r="B17" i="156" s="1"/>
  <c r="B18" i="156" s="1"/>
  <c r="B18" i="159"/>
  <c r="B16" i="155"/>
  <c r="B32" i="155" s="1"/>
  <c r="B16" i="154"/>
  <c r="B32" i="154" s="1"/>
  <c r="I33" i="153"/>
  <c r="I32" i="153"/>
  <c r="I31" i="153"/>
  <c r="I30" i="153"/>
  <c r="I25" i="153"/>
  <c r="E25" i="153"/>
  <c r="E21" i="153"/>
  <c r="B14" i="153" a="1"/>
  <c r="B14" i="153" s="1"/>
  <c r="B15" i="153" s="1"/>
  <c r="I33" i="152"/>
  <c r="I32" i="152"/>
  <c r="I31" i="152"/>
  <c r="I30" i="152"/>
  <c r="I25" i="152"/>
  <c r="E25" i="152"/>
  <c r="E21" i="152"/>
  <c r="B14" i="152" a="1"/>
  <c r="B14" i="152" s="1"/>
  <c r="B15" i="152" s="1"/>
  <c r="I33" i="151"/>
  <c r="I32" i="151"/>
  <c r="I31" i="151"/>
  <c r="I30" i="151"/>
  <c r="I25" i="151"/>
  <c r="E25" i="151"/>
  <c r="E21" i="151"/>
  <c r="B14" i="151" a="1"/>
  <c r="B14" i="151" s="1"/>
  <c r="B15" i="151" s="1"/>
  <c r="B16" i="151" s="1"/>
  <c r="B13" i="148"/>
  <c r="E21" i="147"/>
  <c r="B13" i="147"/>
  <c r="E29" i="157" l="1"/>
  <c r="B18" i="157"/>
  <c r="B39" i="157" s="1"/>
  <c r="B40" i="157" s="1"/>
  <c r="B41" i="157" s="1"/>
  <c r="B42" i="157" s="1"/>
  <c r="E28" i="156"/>
  <c r="E29" i="156" s="1"/>
  <c r="B37" i="158"/>
  <c r="B38" i="158" s="1"/>
  <c r="E22" i="156"/>
  <c r="E23" i="156" s="1"/>
  <c r="E29" i="158"/>
  <c r="E22" i="155"/>
  <c r="E23" i="155" s="1"/>
  <c r="B39" i="158"/>
  <c r="B40" i="158" s="1"/>
  <c r="B41" i="158" s="1"/>
  <c r="B42" i="158" s="1"/>
  <c r="B29" i="158"/>
  <c r="E28" i="154"/>
  <c r="B17" i="154"/>
  <c r="B29" i="154" s="1"/>
  <c r="E26" i="154"/>
  <c r="B26" i="156"/>
  <c r="B28" i="156" s="1"/>
  <c r="B29" i="156" s="1"/>
  <c r="B22" i="154"/>
  <c r="B23" i="154" s="1"/>
  <c r="B22" i="156"/>
  <c r="B23" i="156" s="1"/>
  <c r="E26" i="155"/>
  <c r="B22" i="155"/>
  <c r="B23" i="155" s="1"/>
  <c r="B26" i="155"/>
  <c r="B28" i="155" s="1"/>
  <c r="B17" i="155"/>
  <c r="B18" i="155" s="1"/>
  <c r="B39" i="155" s="1"/>
  <c r="B40" i="155" s="1"/>
  <c r="B41" i="155" s="1"/>
  <c r="B42" i="155" s="1"/>
  <c r="B32" i="156"/>
  <c r="B37" i="156" s="1"/>
  <c r="B38" i="156" s="1"/>
  <c r="B33" i="159"/>
  <c r="B34" i="159" s="1"/>
  <c r="B37" i="159"/>
  <c r="B38" i="159" s="1"/>
  <c r="B39" i="159"/>
  <c r="B40" i="159" s="1"/>
  <c r="B41" i="159" s="1"/>
  <c r="B42" i="159" s="1"/>
  <c r="E22" i="154"/>
  <c r="E23" i="154" s="1"/>
  <c r="I34" i="153"/>
  <c r="E28" i="153" s="1"/>
  <c r="B16" i="153"/>
  <c r="B17" i="153" s="1"/>
  <c r="B18" i="153" s="1"/>
  <c r="B39" i="156"/>
  <c r="B40" i="156" s="1"/>
  <c r="B41" i="156" s="1"/>
  <c r="B42" i="156" s="1"/>
  <c r="I34" i="152"/>
  <c r="E28" i="152" s="1"/>
  <c r="B16" i="152"/>
  <c r="B22" i="152" s="1"/>
  <c r="B23" i="152" s="1"/>
  <c r="I34" i="151"/>
  <c r="B26" i="151" s="1"/>
  <c r="B28" i="151" s="1"/>
  <c r="E22" i="151"/>
  <c r="E23" i="151" s="1"/>
  <c r="B17" i="151"/>
  <c r="B18" i="151" s="1"/>
  <c r="B22" i="151"/>
  <c r="B23" i="151" s="1"/>
  <c r="B32" i="151"/>
  <c r="I33" i="150"/>
  <c r="I32" i="150"/>
  <c r="I31" i="150"/>
  <c r="I30" i="150"/>
  <c r="I25" i="150"/>
  <c r="E25" i="150"/>
  <c r="E21" i="150"/>
  <c r="B14" i="150" a="1"/>
  <c r="B14" i="150" s="1"/>
  <c r="B15" i="150" s="1"/>
  <c r="I33" i="149"/>
  <c r="I32" i="149"/>
  <c r="I31" i="149"/>
  <c r="I30" i="149"/>
  <c r="I25" i="149"/>
  <c r="E25" i="149"/>
  <c r="E21" i="149"/>
  <c r="B14" i="149" a="1"/>
  <c r="B14" i="149" s="1"/>
  <c r="B15" i="149" s="1"/>
  <c r="B13" i="149"/>
  <c r="I33" i="148"/>
  <c r="I32" i="148"/>
  <c r="I31" i="148"/>
  <c r="I30" i="148"/>
  <c r="I25" i="148"/>
  <c r="E25" i="148"/>
  <c r="E21" i="148"/>
  <c r="B14" i="148" a="1"/>
  <c r="B14" i="148" s="1"/>
  <c r="B15" i="148" s="1"/>
  <c r="B13" i="146"/>
  <c r="B13" i="145"/>
  <c r="B13" i="144"/>
  <c r="B37" i="155" l="1"/>
  <c r="B38" i="155" s="1"/>
  <c r="B26" i="153"/>
  <c r="B28" i="153" s="1"/>
  <c r="B18" i="154"/>
  <c r="B39" i="154" s="1"/>
  <c r="B40" i="154" s="1"/>
  <c r="B41" i="154" s="1"/>
  <c r="B42" i="154" s="1"/>
  <c r="E26" i="151"/>
  <c r="B37" i="157"/>
  <c r="B38" i="157" s="1"/>
  <c r="B33" i="157"/>
  <c r="B34" i="157" s="1"/>
  <c r="E26" i="152"/>
  <c r="B33" i="156"/>
  <c r="B34" i="156" s="1"/>
  <c r="E26" i="153"/>
  <c r="E29" i="154"/>
  <c r="E28" i="151"/>
  <c r="E29" i="151" s="1"/>
  <c r="B32" i="152"/>
  <c r="E22" i="153"/>
  <c r="E23" i="153" s="1"/>
  <c r="B17" i="152"/>
  <c r="B18" i="152" s="1"/>
  <c r="B39" i="152" s="1"/>
  <c r="B40" i="152" s="1"/>
  <c r="B41" i="152" s="1"/>
  <c r="B42" i="152" s="1"/>
  <c r="B32" i="153"/>
  <c r="B33" i="153" s="1"/>
  <c r="B34" i="153" s="1"/>
  <c r="B22" i="153"/>
  <c r="B23" i="153" s="1"/>
  <c r="B33" i="155"/>
  <c r="B34" i="155" s="1"/>
  <c r="E29" i="153"/>
  <c r="B29" i="155"/>
  <c r="B26" i="152"/>
  <c r="B28" i="152" s="1"/>
  <c r="E29" i="155"/>
  <c r="B29" i="153"/>
  <c r="B37" i="154"/>
  <c r="B38" i="154" s="1"/>
  <c r="E22" i="152"/>
  <c r="E23" i="152" s="1"/>
  <c r="B16" i="150"/>
  <c r="B22" i="150" s="1"/>
  <c r="B23" i="150" s="1"/>
  <c r="B39" i="153"/>
  <c r="B40" i="153" s="1"/>
  <c r="B41" i="153" s="1"/>
  <c r="B42" i="153" s="1"/>
  <c r="B37" i="151"/>
  <c r="B38" i="151" s="1"/>
  <c r="B39" i="151"/>
  <c r="B40" i="151" s="1"/>
  <c r="B41" i="151" s="1"/>
  <c r="B42" i="151" s="1"/>
  <c r="B33" i="151"/>
  <c r="B34" i="151" s="1"/>
  <c r="B29" i="151"/>
  <c r="I34" i="149"/>
  <c r="B26" i="149" s="1"/>
  <c r="B28" i="149" s="1"/>
  <c r="B16" i="149"/>
  <c r="B17" i="149" s="1"/>
  <c r="I34" i="148"/>
  <c r="E28" i="148" s="1"/>
  <c r="B16" i="148"/>
  <c r="B17" i="148" s="1"/>
  <c r="B18" i="148" s="1"/>
  <c r="I34" i="150"/>
  <c r="E28" i="150" s="1"/>
  <c r="I33" i="147"/>
  <c r="I32" i="147"/>
  <c r="I31" i="147"/>
  <c r="I30" i="147"/>
  <c r="I25" i="147"/>
  <c r="E25" i="147"/>
  <c r="B14" i="147" a="1"/>
  <c r="B14" i="147" s="1"/>
  <c r="B15" i="147" s="1"/>
  <c r="B16" i="147" s="1"/>
  <c r="I33" i="146"/>
  <c r="I32" i="146"/>
  <c r="I31" i="146"/>
  <c r="I30" i="146"/>
  <c r="I25" i="146"/>
  <c r="E25" i="146"/>
  <c r="E21" i="146"/>
  <c r="B14" i="146" a="1"/>
  <c r="B14" i="146" s="1"/>
  <c r="B15" i="146" s="1"/>
  <c r="I33" i="145"/>
  <c r="I32" i="145"/>
  <c r="I31" i="145"/>
  <c r="I30" i="145"/>
  <c r="I25" i="145"/>
  <c r="E25" i="145"/>
  <c r="E21" i="145"/>
  <c r="B14" i="145" a="1"/>
  <c r="B14" i="145" s="1"/>
  <c r="B15" i="145" s="1"/>
  <c r="B21" i="143"/>
  <c r="B13" i="143"/>
  <c r="B13" i="142"/>
  <c r="B13" i="140"/>
  <c r="B21" i="140"/>
  <c r="B33" i="154" l="1"/>
  <c r="B34" i="154" s="1"/>
  <c r="E28" i="149"/>
  <c r="E22" i="150"/>
  <c r="E23" i="150" s="1"/>
  <c r="B37" i="152"/>
  <c r="B38" i="152" s="1"/>
  <c r="E26" i="149"/>
  <c r="E29" i="152"/>
  <c r="B33" i="152"/>
  <c r="B34" i="152" s="1"/>
  <c r="B37" i="153"/>
  <c r="B38" i="153" s="1"/>
  <c r="E26" i="150"/>
  <c r="E22" i="149"/>
  <c r="E23" i="149" s="1"/>
  <c r="B29" i="152"/>
  <c r="E22" i="148"/>
  <c r="E23" i="148" s="1"/>
  <c r="B32" i="149"/>
  <c r="B17" i="150"/>
  <c r="B18" i="150" s="1"/>
  <c r="B39" i="150" s="1"/>
  <c r="B40" i="150" s="1"/>
  <c r="B41" i="150" s="1"/>
  <c r="B42" i="150" s="1"/>
  <c r="B22" i="149"/>
  <c r="B23" i="149" s="1"/>
  <c r="B32" i="150"/>
  <c r="B26" i="150"/>
  <c r="B28" i="150" s="1"/>
  <c r="B29" i="149"/>
  <c r="B26" i="148"/>
  <c r="B28" i="148" s="1"/>
  <c r="B29" i="148" s="1"/>
  <c r="E26" i="148"/>
  <c r="B32" i="148"/>
  <c r="B33" i="148" s="1"/>
  <c r="B34" i="148" s="1"/>
  <c r="B22" i="148"/>
  <c r="B23" i="148" s="1"/>
  <c r="E29" i="148"/>
  <c r="I34" i="147"/>
  <c r="E28" i="147" s="1"/>
  <c r="B18" i="149"/>
  <c r="E29" i="149"/>
  <c r="B39" i="148"/>
  <c r="B40" i="148" s="1"/>
  <c r="B41" i="148" s="1"/>
  <c r="B42" i="148" s="1"/>
  <c r="I34" i="146"/>
  <c r="E28" i="146" s="1"/>
  <c r="B16" i="146"/>
  <c r="B17" i="146" s="1"/>
  <c r="B18" i="146" s="1"/>
  <c r="I34" i="145"/>
  <c r="E26" i="145" s="1"/>
  <c r="B16" i="145"/>
  <c r="B17" i="145" s="1"/>
  <c r="B18" i="145" s="1"/>
  <c r="E22" i="147"/>
  <c r="E23" i="147" s="1"/>
  <c r="B17" i="147"/>
  <c r="B18" i="147" s="1"/>
  <c r="B22" i="147"/>
  <c r="B23" i="147" s="1"/>
  <c r="B32" i="147"/>
  <c r="E26" i="147"/>
  <c r="B21" i="139"/>
  <c r="B21" i="137"/>
  <c r="I33" i="144"/>
  <c r="I32" i="144"/>
  <c r="I31" i="144"/>
  <c r="I30" i="144"/>
  <c r="I25" i="144"/>
  <c r="E25" i="144"/>
  <c r="E21" i="144"/>
  <c r="B14" i="144" a="1"/>
  <c r="B14" i="144" s="1"/>
  <c r="B15" i="144" s="1"/>
  <c r="I33" i="143"/>
  <c r="I32" i="143"/>
  <c r="I31" i="143"/>
  <c r="I30" i="143"/>
  <c r="I25" i="143"/>
  <c r="E25" i="143"/>
  <c r="E21" i="143"/>
  <c r="B14" i="143" a="1"/>
  <c r="B14" i="143" s="1"/>
  <c r="B15" i="143" s="1"/>
  <c r="B16" i="143" s="1"/>
  <c r="I33" i="142"/>
  <c r="I32" i="142"/>
  <c r="I31" i="142"/>
  <c r="I30" i="142"/>
  <c r="I25" i="142"/>
  <c r="E25" i="142"/>
  <c r="E21" i="142"/>
  <c r="B14" i="142" a="1"/>
  <c r="B14" i="142" s="1"/>
  <c r="B15" i="142" s="1"/>
  <c r="B21" i="141"/>
  <c r="B26" i="147" l="1"/>
  <c r="B28" i="147" s="1"/>
  <c r="B29" i="147" s="1"/>
  <c r="E29" i="150"/>
  <c r="B32" i="146"/>
  <c r="B33" i="146" s="1"/>
  <c r="B34" i="146" s="1"/>
  <c r="E22" i="146"/>
  <c r="E23" i="146" s="1"/>
  <c r="B22" i="146"/>
  <c r="B23" i="146" s="1"/>
  <c r="B37" i="148"/>
  <c r="B38" i="148" s="1"/>
  <c r="B37" i="150"/>
  <c r="B38" i="150" s="1"/>
  <c r="B33" i="150"/>
  <c r="B34" i="150" s="1"/>
  <c r="B32" i="145"/>
  <c r="B37" i="145" s="1"/>
  <c r="B38" i="145" s="1"/>
  <c r="E22" i="145"/>
  <c r="E23" i="145" s="1"/>
  <c r="B33" i="149"/>
  <c r="B34" i="149" s="1"/>
  <c r="B29" i="150"/>
  <c r="E26" i="146"/>
  <c r="E28" i="145"/>
  <c r="E29" i="145" s="1"/>
  <c r="I34" i="144"/>
  <c r="B26" i="144" s="1"/>
  <c r="B28" i="144" s="1"/>
  <c r="B26" i="145"/>
  <c r="B28" i="145" s="1"/>
  <c r="B29" i="145" s="1"/>
  <c r="B26" i="146"/>
  <c r="B28" i="146" s="1"/>
  <c r="B29" i="146" s="1"/>
  <c r="E29" i="147"/>
  <c r="B37" i="149"/>
  <c r="B38" i="149" s="1"/>
  <c r="B39" i="149"/>
  <c r="B40" i="149" s="1"/>
  <c r="B41" i="149" s="1"/>
  <c r="B42" i="149" s="1"/>
  <c r="E29" i="146"/>
  <c r="B22" i="145"/>
  <c r="B23" i="145" s="1"/>
  <c r="B16" i="144"/>
  <c r="E22" i="144" s="1"/>
  <c r="E23" i="144" s="1"/>
  <c r="B37" i="147"/>
  <c r="B38" i="147" s="1"/>
  <c r="B39" i="147"/>
  <c r="B40" i="147" s="1"/>
  <c r="B41" i="147" s="1"/>
  <c r="B42" i="147" s="1"/>
  <c r="B33" i="147"/>
  <c r="B34" i="147" s="1"/>
  <c r="B37" i="146"/>
  <c r="B38" i="146" s="1"/>
  <c r="B39" i="146"/>
  <c r="B40" i="146" s="1"/>
  <c r="B41" i="146" s="1"/>
  <c r="B42" i="146" s="1"/>
  <c r="B39" i="145"/>
  <c r="B40" i="145" s="1"/>
  <c r="B41" i="145" s="1"/>
  <c r="B42" i="145" s="1"/>
  <c r="I34" i="143"/>
  <c r="B26" i="143" s="1"/>
  <c r="B28" i="143" s="1"/>
  <c r="I34" i="142"/>
  <c r="E28" i="142" s="1"/>
  <c r="B16" i="142"/>
  <c r="E22" i="142" s="1"/>
  <c r="E23" i="142" s="1"/>
  <c r="E22" i="143"/>
  <c r="E23" i="143" s="1"/>
  <c r="B17" i="143"/>
  <c r="B18" i="143" s="1"/>
  <c r="B22" i="143"/>
  <c r="B23" i="143" s="1"/>
  <c r="B32" i="143"/>
  <c r="E21" i="136"/>
  <c r="B13" i="136"/>
  <c r="B21" i="136"/>
  <c r="E21" i="135"/>
  <c r="B21" i="135"/>
  <c r="I33" i="141"/>
  <c r="I32" i="141"/>
  <c r="I31" i="141"/>
  <c r="I30" i="141"/>
  <c r="I25" i="141"/>
  <c r="E25" i="141"/>
  <c r="E21" i="141"/>
  <c r="B14" i="141" a="1"/>
  <c r="B14" i="141" s="1"/>
  <c r="B15" i="141" s="1"/>
  <c r="B13" i="141"/>
  <c r="I33" i="140"/>
  <c r="I32" i="140"/>
  <c r="I31" i="140"/>
  <c r="I30" i="140"/>
  <c r="I25" i="140"/>
  <c r="E25" i="140"/>
  <c r="E21" i="140"/>
  <c r="B14" i="140" a="1"/>
  <c r="B14" i="140" s="1"/>
  <c r="B15" i="140" s="1"/>
  <c r="I33" i="139"/>
  <c r="I32" i="139"/>
  <c r="I31" i="139"/>
  <c r="I30" i="139"/>
  <c r="I25" i="139"/>
  <c r="E25" i="139"/>
  <c r="E21" i="139"/>
  <c r="B14" i="139" a="1"/>
  <c r="B14" i="139" s="1"/>
  <c r="B15" i="139" s="1"/>
  <c r="B13" i="139"/>
  <c r="B21" i="138"/>
  <c r="B26" i="142" l="1"/>
  <c r="B28" i="142" s="1"/>
  <c r="E26" i="143"/>
  <c r="E28" i="143"/>
  <c r="B33" i="145"/>
  <c r="B34" i="145" s="1"/>
  <c r="E28" i="144"/>
  <c r="E26" i="144"/>
  <c r="B22" i="144"/>
  <c r="B23" i="144" s="1"/>
  <c r="B32" i="144"/>
  <c r="B17" i="144"/>
  <c r="E29" i="144" s="1"/>
  <c r="B29" i="143"/>
  <c r="E29" i="143"/>
  <c r="E26" i="142"/>
  <c r="B32" i="142"/>
  <c r="B22" i="142"/>
  <c r="B23" i="142" s="1"/>
  <c r="B17" i="142"/>
  <c r="B18" i="142" s="1"/>
  <c r="B39" i="142" s="1"/>
  <c r="B40" i="142" s="1"/>
  <c r="B41" i="142" s="1"/>
  <c r="B42" i="142" s="1"/>
  <c r="I34" i="140"/>
  <c r="B26" i="140" s="1"/>
  <c r="B28" i="140" s="1"/>
  <c r="B16" i="140"/>
  <c r="B22" i="140" s="1"/>
  <c r="B23" i="140" s="1"/>
  <c r="I34" i="139"/>
  <c r="E26" i="139" s="1"/>
  <c r="B16" i="139"/>
  <c r="E22" i="139" s="1"/>
  <c r="E23" i="139" s="1"/>
  <c r="B37" i="143"/>
  <c r="B38" i="143" s="1"/>
  <c r="B39" i="143"/>
  <c r="B40" i="143" s="1"/>
  <c r="B41" i="143" s="1"/>
  <c r="B42" i="143" s="1"/>
  <c r="B33" i="143"/>
  <c r="B34" i="143" s="1"/>
  <c r="I34" i="141"/>
  <c r="E28" i="141" s="1"/>
  <c r="B16" i="141"/>
  <c r="E22" i="141" s="1"/>
  <c r="E23" i="141" s="1"/>
  <c r="B17" i="140"/>
  <c r="B18" i="140" s="1"/>
  <c r="B26" i="139"/>
  <c r="B28" i="139" s="1"/>
  <c r="I33" i="138"/>
  <c r="I32" i="138"/>
  <c r="I31" i="138"/>
  <c r="I30" i="138"/>
  <c r="I25" i="138"/>
  <c r="E25" i="138"/>
  <c r="E21" i="138"/>
  <c r="B14" i="138" a="1"/>
  <c r="B14" i="138" s="1"/>
  <c r="B15" i="138" s="1"/>
  <c r="B13" i="138"/>
  <c r="I33" i="137"/>
  <c r="I32" i="137"/>
  <c r="I31" i="137"/>
  <c r="I30" i="137"/>
  <c r="I25" i="137"/>
  <c r="E25" i="137"/>
  <c r="E21" i="137"/>
  <c r="B14" i="137" a="1"/>
  <c r="B14" i="137" s="1"/>
  <c r="B15" i="137" s="1"/>
  <c r="B13" i="137"/>
  <c r="I33" i="136"/>
  <c r="I32" i="136"/>
  <c r="I31" i="136"/>
  <c r="I30" i="136"/>
  <c r="I25" i="136"/>
  <c r="E25" i="136"/>
  <c r="B14" i="136" a="1"/>
  <c r="B14" i="136" s="1"/>
  <c r="B15" i="136" s="1"/>
  <c r="B21" i="134"/>
  <c r="B21" i="133"/>
  <c r="B21" i="132"/>
  <c r="E28" i="139" l="1"/>
  <c r="B32" i="140"/>
  <c r="B33" i="140" s="1"/>
  <c r="B34" i="140" s="1"/>
  <c r="E26" i="140"/>
  <c r="B32" i="139"/>
  <c r="E26" i="141"/>
  <c r="B26" i="141"/>
  <c r="B28" i="141" s="1"/>
  <c r="B29" i="144"/>
  <c r="B22" i="139"/>
  <c r="B23" i="139" s="1"/>
  <c r="B17" i="141"/>
  <c r="B18" i="141" s="1"/>
  <c r="B37" i="142"/>
  <c r="B38" i="142" s="1"/>
  <c r="B17" i="139"/>
  <c r="B18" i="139" s="1"/>
  <c r="B39" i="139" s="1"/>
  <c r="B40" i="139" s="1"/>
  <c r="B41" i="139" s="1"/>
  <c r="B42" i="139" s="1"/>
  <c r="B29" i="142"/>
  <c r="B18" i="144"/>
  <c r="B33" i="142"/>
  <c r="B34" i="142" s="1"/>
  <c r="E29" i="142"/>
  <c r="E22" i="140"/>
  <c r="E23" i="140" s="1"/>
  <c r="E28" i="140"/>
  <c r="E29" i="140" s="1"/>
  <c r="B29" i="140"/>
  <c r="I34" i="137"/>
  <c r="E28" i="137" s="1"/>
  <c r="B16" i="137"/>
  <c r="E22" i="137" s="1"/>
  <c r="E23" i="137" s="1"/>
  <c r="B32" i="141"/>
  <c r="B33" i="141" s="1"/>
  <c r="B34" i="141" s="1"/>
  <c r="B22" i="141"/>
  <c r="B23" i="141" s="1"/>
  <c r="I34" i="136"/>
  <c r="E28" i="136" s="1"/>
  <c r="B16" i="136"/>
  <c r="B22" i="136" s="1"/>
  <c r="B23" i="136" s="1"/>
  <c r="B39" i="140"/>
  <c r="B40" i="140" s="1"/>
  <c r="B41" i="140" s="1"/>
  <c r="B42" i="140" s="1"/>
  <c r="I34" i="138"/>
  <c r="E26" i="138" s="1"/>
  <c r="B16" i="138"/>
  <c r="B32" i="138" s="1"/>
  <c r="I33" i="135"/>
  <c r="I32" i="135"/>
  <c r="I31" i="135"/>
  <c r="I30" i="135"/>
  <c r="I25" i="135"/>
  <c r="E25" i="135"/>
  <c r="B14" i="135" a="1"/>
  <c r="B14" i="135" s="1"/>
  <c r="B15" i="135" s="1"/>
  <c r="B13" i="135"/>
  <c r="I33" i="134"/>
  <c r="I32" i="134"/>
  <c r="I31" i="134"/>
  <c r="I30" i="134"/>
  <c r="I25" i="134"/>
  <c r="E25" i="134"/>
  <c r="B14" i="134" a="1"/>
  <c r="B14" i="134" s="1"/>
  <c r="B15" i="134" s="1"/>
  <c r="B13" i="134"/>
  <c r="B13" i="131"/>
  <c r="E21" i="131"/>
  <c r="B21" i="131"/>
  <c r="I32" i="131" s="1"/>
  <c r="B21" i="129"/>
  <c r="I33" i="133"/>
  <c r="I32" i="133"/>
  <c r="I31" i="133"/>
  <c r="I30" i="133"/>
  <c r="I25" i="133"/>
  <c r="E25" i="133"/>
  <c r="E21" i="133"/>
  <c r="B14" i="133" a="1"/>
  <c r="B14" i="133" s="1"/>
  <c r="B15" i="133" s="1"/>
  <c r="B13" i="133"/>
  <c r="I33" i="132"/>
  <c r="I32" i="132"/>
  <c r="I31" i="132"/>
  <c r="I30" i="132"/>
  <c r="I25" i="132"/>
  <c r="E25" i="132"/>
  <c r="E21" i="132"/>
  <c r="B14" i="132" a="1"/>
  <c r="B14" i="132" s="1"/>
  <c r="B15" i="132" s="1"/>
  <c r="B13" i="132"/>
  <c r="I33" i="131"/>
  <c r="I25" i="131"/>
  <c r="E25" i="131"/>
  <c r="B14" i="131" a="1"/>
  <c r="B14" i="131" s="1"/>
  <c r="B15" i="131" s="1"/>
  <c r="E21" i="130"/>
  <c r="B21" i="130"/>
  <c r="I33" i="130" s="1"/>
  <c r="I25" i="130"/>
  <c r="E25" i="130"/>
  <c r="B14" i="130" a="1"/>
  <c r="B14" i="130" s="1"/>
  <c r="B15" i="130" s="1"/>
  <c r="B13" i="130"/>
  <c r="E26" i="136" l="1"/>
  <c r="B37" i="140"/>
  <c r="B38" i="140" s="1"/>
  <c r="B22" i="137"/>
  <c r="B23" i="137" s="1"/>
  <c r="B37" i="141"/>
  <c r="B38" i="141" s="1"/>
  <c r="B39" i="141"/>
  <c r="B40" i="141" s="1"/>
  <c r="B41" i="141" s="1"/>
  <c r="B42" i="141" s="1"/>
  <c r="E29" i="141"/>
  <c r="B32" i="136"/>
  <c r="B29" i="141"/>
  <c r="B26" i="136"/>
  <c r="B28" i="136" s="1"/>
  <c r="E26" i="137"/>
  <c r="B37" i="139"/>
  <c r="B38" i="139" s="1"/>
  <c r="B26" i="137"/>
  <c r="B28" i="137" s="1"/>
  <c r="B17" i="138"/>
  <c r="B18" i="138" s="1"/>
  <c r="B39" i="138" s="1"/>
  <c r="B40" i="138" s="1"/>
  <c r="B41" i="138" s="1"/>
  <c r="B42" i="138" s="1"/>
  <c r="E22" i="138"/>
  <c r="E23" i="138" s="1"/>
  <c r="B29" i="139"/>
  <c r="I31" i="131"/>
  <c r="B26" i="138"/>
  <c r="B28" i="138" s="1"/>
  <c r="B29" i="138" s="1"/>
  <c r="B33" i="139"/>
  <c r="B34" i="139" s="1"/>
  <c r="E28" i="138"/>
  <c r="E29" i="139"/>
  <c r="I30" i="131"/>
  <c r="B17" i="136"/>
  <c r="B18" i="136" s="1"/>
  <c r="B22" i="138"/>
  <c r="B23" i="138" s="1"/>
  <c r="B33" i="144"/>
  <c r="B34" i="144" s="1"/>
  <c r="B39" i="144"/>
  <c r="B40" i="144" s="1"/>
  <c r="B41" i="144" s="1"/>
  <c r="B42" i="144" s="1"/>
  <c r="B37" i="144"/>
  <c r="B38" i="144" s="1"/>
  <c r="B32" i="137"/>
  <c r="B17" i="137"/>
  <c r="B18" i="137" s="1"/>
  <c r="B39" i="137" s="1"/>
  <c r="B40" i="137" s="1"/>
  <c r="B41" i="137" s="1"/>
  <c r="B42" i="137" s="1"/>
  <c r="E22" i="136"/>
  <c r="E23" i="136" s="1"/>
  <c r="I34" i="135"/>
  <c r="B26" i="135" s="1"/>
  <c r="B28" i="135" s="1"/>
  <c r="B16" i="135"/>
  <c r="B32" i="135" s="1"/>
  <c r="B33" i="138"/>
  <c r="B34" i="138" s="1"/>
  <c r="I34" i="134"/>
  <c r="E28" i="134" s="1"/>
  <c r="B16" i="134"/>
  <c r="B22" i="134" s="1"/>
  <c r="B23" i="134" s="1"/>
  <c r="I34" i="133"/>
  <c r="B26" i="133" s="1"/>
  <c r="B28" i="133" s="1"/>
  <c r="B16" i="133"/>
  <c r="E22" i="133" s="1"/>
  <c r="E23" i="133" s="1"/>
  <c r="I34" i="132"/>
  <c r="B26" i="132" s="1"/>
  <c r="B28" i="132" s="1"/>
  <c r="B16" i="132"/>
  <c r="B22" i="132" s="1"/>
  <c r="B23" i="132" s="1"/>
  <c r="B16" i="131"/>
  <c r="B17" i="131" s="1"/>
  <c r="B18" i="131" s="1"/>
  <c r="I30" i="130"/>
  <c r="I31" i="130"/>
  <c r="I32" i="130"/>
  <c r="B16" i="130"/>
  <c r="E22" i="130" s="1"/>
  <c r="E23" i="130" s="1"/>
  <c r="E21" i="128"/>
  <c r="B21" i="128"/>
  <c r="E21" i="127"/>
  <c r="B21" i="127"/>
  <c r="B13" i="127"/>
  <c r="E21" i="126"/>
  <c r="B21" i="126"/>
  <c r="B29" i="136" l="1"/>
  <c r="B37" i="138"/>
  <c r="B38" i="138" s="1"/>
  <c r="B33" i="136"/>
  <c r="B34" i="136" s="1"/>
  <c r="B17" i="134"/>
  <c r="E29" i="134" s="1"/>
  <c r="B37" i="136"/>
  <c r="B38" i="136" s="1"/>
  <c r="B17" i="132"/>
  <c r="B29" i="132" s="1"/>
  <c r="E28" i="132"/>
  <c r="E29" i="138"/>
  <c r="I34" i="131"/>
  <c r="E26" i="131" s="1"/>
  <c r="B39" i="136"/>
  <c r="B40" i="136" s="1"/>
  <c r="B41" i="136" s="1"/>
  <c r="B42" i="136" s="1"/>
  <c r="E26" i="133"/>
  <c r="E26" i="132"/>
  <c r="E28" i="133"/>
  <c r="B17" i="133"/>
  <c r="B18" i="133" s="1"/>
  <c r="B39" i="133" s="1"/>
  <c r="B40" i="133" s="1"/>
  <c r="B41" i="133" s="1"/>
  <c r="B42" i="133" s="1"/>
  <c r="E29" i="136"/>
  <c r="I34" i="130"/>
  <c r="E26" i="130" s="1"/>
  <c r="E22" i="134"/>
  <c r="E23" i="134" s="1"/>
  <c r="B32" i="132"/>
  <c r="B22" i="133"/>
  <c r="B23" i="133" s="1"/>
  <c r="B32" i="134"/>
  <c r="B33" i="137"/>
  <c r="B34" i="137" s="1"/>
  <c r="B37" i="137"/>
  <c r="B38" i="137" s="1"/>
  <c r="B29" i="137"/>
  <c r="E29" i="137"/>
  <c r="E28" i="135"/>
  <c r="E26" i="135"/>
  <c r="B22" i="135"/>
  <c r="B23" i="135" s="1"/>
  <c r="B17" i="135"/>
  <c r="B18" i="135" s="1"/>
  <c r="B37" i="135" s="1"/>
  <c r="B38" i="135" s="1"/>
  <c r="E22" i="135"/>
  <c r="E23" i="135" s="1"/>
  <c r="B26" i="134"/>
  <c r="B28" i="134" s="1"/>
  <c r="E26" i="134"/>
  <c r="B32" i="133"/>
  <c r="E22" i="132"/>
  <c r="E23" i="132" s="1"/>
  <c r="B22" i="131"/>
  <c r="B23" i="131" s="1"/>
  <c r="B32" i="131"/>
  <c r="B37" i="131" s="1"/>
  <c r="B38" i="131" s="1"/>
  <c r="E22" i="131"/>
  <c r="E23" i="131" s="1"/>
  <c r="B39" i="131"/>
  <c r="B40" i="131" s="1"/>
  <c r="B22" i="130"/>
  <c r="B23" i="130" s="1"/>
  <c r="B32" i="130"/>
  <c r="B17" i="130"/>
  <c r="B18" i="130" s="1"/>
  <c r="I33" i="129"/>
  <c r="I32" i="129"/>
  <c r="I31" i="129"/>
  <c r="I30" i="129"/>
  <c r="I25" i="129"/>
  <c r="E25" i="129"/>
  <c r="E21" i="129"/>
  <c r="B14" i="129" a="1"/>
  <c r="B14" i="129" s="1"/>
  <c r="B15" i="129" s="1"/>
  <c r="B13" i="129"/>
  <c r="I33" i="128"/>
  <c r="I32" i="128"/>
  <c r="I31" i="128"/>
  <c r="I30" i="128"/>
  <c r="I25" i="128"/>
  <c r="E25" i="128"/>
  <c r="B14" i="128" a="1"/>
  <c r="B14" i="128" s="1"/>
  <c r="B15" i="128" s="1"/>
  <c r="B13" i="128"/>
  <c r="I33" i="127"/>
  <c r="I32" i="127"/>
  <c r="I31" i="127"/>
  <c r="I30" i="127"/>
  <c r="I25" i="127"/>
  <c r="E25" i="127"/>
  <c r="B14" i="127" a="1"/>
  <c r="B14" i="127" s="1"/>
  <c r="B15" i="127" s="1"/>
  <c r="B21" i="125"/>
  <c r="I23" i="125"/>
  <c r="I21" i="125"/>
  <c r="E21" i="124"/>
  <c r="B21" i="124"/>
  <c r="B21" i="123"/>
  <c r="E21" i="123"/>
  <c r="B13" i="123"/>
  <c r="B18" i="134" l="1"/>
  <c r="B37" i="134" s="1"/>
  <c r="B38" i="134" s="1"/>
  <c r="B29" i="133"/>
  <c r="B33" i="133"/>
  <c r="B34" i="133" s="1"/>
  <c r="B18" i="132"/>
  <c r="B37" i="132" s="1"/>
  <c r="B38" i="132" s="1"/>
  <c r="B29" i="134"/>
  <c r="B41" i="131"/>
  <c r="B42" i="131" s="1"/>
  <c r="E29" i="132"/>
  <c r="B37" i="133"/>
  <c r="B38" i="133" s="1"/>
  <c r="E29" i="133"/>
  <c r="E28" i="131"/>
  <c r="E29" i="131" s="1"/>
  <c r="B26" i="131"/>
  <c r="B28" i="131" s="1"/>
  <c r="B29" i="131" s="1"/>
  <c r="B33" i="134"/>
  <c r="B34" i="134" s="1"/>
  <c r="B37" i="130"/>
  <c r="B38" i="130" s="1"/>
  <c r="B26" i="130"/>
  <c r="B28" i="130" s="1"/>
  <c r="B29" i="130" s="1"/>
  <c r="E28" i="130"/>
  <c r="E29" i="130" s="1"/>
  <c r="B33" i="130"/>
  <c r="B34" i="130" s="1"/>
  <c r="I34" i="129"/>
  <c r="B26" i="129" s="1"/>
  <c r="B28" i="129" s="1"/>
  <c r="B33" i="131"/>
  <c r="B34" i="131" s="1"/>
  <c r="E29" i="135"/>
  <c r="B33" i="135"/>
  <c r="B34" i="135" s="1"/>
  <c r="B39" i="135"/>
  <c r="B40" i="135" s="1"/>
  <c r="B41" i="135" s="1"/>
  <c r="B42" i="135" s="1"/>
  <c r="B29" i="135"/>
  <c r="B39" i="134"/>
  <c r="B40" i="134" s="1"/>
  <c r="B41" i="134" s="1"/>
  <c r="B42" i="134" s="1"/>
  <c r="B16" i="129"/>
  <c r="B32" i="129" s="1"/>
  <c r="B39" i="130"/>
  <c r="B40" i="130" s="1"/>
  <c r="B41" i="130" s="1"/>
  <c r="B42" i="130" s="1"/>
  <c r="I34" i="128"/>
  <c r="E26" i="128" s="1"/>
  <c r="B16" i="128"/>
  <c r="B32" i="128" s="1"/>
  <c r="I34" i="127"/>
  <c r="B26" i="127" s="1"/>
  <c r="B28" i="127" s="1"/>
  <c r="B16" i="127"/>
  <c r="B32" i="127" s="1"/>
  <c r="B26" i="128"/>
  <c r="B28" i="128" s="1"/>
  <c r="I33" i="126"/>
  <c r="I32" i="126"/>
  <c r="I31" i="126"/>
  <c r="I30" i="126"/>
  <c r="I25" i="126"/>
  <c r="E25" i="126"/>
  <c r="B14" i="126" a="1"/>
  <c r="B14" i="126" s="1"/>
  <c r="B15" i="126" s="1"/>
  <c r="B13" i="126"/>
  <c r="I33" i="125"/>
  <c r="I32" i="125"/>
  <c r="I31" i="125"/>
  <c r="I30" i="125"/>
  <c r="I25" i="125"/>
  <c r="B14" i="125" a="1"/>
  <c r="B14" i="125" s="1"/>
  <c r="B15" i="125" s="1"/>
  <c r="B13" i="125"/>
  <c r="I33" i="124"/>
  <c r="I32" i="124"/>
  <c r="I31" i="124"/>
  <c r="I30" i="124"/>
  <c r="I25" i="124"/>
  <c r="E25" i="124"/>
  <c r="B14" i="124" a="1"/>
  <c r="B14" i="124" s="1"/>
  <c r="B15" i="124" s="1"/>
  <c r="B13" i="124"/>
  <c r="B21" i="122"/>
  <c r="E21" i="121"/>
  <c r="B21" i="121"/>
  <c r="B25" i="121"/>
  <c r="B21" i="120"/>
  <c r="B39" i="132" l="1"/>
  <c r="B40" i="132" s="1"/>
  <c r="B41" i="132" s="1"/>
  <c r="B42" i="132" s="1"/>
  <c r="B33" i="132"/>
  <c r="B34" i="132" s="1"/>
  <c r="E26" i="127"/>
  <c r="B22" i="129"/>
  <c r="B23" i="129" s="1"/>
  <c r="E28" i="128"/>
  <c r="E28" i="129"/>
  <c r="E26" i="129"/>
  <c r="B22" i="128"/>
  <c r="B23" i="128" s="1"/>
  <c r="B17" i="128"/>
  <c r="E29" i="128" s="1"/>
  <c r="B17" i="129"/>
  <c r="B18" i="129" s="1"/>
  <c r="B37" i="129" s="1"/>
  <c r="B38" i="129" s="1"/>
  <c r="B17" i="127"/>
  <c r="B29" i="127" s="1"/>
  <c r="E22" i="129"/>
  <c r="E23" i="129" s="1"/>
  <c r="E22" i="128"/>
  <c r="E23" i="128" s="1"/>
  <c r="E28" i="127"/>
  <c r="E22" i="127"/>
  <c r="E23" i="127" s="1"/>
  <c r="B22" i="127"/>
  <c r="B23" i="127" s="1"/>
  <c r="I34" i="126"/>
  <c r="B26" i="126" s="1"/>
  <c r="B28" i="126" s="1"/>
  <c r="B16" i="126"/>
  <c r="B22" i="126" s="1"/>
  <c r="B23" i="126" s="1"/>
  <c r="I34" i="125"/>
  <c r="B26" i="125" s="1"/>
  <c r="B28" i="125" s="1"/>
  <c r="B16" i="125"/>
  <c r="B22" i="125" s="1"/>
  <c r="B23" i="125" s="1"/>
  <c r="I34" i="124"/>
  <c r="E28" i="124" s="1"/>
  <c r="B16" i="124"/>
  <c r="B22" i="124" s="1"/>
  <c r="B23" i="124" s="1"/>
  <c r="I33" i="123"/>
  <c r="I32" i="123"/>
  <c r="I31" i="123"/>
  <c r="I30" i="123"/>
  <c r="I25" i="123"/>
  <c r="E25" i="123"/>
  <c r="B14" i="123" a="1"/>
  <c r="B14" i="123" s="1"/>
  <c r="B15" i="123" s="1"/>
  <c r="B16" i="123" s="1"/>
  <c r="I33" i="122"/>
  <c r="I32" i="122"/>
  <c r="I31" i="122"/>
  <c r="I30" i="122"/>
  <c r="I25" i="122"/>
  <c r="E25" i="122"/>
  <c r="E21" i="122"/>
  <c r="B14" i="122" a="1"/>
  <c r="B14" i="122" s="1"/>
  <c r="B15" i="122" s="1"/>
  <c r="B13" i="122"/>
  <c r="I33" i="121"/>
  <c r="I32" i="121"/>
  <c r="I31" i="121"/>
  <c r="I30" i="121"/>
  <c r="I25" i="121"/>
  <c r="E25" i="121"/>
  <c r="B14" i="121" a="1"/>
  <c r="B14" i="121" s="1"/>
  <c r="B15" i="121" s="1"/>
  <c r="B13" i="121"/>
  <c r="E21" i="119"/>
  <c r="B21" i="119"/>
  <c r="B21" i="118"/>
  <c r="B21" i="117"/>
  <c r="B29" i="128" l="1"/>
  <c r="B32" i="126"/>
  <c r="B33" i="129"/>
  <c r="B34" i="129" s="1"/>
  <c r="B17" i="126"/>
  <c r="B18" i="126" s="1"/>
  <c r="B39" i="126" s="1"/>
  <c r="B40" i="126" s="1"/>
  <c r="B41" i="126" s="1"/>
  <c r="B42" i="126" s="1"/>
  <c r="E22" i="126"/>
  <c r="E23" i="126" s="1"/>
  <c r="B18" i="128"/>
  <c r="B33" i="128" s="1"/>
  <c r="B34" i="128" s="1"/>
  <c r="E29" i="129"/>
  <c r="E29" i="127"/>
  <c r="E26" i="124"/>
  <c r="B18" i="127"/>
  <c r="B33" i="127" s="1"/>
  <c r="B34" i="127" s="1"/>
  <c r="E26" i="126"/>
  <c r="B39" i="129"/>
  <c r="B40" i="129" s="1"/>
  <c r="B41" i="129" s="1"/>
  <c r="B42" i="129" s="1"/>
  <c r="B29" i="129"/>
  <c r="B39" i="128"/>
  <c r="B40" i="128" s="1"/>
  <c r="B41" i="128" s="1"/>
  <c r="B42" i="128" s="1"/>
  <c r="B32" i="125"/>
  <c r="B17" i="125"/>
  <c r="B18" i="125" s="1"/>
  <c r="E28" i="126"/>
  <c r="E22" i="124"/>
  <c r="E23" i="124" s="1"/>
  <c r="B17" i="124"/>
  <c r="B18" i="124" s="1"/>
  <c r="B39" i="124" s="1"/>
  <c r="B40" i="124" s="1"/>
  <c r="B41" i="124" s="1"/>
  <c r="B42" i="124" s="1"/>
  <c r="B26" i="124"/>
  <c r="B28" i="124" s="1"/>
  <c r="B32" i="124"/>
  <c r="I34" i="123"/>
  <c r="E26" i="123" s="1"/>
  <c r="I34" i="122"/>
  <c r="E28" i="122" s="1"/>
  <c r="B16" i="122"/>
  <c r="B22" i="122" s="1"/>
  <c r="B23" i="122" s="1"/>
  <c r="I34" i="121"/>
  <c r="E28" i="121" s="1"/>
  <c r="B16" i="121"/>
  <c r="B17" i="121" s="1"/>
  <c r="B18" i="121" s="1"/>
  <c r="E22" i="123"/>
  <c r="E23" i="123" s="1"/>
  <c r="B17" i="123"/>
  <c r="B18" i="123" s="1"/>
  <c r="B22" i="123"/>
  <c r="B23" i="123" s="1"/>
  <c r="B32" i="123"/>
  <c r="I33" i="120"/>
  <c r="I32" i="120"/>
  <c r="I31" i="120"/>
  <c r="I30" i="120"/>
  <c r="I25" i="120"/>
  <c r="E25" i="120"/>
  <c r="E21" i="120"/>
  <c r="B14" i="120" a="1"/>
  <c r="B14" i="120" s="1"/>
  <c r="B15" i="120" s="1"/>
  <c r="B13" i="120"/>
  <c r="I33" i="119"/>
  <c r="I32" i="119"/>
  <c r="I31" i="119"/>
  <c r="I30" i="119"/>
  <c r="I25" i="119"/>
  <c r="E25" i="119"/>
  <c r="B14" i="119" a="1"/>
  <c r="B14" i="119" s="1"/>
  <c r="B15" i="119" s="1"/>
  <c r="B13" i="119"/>
  <c r="I33" i="118"/>
  <c r="I32" i="118"/>
  <c r="I31" i="118"/>
  <c r="I30" i="118"/>
  <c r="I25" i="118"/>
  <c r="E25" i="118"/>
  <c r="E21" i="118"/>
  <c r="B14" i="118" a="1"/>
  <c r="B14" i="118" s="1"/>
  <c r="B15" i="118" s="1"/>
  <c r="B13" i="118"/>
  <c r="B13" i="116"/>
  <c r="B21" i="116"/>
  <c r="B13" i="115"/>
  <c r="B21" i="115"/>
  <c r="B21" i="114"/>
  <c r="B13" i="114"/>
  <c r="B37" i="126" l="1"/>
  <c r="B38" i="126" s="1"/>
  <c r="B17" i="122"/>
  <c r="B18" i="122" s="1"/>
  <c r="B39" i="122" s="1"/>
  <c r="B40" i="122" s="1"/>
  <c r="B41" i="122" s="1"/>
  <c r="B42" i="122" s="1"/>
  <c r="B33" i="126"/>
  <c r="B34" i="126" s="1"/>
  <c r="E22" i="122"/>
  <c r="E23" i="122" s="1"/>
  <c r="E29" i="124"/>
  <c r="B37" i="127"/>
  <c r="B38" i="127" s="1"/>
  <c r="B39" i="127"/>
  <c r="B40" i="127" s="1"/>
  <c r="B41" i="127" s="1"/>
  <c r="B42" i="127" s="1"/>
  <c r="B37" i="128"/>
  <c r="B38" i="128" s="1"/>
  <c r="B29" i="126"/>
  <c r="B29" i="125"/>
  <c r="E29" i="126"/>
  <c r="E22" i="121"/>
  <c r="E23" i="121" s="1"/>
  <c r="B26" i="121"/>
  <c r="B28" i="121" s="1"/>
  <c r="B29" i="121" s="1"/>
  <c r="E26" i="121"/>
  <c r="B32" i="121"/>
  <c r="B33" i="121" s="1"/>
  <c r="B34" i="121" s="1"/>
  <c r="B22" i="121"/>
  <c r="B23" i="121" s="1"/>
  <c r="B39" i="125"/>
  <c r="B40" i="125" s="1"/>
  <c r="B41" i="125" s="1"/>
  <c r="B42" i="125" s="1"/>
  <c r="B33" i="125"/>
  <c r="B34" i="125" s="1"/>
  <c r="B37" i="125"/>
  <c r="B38" i="125" s="1"/>
  <c r="B26" i="122"/>
  <c r="B28" i="122" s="1"/>
  <c r="B37" i="124"/>
  <c r="B38" i="124" s="1"/>
  <c r="B29" i="124"/>
  <c r="B33" i="124"/>
  <c r="B34" i="124" s="1"/>
  <c r="B26" i="123"/>
  <c r="B28" i="123" s="1"/>
  <c r="B29" i="123" s="1"/>
  <c r="E28" i="123"/>
  <c r="E29" i="123" s="1"/>
  <c r="B33" i="123"/>
  <c r="B34" i="123" s="1"/>
  <c r="E26" i="122"/>
  <c r="B32" i="122"/>
  <c r="E29" i="121"/>
  <c r="I34" i="120"/>
  <c r="E28" i="120" s="1"/>
  <c r="B16" i="120"/>
  <c r="B22" i="120" s="1"/>
  <c r="B23" i="120" s="1"/>
  <c r="B37" i="123"/>
  <c r="B38" i="123" s="1"/>
  <c r="B39" i="123"/>
  <c r="B40" i="123" s="1"/>
  <c r="B41" i="123" s="1"/>
  <c r="B42" i="123" s="1"/>
  <c r="B39" i="121"/>
  <c r="B40" i="121" s="1"/>
  <c r="B41" i="121" s="1"/>
  <c r="B42" i="121" s="1"/>
  <c r="I34" i="119"/>
  <c r="B26" i="119" s="1"/>
  <c r="B28" i="119" s="1"/>
  <c r="B16" i="119"/>
  <c r="B17" i="119" s="1"/>
  <c r="B18" i="119" s="1"/>
  <c r="I34" i="118"/>
  <c r="E26" i="118" s="1"/>
  <c r="B16" i="118"/>
  <c r="E22" i="118" s="1"/>
  <c r="E23" i="118" s="1"/>
  <c r="I33" i="117"/>
  <c r="I32" i="117"/>
  <c r="I31" i="117"/>
  <c r="I30" i="117"/>
  <c r="I25" i="117"/>
  <c r="E25" i="117"/>
  <c r="E21" i="117"/>
  <c r="B14" i="117" a="1"/>
  <c r="B14" i="117" s="1"/>
  <c r="B15" i="117" s="1"/>
  <c r="B13" i="117"/>
  <c r="I33" i="116"/>
  <c r="I32" i="116"/>
  <c r="I31" i="116"/>
  <c r="I30" i="116"/>
  <c r="I25" i="116"/>
  <c r="E25" i="116"/>
  <c r="E21" i="116"/>
  <c r="B14" i="116" a="1"/>
  <c r="B14" i="116" s="1"/>
  <c r="B15" i="116" s="1"/>
  <c r="I33" i="115"/>
  <c r="I32" i="115"/>
  <c r="I31" i="115"/>
  <c r="I30" i="115"/>
  <c r="I25" i="115"/>
  <c r="E25" i="115"/>
  <c r="E21" i="115"/>
  <c r="B14" i="115" a="1"/>
  <c r="B14" i="115" s="1"/>
  <c r="B15" i="115" s="1"/>
  <c r="B21" i="113"/>
  <c r="B13" i="113"/>
  <c r="B21" i="112"/>
  <c r="B21" i="111"/>
  <c r="B13" i="111"/>
  <c r="B37" i="122" l="1"/>
  <c r="B38" i="122" s="1"/>
  <c r="E29" i="122"/>
  <c r="B29" i="122"/>
  <c r="B17" i="118"/>
  <c r="B18" i="118" s="1"/>
  <c r="B39" i="118" s="1"/>
  <c r="B40" i="118" s="1"/>
  <c r="B41" i="118" s="1"/>
  <c r="B42" i="118" s="1"/>
  <c r="E22" i="119"/>
  <c r="E23" i="119" s="1"/>
  <c r="B26" i="120"/>
  <c r="B28" i="120" s="1"/>
  <c r="E26" i="119"/>
  <c r="B37" i="121"/>
  <c r="B38" i="121" s="1"/>
  <c r="E28" i="118"/>
  <c r="E28" i="119"/>
  <c r="B32" i="119"/>
  <c r="B33" i="119" s="1"/>
  <c r="B34" i="119" s="1"/>
  <c r="B22" i="118"/>
  <c r="B23" i="118" s="1"/>
  <c r="B26" i="118"/>
  <c r="B28" i="118" s="1"/>
  <c r="E29" i="119"/>
  <c r="B22" i="119"/>
  <c r="B23" i="119" s="1"/>
  <c r="E22" i="120"/>
  <c r="E23" i="120" s="1"/>
  <c r="E26" i="120"/>
  <c r="B33" i="122"/>
  <c r="B34" i="122" s="1"/>
  <c r="B32" i="120"/>
  <c r="B17" i="120"/>
  <c r="B29" i="119"/>
  <c r="B32" i="118"/>
  <c r="I34" i="117"/>
  <c r="B26" i="117" s="1"/>
  <c r="B28" i="117" s="1"/>
  <c r="B16" i="117"/>
  <c r="B22" i="117" s="1"/>
  <c r="B23" i="117" s="1"/>
  <c r="B39" i="119"/>
  <c r="B40" i="119" s="1"/>
  <c r="B41" i="119" s="1"/>
  <c r="B42" i="119" s="1"/>
  <c r="I34" i="116"/>
  <c r="E28" i="116" s="1"/>
  <c r="B16" i="116"/>
  <c r="B32" i="116" s="1"/>
  <c r="I34" i="115"/>
  <c r="E28" i="115" s="1"/>
  <c r="B16" i="115"/>
  <c r="E22" i="115" s="1"/>
  <c r="E23" i="115" s="1"/>
  <c r="I33" i="114"/>
  <c r="I32" i="114"/>
  <c r="I31" i="114"/>
  <c r="I30" i="114"/>
  <c r="I25" i="114"/>
  <c r="B14" i="114" a="1"/>
  <c r="B14" i="114" s="1"/>
  <c r="B15" i="114" s="1"/>
  <c r="I33" i="113"/>
  <c r="I32" i="113"/>
  <c r="I31" i="113"/>
  <c r="I30" i="113"/>
  <c r="I25" i="113"/>
  <c r="E25" i="113"/>
  <c r="E21" i="113"/>
  <c r="B14" i="113" a="1"/>
  <c r="B14" i="113" s="1"/>
  <c r="B15" i="113" s="1"/>
  <c r="I33" i="112"/>
  <c r="I32" i="112"/>
  <c r="I31" i="112"/>
  <c r="I30" i="112"/>
  <c r="I25" i="112"/>
  <c r="E25" i="112"/>
  <c r="E21" i="112"/>
  <c r="B14" i="112" a="1"/>
  <c r="B14" i="112" s="1"/>
  <c r="B15" i="112" s="1"/>
  <c r="B13" i="112"/>
  <c r="B21" i="110"/>
  <c r="I33" i="111"/>
  <c r="I32" i="111"/>
  <c r="I31" i="111"/>
  <c r="I30" i="111"/>
  <c r="I25" i="111"/>
  <c r="E25" i="111"/>
  <c r="E21" i="111"/>
  <c r="B14" i="111" a="1"/>
  <c r="B14" i="111" s="1"/>
  <c r="B15" i="111" s="1"/>
  <c r="B21" i="109"/>
  <c r="E21" i="108"/>
  <c r="B21" i="108"/>
  <c r="B29" i="118" l="1"/>
  <c r="E29" i="118"/>
  <c r="E28" i="117"/>
  <c r="B37" i="119"/>
  <c r="B38" i="119" s="1"/>
  <c r="B29" i="120"/>
  <c r="E26" i="117"/>
  <c r="E26" i="116"/>
  <c r="B26" i="116"/>
  <c r="B28" i="116" s="1"/>
  <c r="B17" i="117"/>
  <c r="B18" i="117" s="1"/>
  <c r="B39" i="117" s="1"/>
  <c r="B40" i="117" s="1"/>
  <c r="B41" i="117" s="1"/>
  <c r="B42" i="117" s="1"/>
  <c r="B37" i="118"/>
  <c r="B38" i="118" s="1"/>
  <c r="B18" i="120"/>
  <c r="E29" i="120"/>
  <c r="B33" i="118"/>
  <c r="B34" i="118" s="1"/>
  <c r="E22" i="117"/>
  <c r="E23" i="117" s="1"/>
  <c r="B32" i="117"/>
  <c r="B22" i="116"/>
  <c r="B23" i="116" s="1"/>
  <c r="B17" i="116"/>
  <c r="E29" i="116" s="1"/>
  <c r="E22" i="116"/>
  <c r="E23" i="116" s="1"/>
  <c r="B32" i="115"/>
  <c r="B22" i="115"/>
  <c r="B23" i="115" s="1"/>
  <c r="B17" i="115"/>
  <c r="B18" i="115" s="1"/>
  <c r="E26" i="115"/>
  <c r="B26" i="115"/>
  <c r="B28" i="115" s="1"/>
  <c r="I34" i="114"/>
  <c r="B26" i="114" s="1"/>
  <c r="B28" i="114" s="1"/>
  <c r="B16" i="114"/>
  <c r="B32" i="114" s="1"/>
  <c r="B16" i="113"/>
  <c r="B22" i="113" s="1"/>
  <c r="B23" i="113" s="1"/>
  <c r="I34" i="113"/>
  <c r="B26" i="113" s="1"/>
  <c r="B28" i="113" s="1"/>
  <c r="B16" i="112"/>
  <c r="B32" i="112" s="1"/>
  <c r="I34" i="112"/>
  <c r="B26" i="112" s="1"/>
  <c r="B28" i="112" s="1"/>
  <c r="B16" i="111"/>
  <c r="B32" i="111" s="1"/>
  <c r="I34" i="111"/>
  <c r="E28" i="111" s="1"/>
  <c r="I33" i="110"/>
  <c r="I32" i="110"/>
  <c r="I31" i="110"/>
  <c r="I30" i="110"/>
  <c r="I25" i="110"/>
  <c r="E25" i="110"/>
  <c r="E21" i="110"/>
  <c r="B14" i="110" a="1"/>
  <c r="B14" i="110" s="1"/>
  <c r="B15" i="110" s="1"/>
  <c r="B13" i="110"/>
  <c r="I33" i="109"/>
  <c r="I32" i="109"/>
  <c r="I31" i="109"/>
  <c r="I30" i="109"/>
  <c r="I25" i="109"/>
  <c r="E25" i="109"/>
  <c r="E21" i="109"/>
  <c r="B14" i="109" a="1"/>
  <c r="B14" i="109" s="1"/>
  <c r="B15" i="109" s="1"/>
  <c r="B13" i="109"/>
  <c r="B21" i="107"/>
  <c r="B21" i="106"/>
  <c r="I23" i="105"/>
  <c r="B21" i="105"/>
  <c r="B17" i="113" l="1"/>
  <c r="B18" i="113" s="1"/>
  <c r="E22" i="111"/>
  <c r="E23" i="111" s="1"/>
  <c r="E28" i="113"/>
  <c r="B17" i="111"/>
  <c r="B18" i="111" s="1"/>
  <c r="B33" i="111" s="1"/>
  <c r="B34" i="111" s="1"/>
  <c r="E22" i="112"/>
  <c r="E23" i="112" s="1"/>
  <c r="E29" i="117"/>
  <c r="E28" i="112"/>
  <c r="B33" i="115"/>
  <c r="B34" i="115" s="1"/>
  <c r="B18" i="116"/>
  <c r="B33" i="116" s="1"/>
  <c r="B34" i="116" s="1"/>
  <c r="B29" i="117"/>
  <c r="B37" i="117"/>
  <c r="B38" i="117" s="1"/>
  <c r="E26" i="111"/>
  <c r="B22" i="112"/>
  <c r="B23" i="112" s="1"/>
  <c r="B16" i="110"/>
  <c r="B32" i="110" s="1"/>
  <c r="B33" i="117"/>
  <c r="B34" i="117" s="1"/>
  <c r="B22" i="111"/>
  <c r="B23" i="111" s="1"/>
  <c r="B17" i="112"/>
  <c r="B18" i="112" s="1"/>
  <c r="B37" i="112" s="1"/>
  <c r="B38" i="112" s="1"/>
  <c r="B17" i="114"/>
  <c r="B18" i="114" s="1"/>
  <c r="B37" i="115"/>
  <c r="B38" i="115" s="1"/>
  <c r="B29" i="116"/>
  <c r="B33" i="120"/>
  <c r="B34" i="120" s="1"/>
  <c r="B37" i="120"/>
  <c r="B38" i="120" s="1"/>
  <c r="B39" i="120"/>
  <c r="B40" i="120" s="1"/>
  <c r="B41" i="120" s="1"/>
  <c r="B42" i="120" s="1"/>
  <c r="B29" i="115"/>
  <c r="B39" i="115"/>
  <c r="B40" i="115" s="1"/>
  <c r="B41" i="115" s="1"/>
  <c r="B42" i="115" s="1"/>
  <c r="E29" i="115"/>
  <c r="B22" i="114"/>
  <c r="B23" i="114" s="1"/>
  <c r="E26" i="113"/>
  <c r="B32" i="113"/>
  <c r="E22" i="113"/>
  <c r="E23" i="113" s="1"/>
  <c r="E26" i="112"/>
  <c r="B26" i="111"/>
  <c r="B28" i="111" s="1"/>
  <c r="B39" i="113"/>
  <c r="B40" i="113" s="1"/>
  <c r="B41" i="113" s="1"/>
  <c r="B42" i="113" s="1"/>
  <c r="I34" i="110"/>
  <c r="E28" i="110" s="1"/>
  <c r="I34" i="109"/>
  <c r="B26" i="109" s="1"/>
  <c r="B28" i="109" s="1"/>
  <c r="B16" i="109"/>
  <c r="E22" i="109" s="1"/>
  <c r="E23" i="109" s="1"/>
  <c r="I33" i="108"/>
  <c r="I32" i="108"/>
  <c r="I31" i="108"/>
  <c r="I30" i="108"/>
  <c r="I25" i="108"/>
  <c r="E25" i="108"/>
  <c r="B14" i="108" a="1"/>
  <c r="B14" i="108" s="1"/>
  <c r="B15" i="108" s="1"/>
  <c r="B13" i="108"/>
  <c r="I33" i="107"/>
  <c r="I32" i="107"/>
  <c r="I31" i="107"/>
  <c r="I30" i="107"/>
  <c r="I25" i="107"/>
  <c r="E25" i="107"/>
  <c r="E21" i="107"/>
  <c r="B14" i="107" a="1"/>
  <c r="B14" i="107" s="1"/>
  <c r="B15" i="107" s="1"/>
  <c r="B13" i="107"/>
  <c r="I33" i="106"/>
  <c r="I32" i="106"/>
  <c r="I31" i="106"/>
  <c r="I30" i="106"/>
  <c r="I25" i="106"/>
  <c r="E25" i="106"/>
  <c r="E21" i="106"/>
  <c r="B14" i="106" a="1"/>
  <c r="B14" i="106" s="1"/>
  <c r="B15" i="106" s="1"/>
  <c r="B13" i="106"/>
  <c r="B13" i="104"/>
  <c r="B21" i="104"/>
  <c r="B21" i="103"/>
  <c r="B13" i="103"/>
  <c r="B21" i="102"/>
  <c r="B22" i="110" l="1"/>
  <c r="B23" i="110" s="1"/>
  <c r="B29" i="113"/>
  <c r="B39" i="116"/>
  <c r="B40" i="116" s="1"/>
  <c r="B41" i="116" s="1"/>
  <c r="B42" i="116" s="1"/>
  <c r="B33" i="113"/>
  <c r="B34" i="113" s="1"/>
  <c r="B39" i="112"/>
  <c r="B40" i="112" s="1"/>
  <c r="B41" i="112" s="1"/>
  <c r="B42" i="112" s="1"/>
  <c r="E29" i="113"/>
  <c r="B39" i="111"/>
  <c r="B40" i="111" s="1"/>
  <c r="B41" i="111" s="1"/>
  <c r="B42" i="111" s="1"/>
  <c r="B37" i="111"/>
  <c r="B38" i="111" s="1"/>
  <c r="E29" i="111"/>
  <c r="B29" i="111"/>
  <c r="B17" i="110"/>
  <c r="B18" i="110" s="1"/>
  <c r="B37" i="110" s="1"/>
  <c r="B38" i="110" s="1"/>
  <c r="E26" i="109"/>
  <c r="B33" i="112"/>
  <c r="B34" i="112" s="1"/>
  <c r="B37" i="116"/>
  <c r="B38" i="116" s="1"/>
  <c r="B37" i="113"/>
  <c r="B38" i="113" s="1"/>
  <c r="E28" i="109"/>
  <c r="E26" i="110"/>
  <c r="E22" i="110"/>
  <c r="E23" i="110" s="1"/>
  <c r="B29" i="114"/>
  <c r="B37" i="114"/>
  <c r="B38" i="114" s="1"/>
  <c r="B39" i="114"/>
  <c r="B40" i="114" s="1"/>
  <c r="B41" i="114" s="1"/>
  <c r="B42" i="114" s="1"/>
  <c r="B33" i="114"/>
  <c r="B34" i="114" s="1"/>
  <c r="E29" i="112"/>
  <c r="B29" i="112"/>
  <c r="B26" i="110"/>
  <c r="B28" i="110" s="1"/>
  <c r="B22" i="109"/>
  <c r="B23" i="109" s="1"/>
  <c r="B32" i="109"/>
  <c r="B17" i="109"/>
  <c r="I34" i="108"/>
  <c r="E28" i="108" s="1"/>
  <c r="B16" i="108"/>
  <c r="B32" i="108" s="1"/>
  <c r="I34" i="107"/>
  <c r="B26" i="107" s="1"/>
  <c r="B28" i="107" s="1"/>
  <c r="B16" i="107"/>
  <c r="B17" i="107" s="1"/>
  <c r="B18" i="107" s="1"/>
  <c r="I34" i="106"/>
  <c r="B26" i="106" s="1"/>
  <c r="B28" i="106" s="1"/>
  <c r="B16" i="106"/>
  <c r="E22" i="106" s="1"/>
  <c r="E23" i="106" s="1"/>
  <c r="I33" i="105"/>
  <c r="I32" i="105"/>
  <c r="I31" i="105"/>
  <c r="I30" i="105"/>
  <c r="I25" i="105"/>
  <c r="E25" i="105"/>
  <c r="E21" i="105"/>
  <c r="B14" i="105" a="1"/>
  <c r="B14" i="105" s="1"/>
  <c r="B15" i="105" s="1"/>
  <c r="B13" i="105"/>
  <c r="I33" i="104"/>
  <c r="I32" i="104"/>
  <c r="I31" i="104"/>
  <c r="I30" i="104"/>
  <c r="I25" i="104"/>
  <c r="E25" i="104"/>
  <c r="E21" i="104"/>
  <c r="B14" i="104" a="1"/>
  <c r="B14" i="104" s="1"/>
  <c r="B15" i="104" s="1"/>
  <c r="I33" i="103"/>
  <c r="I32" i="103"/>
  <c r="I31" i="103"/>
  <c r="I30" i="103"/>
  <c r="I25" i="103"/>
  <c r="E25" i="103"/>
  <c r="E21" i="103"/>
  <c r="B14" i="103" a="1"/>
  <c r="B14" i="103" s="1"/>
  <c r="B15" i="103" s="1"/>
  <c r="E21" i="101"/>
  <c r="B21" i="101"/>
  <c r="E21" i="100"/>
  <c r="B21" i="100"/>
  <c r="B21" i="99"/>
  <c r="B13" i="99"/>
  <c r="B33" i="110" l="1"/>
  <c r="B34" i="110" s="1"/>
  <c r="B26" i="108"/>
  <c r="B28" i="108" s="1"/>
  <c r="B39" i="110"/>
  <c r="B40" i="110" s="1"/>
  <c r="B41" i="110" s="1"/>
  <c r="B42" i="110" s="1"/>
  <c r="E29" i="110"/>
  <c r="B29" i="110"/>
  <c r="E26" i="106"/>
  <c r="E29" i="109"/>
  <c r="E26" i="108"/>
  <c r="B32" i="106"/>
  <c r="B22" i="106"/>
  <c r="B23" i="106" s="1"/>
  <c r="B17" i="108"/>
  <c r="B32" i="107"/>
  <c r="B33" i="107" s="1"/>
  <c r="B34" i="107" s="1"/>
  <c r="E22" i="107"/>
  <c r="E23" i="107" s="1"/>
  <c r="B22" i="108"/>
  <c r="B23" i="108" s="1"/>
  <c r="B22" i="107"/>
  <c r="B23" i="107" s="1"/>
  <c r="E22" i="108"/>
  <c r="E23" i="108" s="1"/>
  <c r="B29" i="107"/>
  <c r="B18" i="109"/>
  <c r="B29" i="109"/>
  <c r="E28" i="107"/>
  <c r="E29" i="107" s="1"/>
  <c r="E26" i="107"/>
  <c r="E28" i="106"/>
  <c r="B17" i="106"/>
  <c r="B18" i="106" s="1"/>
  <c r="I34" i="105"/>
  <c r="B26" i="105" s="1"/>
  <c r="B28" i="105" s="1"/>
  <c r="B16" i="105"/>
  <c r="B22" i="105" s="1"/>
  <c r="B23" i="105" s="1"/>
  <c r="B39" i="107"/>
  <c r="B40" i="107" s="1"/>
  <c r="B41" i="107" s="1"/>
  <c r="B42" i="107" s="1"/>
  <c r="I34" i="104"/>
  <c r="E28" i="104" s="1"/>
  <c r="B16" i="104"/>
  <c r="B32" i="104" s="1"/>
  <c r="I34" i="103"/>
  <c r="E26" i="103" s="1"/>
  <c r="B16" i="103"/>
  <c r="B17" i="103" s="1"/>
  <c r="B18" i="103" s="1"/>
  <c r="I33" i="102"/>
  <c r="I32" i="102"/>
  <c r="I31" i="102"/>
  <c r="I30" i="102"/>
  <c r="I25" i="102"/>
  <c r="E25" i="102"/>
  <c r="E21" i="102"/>
  <c r="B14" i="102" a="1"/>
  <c r="B14" i="102" s="1"/>
  <c r="B15" i="102" s="1"/>
  <c r="B13" i="102"/>
  <c r="I33" i="101"/>
  <c r="I32" i="101"/>
  <c r="I31" i="101"/>
  <c r="I30" i="101"/>
  <c r="I25" i="101"/>
  <c r="E25" i="101"/>
  <c r="B14" i="101" a="1"/>
  <c r="B14" i="101" s="1"/>
  <c r="B15" i="101" s="1"/>
  <c r="B13" i="101"/>
  <c r="I33" i="100"/>
  <c r="I32" i="100"/>
  <c r="I31" i="100"/>
  <c r="I30" i="100"/>
  <c r="I25" i="100"/>
  <c r="E25" i="100"/>
  <c r="B14" i="100" a="1"/>
  <c r="B14" i="100" s="1"/>
  <c r="B15" i="100" s="1"/>
  <c r="B13" i="100"/>
  <c r="B21" i="98"/>
  <c r="E21" i="97"/>
  <c r="B21" i="97"/>
  <c r="E21" i="96"/>
  <c r="B21" i="96"/>
  <c r="B29" i="108" l="1"/>
  <c r="B37" i="107"/>
  <c r="B38" i="107" s="1"/>
  <c r="B32" i="105"/>
  <c r="B17" i="105"/>
  <c r="B18" i="105" s="1"/>
  <c r="B39" i="105" s="1"/>
  <c r="B40" i="105" s="1"/>
  <c r="B41" i="105" s="1"/>
  <c r="B42" i="105" s="1"/>
  <c r="B33" i="106"/>
  <c r="B34" i="106" s="1"/>
  <c r="E26" i="104"/>
  <c r="B18" i="108"/>
  <c r="B33" i="108" s="1"/>
  <c r="B34" i="108" s="1"/>
  <c r="E22" i="105"/>
  <c r="E23" i="105" s="1"/>
  <c r="B26" i="103"/>
  <c r="B28" i="103" s="1"/>
  <c r="B29" i="103" s="1"/>
  <c r="E28" i="103"/>
  <c r="E29" i="103" s="1"/>
  <c r="B37" i="108"/>
  <c r="B38" i="108" s="1"/>
  <c r="B17" i="104"/>
  <c r="B18" i="104" s="1"/>
  <c r="B37" i="104" s="1"/>
  <c r="B38" i="104" s="1"/>
  <c r="B22" i="104"/>
  <c r="B23" i="104" s="1"/>
  <c r="E29" i="108"/>
  <c r="E28" i="105"/>
  <c r="E22" i="103"/>
  <c r="E23" i="103" s="1"/>
  <c r="B26" i="104"/>
  <c r="B28" i="104" s="1"/>
  <c r="E22" i="104"/>
  <c r="E23" i="104" s="1"/>
  <c r="B32" i="103"/>
  <c r="B33" i="103" s="1"/>
  <c r="B34" i="103" s="1"/>
  <c r="B39" i="106"/>
  <c r="B40" i="106" s="1"/>
  <c r="B41" i="106" s="1"/>
  <c r="B42" i="106" s="1"/>
  <c r="B33" i="109"/>
  <c r="B34" i="109" s="1"/>
  <c r="B37" i="109"/>
  <c r="B38" i="109" s="1"/>
  <c r="B39" i="109"/>
  <c r="B40" i="109" s="1"/>
  <c r="B41" i="109" s="1"/>
  <c r="B42" i="109" s="1"/>
  <c r="B37" i="106"/>
  <c r="B38" i="106" s="1"/>
  <c r="E29" i="106"/>
  <c r="B29" i="106"/>
  <c r="E26" i="105"/>
  <c r="B29" i="105"/>
  <c r="B22" i="103"/>
  <c r="B23" i="103" s="1"/>
  <c r="I34" i="102"/>
  <c r="B26" i="102" s="1"/>
  <c r="B28" i="102" s="1"/>
  <c r="B16" i="102"/>
  <c r="B17" i="102" s="1"/>
  <c r="B39" i="103"/>
  <c r="B40" i="103" s="1"/>
  <c r="B41" i="103" s="1"/>
  <c r="B42" i="103" s="1"/>
  <c r="I34" i="101"/>
  <c r="B26" i="101" s="1"/>
  <c r="B28" i="101" s="1"/>
  <c r="B16" i="101"/>
  <c r="B17" i="101" s="1"/>
  <c r="B16" i="100"/>
  <c r="B17" i="100" s="1"/>
  <c r="I34" i="100"/>
  <c r="B26" i="100" s="1"/>
  <c r="B28" i="100" s="1"/>
  <c r="I33" i="99"/>
  <c r="I32" i="99"/>
  <c r="I31" i="99"/>
  <c r="I30" i="99"/>
  <c r="I25" i="99"/>
  <c r="B14" i="99" a="1"/>
  <c r="B14" i="99" s="1"/>
  <c r="B15" i="99" s="1"/>
  <c r="B16" i="99" s="1"/>
  <c r="B17" i="99" s="1"/>
  <c r="I33" i="98"/>
  <c r="I32" i="98"/>
  <c r="I31" i="98"/>
  <c r="I30" i="98"/>
  <c r="I25" i="98"/>
  <c r="E25" i="98"/>
  <c r="E21" i="98"/>
  <c r="B14" i="98" a="1"/>
  <c r="B14" i="98" s="1"/>
  <c r="B15" i="98" s="1"/>
  <c r="B13" i="98"/>
  <c r="I33" i="97"/>
  <c r="I32" i="97"/>
  <c r="I31" i="97"/>
  <c r="I30" i="97"/>
  <c r="I25" i="97"/>
  <c r="E25" i="97"/>
  <c r="B14" i="97" a="1"/>
  <c r="B14" i="97" s="1"/>
  <c r="B15" i="97" s="1"/>
  <c r="B13" i="97"/>
  <c r="E21" i="95"/>
  <c r="B13" i="95"/>
  <c r="B21" i="95"/>
  <c r="B13" i="94"/>
  <c r="B21" i="94"/>
  <c r="E21" i="93"/>
  <c r="B13" i="93"/>
  <c r="B21" i="93"/>
  <c r="B37" i="105" l="1"/>
  <c r="B38" i="105" s="1"/>
  <c r="B33" i="105"/>
  <c r="B34" i="105" s="1"/>
  <c r="E29" i="105"/>
  <c r="B39" i="108"/>
  <c r="B40" i="108" s="1"/>
  <c r="B41" i="108" s="1"/>
  <c r="B42" i="108" s="1"/>
  <c r="B33" i="104"/>
  <c r="B34" i="104" s="1"/>
  <c r="B39" i="104"/>
  <c r="B40" i="104" s="1"/>
  <c r="B41" i="104" s="1"/>
  <c r="B42" i="104" s="1"/>
  <c r="E29" i="104"/>
  <c r="B29" i="104"/>
  <c r="E28" i="102"/>
  <c r="E28" i="100"/>
  <c r="E29" i="100" s="1"/>
  <c r="E26" i="102"/>
  <c r="B32" i="100"/>
  <c r="B22" i="102"/>
  <c r="B23" i="102" s="1"/>
  <c r="B37" i="103"/>
  <c r="B38" i="103" s="1"/>
  <c r="E22" i="100"/>
  <c r="E23" i="100" s="1"/>
  <c r="E26" i="100"/>
  <c r="B29" i="102"/>
  <c r="B18" i="102"/>
  <c r="B39" i="102" s="1"/>
  <c r="B40" i="102" s="1"/>
  <c r="B41" i="102" s="1"/>
  <c r="B42" i="102" s="1"/>
  <c r="B32" i="102"/>
  <c r="E22" i="102"/>
  <c r="E23" i="102" s="1"/>
  <c r="E29" i="102"/>
  <c r="E26" i="101"/>
  <c r="E28" i="101"/>
  <c r="E29" i="101" s="1"/>
  <c r="B32" i="101"/>
  <c r="E22" i="101"/>
  <c r="E23" i="101" s="1"/>
  <c r="B29" i="101"/>
  <c r="B18" i="101"/>
  <c r="B22" i="101"/>
  <c r="B23" i="101" s="1"/>
  <c r="B29" i="100"/>
  <c r="B22" i="100"/>
  <c r="B23" i="100" s="1"/>
  <c r="I34" i="99"/>
  <c r="B26" i="99" s="1"/>
  <c r="B28" i="99" s="1"/>
  <c r="B29" i="99" s="1"/>
  <c r="B18" i="100"/>
  <c r="B33" i="100" s="1"/>
  <c r="B34" i="100" s="1"/>
  <c r="I34" i="98"/>
  <c r="B26" i="98" s="1"/>
  <c r="B28" i="98" s="1"/>
  <c r="B16" i="98"/>
  <c r="E22" i="98" s="1"/>
  <c r="E23" i="98" s="1"/>
  <c r="I34" i="97"/>
  <c r="B26" i="97" s="1"/>
  <c r="B28" i="97" s="1"/>
  <c r="B16" i="97"/>
  <c r="E22" i="97" s="1"/>
  <c r="E23" i="97" s="1"/>
  <c r="B22" i="99"/>
  <c r="B23" i="99" s="1"/>
  <c r="B32" i="99"/>
  <c r="B22" i="98" l="1"/>
  <c r="B23" i="98" s="1"/>
  <c r="B37" i="102"/>
  <c r="B38" i="102" s="1"/>
  <c r="E26" i="97"/>
  <c r="E28" i="97"/>
  <c r="B17" i="98"/>
  <c r="B29" i="98" s="1"/>
  <c r="B32" i="98"/>
  <c r="E26" i="98"/>
  <c r="B37" i="101"/>
  <c r="B38" i="101" s="1"/>
  <c r="B33" i="102"/>
  <c r="B34" i="102" s="1"/>
  <c r="B33" i="101"/>
  <c r="B34" i="101" s="1"/>
  <c r="B39" i="101"/>
  <c r="B40" i="101" s="1"/>
  <c r="B41" i="101" s="1"/>
  <c r="B42" i="101" s="1"/>
  <c r="B37" i="100"/>
  <c r="B38" i="100" s="1"/>
  <c r="B39" i="100"/>
  <c r="B40" i="100" s="1"/>
  <c r="B41" i="100" s="1"/>
  <c r="B42" i="100" s="1"/>
  <c r="E28" i="98"/>
  <c r="B32" i="97"/>
  <c r="B22" i="97"/>
  <c r="B23" i="97" s="1"/>
  <c r="B17" i="97"/>
  <c r="B29" i="97" s="1"/>
  <c r="B18" i="99"/>
  <c r="B33" i="99" s="1"/>
  <c r="B34" i="99" s="1"/>
  <c r="E29" i="98" l="1"/>
  <c r="B18" i="98"/>
  <c r="B33" i="98" s="1"/>
  <c r="B34" i="98" s="1"/>
  <c r="B18" i="97"/>
  <c r="B33" i="97" s="1"/>
  <c r="B34" i="97" s="1"/>
  <c r="E29" i="97"/>
  <c r="B37" i="99"/>
  <c r="B38" i="99" s="1"/>
  <c r="B39" i="99"/>
  <c r="B40" i="99" s="1"/>
  <c r="B41" i="99" s="1"/>
  <c r="B42" i="99" s="1"/>
  <c r="B37" i="97"/>
  <c r="B38" i="97" s="1"/>
  <c r="I33" i="96"/>
  <c r="I32" i="96"/>
  <c r="I31" i="96"/>
  <c r="I30" i="96"/>
  <c r="I25" i="96"/>
  <c r="E25" i="96"/>
  <c r="B14" i="96" a="1"/>
  <c r="B14" i="96" s="1"/>
  <c r="B15" i="96" s="1"/>
  <c r="B13" i="96"/>
  <c r="I33" i="95"/>
  <c r="I32" i="95"/>
  <c r="I31" i="95"/>
  <c r="I30" i="95"/>
  <c r="I25" i="95"/>
  <c r="E25" i="95"/>
  <c r="B14" i="95" a="1"/>
  <c r="B14" i="95" s="1"/>
  <c r="B15" i="95" s="1"/>
  <c r="I33" i="94"/>
  <c r="I32" i="94"/>
  <c r="I31" i="94"/>
  <c r="I30" i="94"/>
  <c r="I25" i="94"/>
  <c r="E25" i="94"/>
  <c r="E21" i="94"/>
  <c r="B14" i="94" a="1"/>
  <c r="B14" i="94" s="1"/>
  <c r="B15" i="94" s="1"/>
  <c r="E21" i="92"/>
  <c r="B21" i="92"/>
  <c r="I33" i="92" s="1"/>
  <c r="E21" i="91"/>
  <c r="B21" i="91"/>
  <c r="I32" i="91" s="1"/>
  <c r="E21" i="90"/>
  <c r="B21" i="90"/>
  <c r="I33" i="93"/>
  <c r="I32" i="93"/>
  <c r="I31" i="93"/>
  <c r="I30" i="93"/>
  <c r="I25" i="93"/>
  <c r="E25" i="93"/>
  <c r="B14" i="93" a="1"/>
  <c r="B14" i="93" s="1"/>
  <c r="B15" i="93" s="1"/>
  <c r="B16" i="93" s="1"/>
  <c r="I25" i="92"/>
  <c r="E25" i="92"/>
  <c r="B14" i="92" a="1"/>
  <c r="B14" i="92" s="1"/>
  <c r="B15" i="92" s="1"/>
  <c r="B13" i="92"/>
  <c r="I25" i="91"/>
  <c r="E25" i="91"/>
  <c r="B14" i="91" a="1"/>
  <c r="B14" i="91" s="1"/>
  <c r="B15" i="91" s="1"/>
  <c r="B13" i="91"/>
  <c r="B37" i="98" l="1"/>
  <c r="B38" i="98" s="1"/>
  <c r="B39" i="98"/>
  <c r="B40" i="98" s="1"/>
  <c r="B41" i="98" s="1"/>
  <c r="B42" i="98" s="1"/>
  <c r="B39" i="97"/>
  <c r="B40" i="97" s="1"/>
  <c r="B41" i="97" s="1"/>
  <c r="B42" i="97" s="1"/>
  <c r="I34" i="96"/>
  <c r="B26" i="96" s="1"/>
  <c r="B28" i="96" s="1"/>
  <c r="I34" i="95"/>
  <c r="E28" i="95" s="1"/>
  <c r="B16" i="95"/>
  <c r="B22" i="95" s="1"/>
  <c r="B23" i="95" s="1"/>
  <c r="B16" i="94"/>
  <c r="B32" i="94" s="1"/>
  <c r="I34" i="94"/>
  <c r="B26" i="94" s="1"/>
  <c r="B28" i="94" s="1"/>
  <c r="I34" i="93"/>
  <c r="E26" i="93" s="1"/>
  <c r="B16" i="96"/>
  <c r="E22" i="96" s="1"/>
  <c r="E23" i="96" s="1"/>
  <c r="B17" i="94"/>
  <c r="B18" i="94" s="1"/>
  <c r="I32" i="92"/>
  <c r="I30" i="92"/>
  <c r="I31" i="92"/>
  <c r="B16" i="92"/>
  <c r="B22" i="92" s="1"/>
  <c r="B23" i="92" s="1"/>
  <c r="I33" i="91"/>
  <c r="I30" i="91"/>
  <c r="I31" i="91"/>
  <c r="B16" i="91"/>
  <c r="B22" i="91" s="1"/>
  <c r="B23" i="91" s="1"/>
  <c r="E22" i="93"/>
  <c r="E23" i="93" s="1"/>
  <c r="B17" i="93"/>
  <c r="B22" i="93"/>
  <c r="B23" i="93" s="1"/>
  <c r="B32" i="93"/>
  <c r="E21" i="89"/>
  <c r="B21" i="89"/>
  <c r="E21" i="88"/>
  <c r="B21" i="88"/>
  <c r="E21" i="87"/>
  <c r="B21" i="87"/>
  <c r="B13" i="87"/>
  <c r="B22" i="94" l="1"/>
  <c r="B23" i="94" s="1"/>
  <c r="B17" i="95"/>
  <c r="B18" i="95" s="1"/>
  <c r="B39" i="95" s="1"/>
  <c r="B40" i="95" s="1"/>
  <c r="B41" i="95" s="1"/>
  <c r="B42" i="95" s="1"/>
  <c r="E26" i="96"/>
  <c r="E28" i="96"/>
  <c r="I34" i="91"/>
  <c r="B26" i="91" s="1"/>
  <c r="B28" i="91" s="1"/>
  <c r="B17" i="91"/>
  <c r="B18" i="91" s="1"/>
  <c r="B33" i="91" s="1"/>
  <c r="B34" i="91" s="1"/>
  <c r="I34" i="92"/>
  <c r="B26" i="92" s="1"/>
  <c r="B28" i="92" s="1"/>
  <c r="B32" i="95"/>
  <c r="B26" i="95"/>
  <c r="B28" i="95" s="1"/>
  <c r="B17" i="96"/>
  <c r="B18" i="96" s="1"/>
  <c r="B39" i="96" s="1"/>
  <c r="B40" i="96" s="1"/>
  <c r="B41" i="96" s="1"/>
  <c r="B42" i="96" s="1"/>
  <c r="E22" i="92"/>
  <c r="E23" i="92" s="1"/>
  <c r="E26" i="95"/>
  <c r="B32" i="96"/>
  <c r="E22" i="95"/>
  <c r="E23" i="95" s="1"/>
  <c r="E28" i="94"/>
  <c r="E29" i="94" s="1"/>
  <c r="E26" i="94"/>
  <c r="E22" i="94"/>
  <c r="E23" i="94" s="1"/>
  <c r="B26" i="93"/>
  <c r="B28" i="93" s="1"/>
  <c r="B29" i="93" s="1"/>
  <c r="E28" i="93"/>
  <c r="E29" i="93" s="1"/>
  <c r="B22" i="96"/>
  <c r="B23" i="96" s="1"/>
  <c r="B37" i="94"/>
  <c r="B38" i="94" s="1"/>
  <c r="B39" i="94"/>
  <c r="B40" i="94" s="1"/>
  <c r="B41" i="94" s="1"/>
  <c r="B42" i="94" s="1"/>
  <c r="B33" i="94"/>
  <c r="B34" i="94" s="1"/>
  <c r="B29" i="94"/>
  <c r="B32" i="92"/>
  <c r="B17" i="92"/>
  <c r="B18" i="92" s="1"/>
  <c r="B39" i="92" s="1"/>
  <c r="B40" i="92" s="1"/>
  <c r="E22" i="91"/>
  <c r="E23" i="91" s="1"/>
  <c r="B18" i="93"/>
  <c r="B33" i="93" s="1"/>
  <c r="B34" i="93" s="1"/>
  <c r="I33" i="90"/>
  <c r="I32" i="90"/>
  <c r="I31" i="90"/>
  <c r="I30" i="90"/>
  <c r="I25" i="90"/>
  <c r="E25" i="90"/>
  <c r="B14" i="90" a="1"/>
  <c r="B14" i="90" s="1"/>
  <c r="B15" i="90" s="1"/>
  <c r="B13" i="90"/>
  <c r="I33" i="89"/>
  <c r="I32" i="89"/>
  <c r="I31" i="89"/>
  <c r="I30" i="89"/>
  <c r="I25" i="89"/>
  <c r="E25" i="89"/>
  <c r="B14" i="89" a="1"/>
  <c r="B14" i="89" s="1"/>
  <c r="B15" i="89" s="1"/>
  <c r="B13" i="89"/>
  <c r="E21" i="86"/>
  <c r="B21" i="86"/>
  <c r="B13" i="86"/>
  <c r="E21" i="85"/>
  <c r="B13" i="85"/>
  <c r="B21" i="85"/>
  <c r="E28" i="91" l="1"/>
  <c r="E29" i="91" s="1"/>
  <c r="B29" i="95"/>
  <c r="B39" i="91"/>
  <c r="B40" i="91" s="1"/>
  <c r="B41" i="91" s="1"/>
  <c r="B42" i="91" s="1"/>
  <c r="B33" i="95"/>
  <c r="B34" i="95" s="1"/>
  <c r="E29" i="96"/>
  <c r="E29" i="95"/>
  <c r="B41" i="92"/>
  <c r="B42" i="92" s="1"/>
  <c r="E26" i="92"/>
  <c r="E26" i="91"/>
  <c r="B29" i="91"/>
  <c r="B29" i="96"/>
  <c r="B37" i="92"/>
  <c r="B38" i="92" s="1"/>
  <c r="E28" i="92"/>
  <c r="E29" i="92" s="1"/>
  <c r="B33" i="96"/>
  <c r="B34" i="96" s="1"/>
  <c r="B37" i="95"/>
  <c r="B38" i="95" s="1"/>
  <c r="B29" i="92"/>
  <c r="B37" i="96"/>
  <c r="B38" i="96" s="1"/>
  <c r="B33" i="92"/>
  <c r="B34" i="92" s="1"/>
  <c r="B37" i="91"/>
  <c r="B38" i="91" s="1"/>
  <c r="I34" i="90"/>
  <c r="B26" i="90" s="1"/>
  <c r="B28" i="90" s="1"/>
  <c r="B16" i="90"/>
  <c r="B17" i="90" s="1"/>
  <c r="B18" i="90" s="1"/>
  <c r="B37" i="93"/>
  <c r="B38" i="93" s="1"/>
  <c r="B39" i="93"/>
  <c r="B40" i="93" s="1"/>
  <c r="B41" i="93" s="1"/>
  <c r="B42" i="93" s="1"/>
  <c r="B16" i="89"/>
  <c r="B32" i="89" s="1"/>
  <c r="I34" i="89"/>
  <c r="B26" i="89" s="1"/>
  <c r="B28" i="89" s="1"/>
  <c r="I33" i="88"/>
  <c r="I32" i="88"/>
  <c r="I31" i="88"/>
  <c r="I30" i="88"/>
  <c r="I25" i="88"/>
  <c r="E25" i="88"/>
  <c r="B14" i="88" a="1"/>
  <c r="B14" i="88" s="1"/>
  <c r="B15" i="88" s="1"/>
  <c r="B13" i="88"/>
  <c r="I33" i="87"/>
  <c r="I32" i="87"/>
  <c r="I31" i="87"/>
  <c r="I30" i="87"/>
  <c r="I25" i="87"/>
  <c r="E25" i="87"/>
  <c r="B14" i="87" a="1"/>
  <c r="B14" i="87" s="1"/>
  <c r="B15" i="87" s="1"/>
  <c r="E21" i="84"/>
  <c r="B21" i="84"/>
  <c r="I33" i="84" s="1"/>
  <c r="B13" i="83"/>
  <c r="B21" i="83"/>
  <c r="I30" i="83" s="1"/>
  <c r="E21" i="82"/>
  <c r="B13" i="82"/>
  <c r="B21" i="82"/>
  <c r="I33" i="86"/>
  <c r="I32" i="86"/>
  <c r="I31" i="86"/>
  <c r="I30" i="86"/>
  <c r="I25" i="86"/>
  <c r="E25" i="86"/>
  <c r="B14" i="86" a="1"/>
  <c r="B14" i="86" s="1"/>
  <c r="B15" i="86" s="1"/>
  <c r="I33" i="85"/>
  <c r="I32" i="85"/>
  <c r="I31" i="85"/>
  <c r="I30" i="85"/>
  <c r="I25" i="85"/>
  <c r="E25" i="85"/>
  <c r="B14" i="85" a="1"/>
  <c r="B14" i="85" s="1"/>
  <c r="B15" i="85" s="1"/>
  <c r="I25" i="84"/>
  <c r="E25" i="84"/>
  <c r="B14" i="84" a="1"/>
  <c r="B14" i="84" s="1"/>
  <c r="B15" i="84" s="1"/>
  <c r="B13" i="84"/>
  <c r="I25" i="83"/>
  <c r="E25" i="83"/>
  <c r="E21" i="83"/>
  <c r="B14" i="83" a="1"/>
  <c r="B14" i="83" s="1"/>
  <c r="B15" i="83" s="1"/>
  <c r="B13" i="81"/>
  <c r="B21" i="81"/>
  <c r="B22" i="89" l="1"/>
  <c r="B23" i="89" s="1"/>
  <c r="B17" i="89"/>
  <c r="B18" i="89" s="1"/>
  <c r="B37" i="89" s="1"/>
  <c r="B38" i="89" s="1"/>
  <c r="E22" i="89"/>
  <c r="E23" i="89" s="1"/>
  <c r="E26" i="89"/>
  <c r="E28" i="89"/>
  <c r="E22" i="90"/>
  <c r="E23" i="90" s="1"/>
  <c r="I31" i="83"/>
  <c r="I32" i="83"/>
  <c r="B22" i="90"/>
  <c r="B23" i="90" s="1"/>
  <c r="E26" i="90"/>
  <c r="E28" i="90"/>
  <c r="E29" i="90" s="1"/>
  <c r="B29" i="90"/>
  <c r="B16" i="88"/>
  <c r="E22" i="88" s="1"/>
  <c r="E23" i="88" s="1"/>
  <c r="I34" i="88"/>
  <c r="E28" i="88" s="1"/>
  <c r="I34" i="87"/>
  <c r="B26" i="87" s="1"/>
  <c r="B28" i="87" s="1"/>
  <c r="B37" i="90"/>
  <c r="B38" i="90" s="1"/>
  <c r="B39" i="90"/>
  <c r="B40" i="90" s="1"/>
  <c r="B41" i="90" s="1"/>
  <c r="B42" i="90" s="1"/>
  <c r="B33" i="90"/>
  <c r="B34" i="90" s="1"/>
  <c r="B16" i="87"/>
  <c r="B22" i="87" s="1"/>
  <c r="B23" i="87" s="1"/>
  <c r="I34" i="86"/>
  <c r="E28" i="86" s="1"/>
  <c r="B16" i="86"/>
  <c r="B32" i="86" s="1"/>
  <c r="I34" i="85"/>
  <c r="B26" i="85" s="1"/>
  <c r="B28" i="85" s="1"/>
  <c r="B16" i="85"/>
  <c r="E22" i="85" s="1"/>
  <c r="E23" i="85" s="1"/>
  <c r="I32" i="84"/>
  <c r="I30" i="84"/>
  <c r="I31" i="84"/>
  <c r="B16" i="84"/>
  <c r="B17" i="84" s="1"/>
  <c r="B18" i="84" s="1"/>
  <c r="B16" i="83"/>
  <c r="B17" i="83" s="1"/>
  <c r="I33" i="83"/>
  <c r="B13" i="80"/>
  <c r="E29" i="89" l="1"/>
  <c r="B32" i="88"/>
  <c r="B22" i="86"/>
  <c r="B23" i="86" s="1"/>
  <c r="B22" i="88"/>
  <c r="B23" i="88" s="1"/>
  <c r="B29" i="89"/>
  <c r="E26" i="87"/>
  <c r="B17" i="88"/>
  <c r="B18" i="88" s="1"/>
  <c r="B39" i="88" s="1"/>
  <c r="B40" i="88" s="1"/>
  <c r="B41" i="88" s="1"/>
  <c r="B42" i="88" s="1"/>
  <c r="E28" i="85"/>
  <c r="B26" i="88"/>
  <c r="B28" i="88" s="1"/>
  <c r="I34" i="83"/>
  <c r="E28" i="83" s="1"/>
  <c r="E29" i="83" s="1"/>
  <c r="E26" i="88"/>
  <c r="B17" i="86"/>
  <c r="B18" i="86" s="1"/>
  <c r="B33" i="86" s="1"/>
  <c r="B34" i="86" s="1"/>
  <c r="B32" i="83"/>
  <c r="E22" i="83"/>
  <c r="E23" i="83" s="1"/>
  <c r="E28" i="87"/>
  <c r="B22" i="83"/>
  <c r="B23" i="83" s="1"/>
  <c r="E26" i="85"/>
  <c r="B22" i="84"/>
  <c r="B23" i="84" s="1"/>
  <c r="E22" i="84"/>
  <c r="E23" i="84" s="1"/>
  <c r="E26" i="86"/>
  <c r="B26" i="86"/>
  <c r="B28" i="86" s="1"/>
  <c r="B33" i="89"/>
  <c r="B34" i="89" s="1"/>
  <c r="B39" i="89"/>
  <c r="B40" i="89" s="1"/>
  <c r="B41" i="89" s="1"/>
  <c r="B42" i="89" s="1"/>
  <c r="B17" i="87"/>
  <c r="B18" i="87" s="1"/>
  <c r="B39" i="87" s="1"/>
  <c r="B40" i="87" s="1"/>
  <c r="B41" i="87" s="1"/>
  <c r="B42" i="87" s="1"/>
  <c r="E22" i="87"/>
  <c r="E23" i="87" s="1"/>
  <c r="B32" i="87"/>
  <c r="E22" i="86"/>
  <c r="E23" i="86" s="1"/>
  <c r="B32" i="85"/>
  <c r="B17" i="85"/>
  <c r="B18" i="85" s="1"/>
  <c r="B39" i="85" s="1"/>
  <c r="B40" i="85" s="1"/>
  <c r="B41" i="85" s="1"/>
  <c r="B42" i="85" s="1"/>
  <c r="B22" i="85"/>
  <c r="B23" i="85" s="1"/>
  <c r="I34" i="84"/>
  <c r="B37" i="84"/>
  <c r="B38" i="84" s="1"/>
  <c r="B39" i="84"/>
  <c r="B40" i="84" s="1"/>
  <c r="B33" i="84"/>
  <c r="B34" i="84" s="1"/>
  <c r="B18" i="83"/>
  <c r="E21" i="79"/>
  <c r="B13" i="79"/>
  <c r="E29" i="86" l="1"/>
  <c r="B37" i="88"/>
  <c r="B38" i="88" s="1"/>
  <c r="B29" i="86"/>
  <c r="B33" i="88"/>
  <c r="B34" i="88" s="1"/>
  <c r="B26" i="83"/>
  <c r="B28" i="83" s="1"/>
  <c r="B29" i="83" s="1"/>
  <c r="B29" i="88"/>
  <c r="E29" i="88"/>
  <c r="E26" i="83"/>
  <c r="B37" i="85"/>
  <c r="B38" i="85" s="1"/>
  <c r="E29" i="87"/>
  <c r="B33" i="85"/>
  <c r="B34" i="85" s="1"/>
  <c r="B29" i="87"/>
  <c r="B33" i="87"/>
  <c r="B34" i="87" s="1"/>
  <c r="B29" i="85"/>
  <c r="E26" i="84"/>
  <c r="E28" i="84"/>
  <c r="E29" i="84" s="1"/>
  <c r="B37" i="87"/>
  <c r="B38" i="87" s="1"/>
  <c r="E29" i="85"/>
  <c r="B41" i="84"/>
  <c r="B42" i="84" s="1"/>
  <c r="B26" i="84"/>
  <c r="B28" i="84" s="1"/>
  <c r="B29" i="84" s="1"/>
  <c r="B37" i="86"/>
  <c r="B38" i="86" s="1"/>
  <c r="B39" i="86"/>
  <c r="B40" i="86" s="1"/>
  <c r="B41" i="86" s="1"/>
  <c r="B42" i="86" s="1"/>
  <c r="B37" i="83"/>
  <c r="B38" i="83" s="1"/>
  <c r="B39" i="83"/>
  <c r="B40" i="83" s="1"/>
  <c r="B41" i="83" s="1"/>
  <c r="B42" i="83" s="1"/>
  <c r="B33" i="83"/>
  <c r="B34" i="83" s="1"/>
  <c r="I33" i="82"/>
  <c r="I32" i="82"/>
  <c r="I31" i="82"/>
  <c r="I30" i="82"/>
  <c r="I25" i="82"/>
  <c r="E25" i="82"/>
  <c r="B14" i="82" a="1"/>
  <c r="B14" i="82" s="1"/>
  <c r="B15" i="82" s="1"/>
  <c r="I33" i="81"/>
  <c r="I32" i="81"/>
  <c r="I31" i="81"/>
  <c r="I30" i="81"/>
  <c r="I25" i="81"/>
  <c r="E25" i="81"/>
  <c r="B14" i="81" a="1"/>
  <c r="B14" i="81" s="1"/>
  <c r="B15" i="81" s="1"/>
  <c r="I33" i="80"/>
  <c r="I32" i="80"/>
  <c r="I31" i="80"/>
  <c r="I30" i="80"/>
  <c r="I25" i="80"/>
  <c r="E25" i="80"/>
  <c r="E21" i="80"/>
  <c r="B14" i="80" a="1"/>
  <c r="B14" i="80" s="1"/>
  <c r="B15" i="80" s="1"/>
  <c r="E21" i="78"/>
  <c r="B21" i="78"/>
  <c r="B21" i="77"/>
  <c r="I33" i="77"/>
  <c r="I23" i="77"/>
  <c r="I21" i="77"/>
  <c r="B13" i="77"/>
  <c r="E21" i="76"/>
  <c r="B21" i="76"/>
  <c r="I33" i="79"/>
  <c r="I32" i="79"/>
  <c r="I31" i="79"/>
  <c r="I30" i="79"/>
  <c r="I25" i="79"/>
  <c r="E25" i="79"/>
  <c r="B14" i="79" a="1"/>
  <c r="B14" i="79" s="1"/>
  <c r="B15" i="79" s="1"/>
  <c r="B16" i="82" l="1"/>
  <c r="E22" i="82" s="1"/>
  <c r="E23" i="82" s="1"/>
  <c r="I34" i="82"/>
  <c r="B26" i="82" s="1"/>
  <c r="B28" i="82" s="1"/>
  <c r="B16" i="81"/>
  <c r="B32" i="81" s="1"/>
  <c r="I34" i="81"/>
  <c r="E28" i="81" s="1"/>
  <c r="I34" i="80"/>
  <c r="E28" i="80" s="1"/>
  <c r="B16" i="80"/>
  <c r="B16" i="79"/>
  <c r="E22" i="79" s="1"/>
  <c r="E23" i="79" s="1"/>
  <c r="I34" i="79"/>
  <c r="E28" i="79" s="1"/>
  <c r="B17" i="82"/>
  <c r="B18" i="82" s="1"/>
  <c r="E26" i="82"/>
  <c r="E22" i="81"/>
  <c r="E23" i="81" s="1"/>
  <c r="B21" i="75"/>
  <c r="B13" i="75"/>
  <c r="E21" i="75"/>
  <c r="I33" i="78"/>
  <c r="I32" i="78"/>
  <c r="I31" i="78"/>
  <c r="I30" i="78"/>
  <c r="I25" i="78"/>
  <c r="E25" i="78"/>
  <c r="B14" i="78" a="1"/>
  <c r="B14" i="78" s="1"/>
  <c r="B15" i="78" s="1"/>
  <c r="B13" i="78"/>
  <c r="I32" i="77"/>
  <c r="I31" i="77"/>
  <c r="I30" i="77"/>
  <c r="I25" i="77"/>
  <c r="E25" i="77"/>
  <c r="E21" i="77"/>
  <c r="B14" i="77" a="1"/>
  <c r="B14" i="77" s="1"/>
  <c r="B15" i="77" s="1"/>
  <c r="I33" i="76"/>
  <c r="I32" i="76"/>
  <c r="I31" i="76"/>
  <c r="I30" i="76"/>
  <c r="I25" i="76"/>
  <c r="E25" i="76"/>
  <c r="B14" i="76" a="1"/>
  <c r="B14" i="76" s="1"/>
  <c r="B15" i="76" s="1"/>
  <c r="B13" i="76"/>
  <c r="B21" i="74"/>
  <c r="E21" i="73"/>
  <c r="B13" i="73"/>
  <c r="B21" i="73"/>
  <c r="B17" i="81" l="1"/>
  <c r="B18" i="81" s="1"/>
  <c r="B37" i="81" s="1"/>
  <c r="B38" i="81" s="1"/>
  <c r="B22" i="81"/>
  <c r="B23" i="81" s="1"/>
  <c r="B17" i="79"/>
  <c r="B18" i="79" s="1"/>
  <c r="B39" i="79" s="1"/>
  <c r="B40" i="79" s="1"/>
  <c r="B41" i="79" s="1"/>
  <c r="B42" i="79" s="1"/>
  <c r="B26" i="80"/>
  <c r="B28" i="80" s="1"/>
  <c r="B26" i="81"/>
  <c r="B28" i="81" s="1"/>
  <c r="E26" i="79"/>
  <c r="B16" i="78"/>
  <c r="B32" i="78" s="1"/>
  <c r="B26" i="79"/>
  <c r="B28" i="79" s="1"/>
  <c r="E26" i="81"/>
  <c r="B32" i="82"/>
  <c r="B33" i="82" s="1"/>
  <c r="B34" i="82" s="1"/>
  <c r="E28" i="82"/>
  <c r="E29" i="82" s="1"/>
  <c r="B22" i="82"/>
  <c r="B23" i="82" s="1"/>
  <c r="I34" i="76"/>
  <c r="E28" i="76" s="1"/>
  <c r="B22" i="80"/>
  <c r="B23" i="80" s="1"/>
  <c r="B17" i="80"/>
  <c r="B18" i="80" s="1"/>
  <c r="B29" i="82"/>
  <c r="E29" i="81"/>
  <c r="E22" i="80"/>
  <c r="E23" i="80" s="1"/>
  <c r="B32" i="80"/>
  <c r="B33" i="80" s="1"/>
  <c r="B34" i="80" s="1"/>
  <c r="E26" i="80"/>
  <c r="B22" i="79"/>
  <c r="B23" i="79" s="1"/>
  <c r="B39" i="82"/>
  <c r="B40" i="82" s="1"/>
  <c r="B41" i="82" s="1"/>
  <c r="B42" i="82" s="1"/>
  <c r="I34" i="78"/>
  <c r="E28" i="78" s="1"/>
  <c r="I34" i="77"/>
  <c r="E28" i="77" s="1"/>
  <c r="B16" i="77"/>
  <c r="B17" i="77" s="1"/>
  <c r="B16" i="76"/>
  <c r="B22" i="76" s="1"/>
  <c r="B23" i="76" s="1"/>
  <c r="E21" i="72"/>
  <c r="B21" i="72"/>
  <c r="I32" i="72" s="1"/>
  <c r="I33" i="75"/>
  <c r="I32" i="75"/>
  <c r="I31" i="75"/>
  <c r="I30" i="75"/>
  <c r="I25" i="75"/>
  <c r="E25" i="75"/>
  <c r="B14" i="75" a="1"/>
  <c r="B14" i="75" s="1"/>
  <c r="B15" i="75" s="1"/>
  <c r="I33" i="74"/>
  <c r="I32" i="74"/>
  <c r="I31" i="74"/>
  <c r="I30" i="74"/>
  <c r="I25" i="74"/>
  <c r="E25" i="74"/>
  <c r="E21" i="74"/>
  <c r="B14" i="74" a="1"/>
  <c r="B14" i="74" s="1"/>
  <c r="B15" i="74" s="1"/>
  <c r="B13" i="74"/>
  <c r="I33" i="73"/>
  <c r="I32" i="73"/>
  <c r="I31" i="73"/>
  <c r="I30" i="73"/>
  <c r="I25" i="73"/>
  <c r="E25" i="73"/>
  <c r="B14" i="73" a="1"/>
  <c r="B14" i="73" s="1"/>
  <c r="B15" i="73" s="1"/>
  <c r="B16" i="73" s="1"/>
  <c r="E21" i="71"/>
  <c r="B21" i="71"/>
  <c r="I32" i="71" s="1"/>
  <c r="E21" i="70"/>
  <c r="B21" i="70"/>
  <c r="I33" i="70" s="1"/>
  <c r="B21" i="69"/>
  <c r="I25" i="72"/>
  <c r="E25" i="72"/>
  <c r="B14" i="72" a="1"/>
  <c r="B14" i="72" s="1"/>
  <c r="B15" i="72" s="1"/>
  <c r="B13" i="72"/>
  <c r="I33" i="71"/>
  <c r="I25" i="71"/>
  <c r="E25" i="71"/>
  <c r="B14" i="71" a="1"/>
  <c r="B14" i="71" s="1"/>
  <c r="B15" i="71" s="1"/>
  <c r="B13" i="71"/>
  <c r="I25" i="70"/>
  <c r="E25" i="70"/>
  <c r="B14" i="70" a="1"/>
  <c r="B14" i="70" s="1"/>
  <c r="B15" i="70" s="1"/>
  <c r="E21" i="68"/>
  <c r="B21" i="68"/>
  <c r="E21" i="67"/>
  <c r="B21" i="67"/>
  <c r="E21" i="66"/>
  <c r="B21" i="66"/>
  <c r="B29" i="81" l="1"/>
  <c r="B33" i="81"/>
  <c r="B34" i="81" s="1"/>
  <c r="B39" i="81"/>
  <c r="B40" i="81" s="1"/>
  <c r="B41" i="81" s="1"/>
  <c r="B42" i="81" s="1"/>
  <c r="E26" i="76"/>
  <c r="B22" i="78"/>
  <c r="B23" i="78" s="1"/>
  <c r="B33" i="79"/>
  <c r="B34" i="79" s="1"/>
  <c r="B29" i="79"/>
  <c r="B26" i="76"/>
  <c r="B28" i="76" s="1"/>
  <c r="B17" i="78"/>
  <c r="B18" i="78" s="1"/>
  <c r="B33" i="78" s="1"/>
  <c r="B34" i="78" s="1"/>
  <c r="E29" i="79"/>
  <c r="B37" i="79"/>
  <c r="B38" i="79" s="1"/>
  <c r="B29" i="80"/>
  <c r="B37" i="80"/>
  <c r="B38" i="80" s="1"/>
  <c r="E22" i="78"/>
  <c r="E23" i="78" s="1"/>
  <c r="B39" i="80"/>
  <c r="B40" i="80" s="1"/>
  <c r="B41" i="80" s="1"/>
  <c r="B42" i="80" s="1"/>
  <c r="B26" i="77"/>
  <c r="B28" i="77" s="1"/>
  <c r="B29" i="77" s="1"/>
  <c r="I30" i="71"/>
  <c r="B22" i="77"/>
  <c r="B23" i="77" s="1"/>
  <c r="I31" i="71"/>
  <c r="E29" i="80"/>
  <c r="I30" i="70"/>
  <c r="E22" i="76"/>
  <c r="E23" i="76" s="1"/>
  <c r="I30" i="72"/>
  <c r="E26" i="78"/>
  <c r="B37" i="82"/>
  <c r="B38" i="82" s="1"/>
  <c r="I31" i="72"/>
  <c r="I33" i="72"/>
  <c r="E22" i="77"/>
  <c r="E23" i="77" s="1"/>
  <c r="E29" i="77"/>
  <c r="I31" i="70"/>
  <c r="B32" i="77"/>
  <c r="B26" i="78"/>
  <c r="B28" i="78" s="1"/>
  <c r="I32" i="70"/>
  <c r="I34" i="73"/>
  <c r="B26" i="73" s="1"/>
  <c r="B28" i="73" s="1"/>
  <c r="E26" i="77"/>
  <c r="B17" i="76"/>
  <c r="B32" i="76"/>
  <c r="I34" i="75"/>
  <c r="B26" i="75" s="1"/>
  <c r="B28" i="75" s="1"/>
  <c r="B16" i="75"/>
  <c r="E22" i="75" s="1"/>
  <c r="E23" i="75" s="1"/>
  <c r="B18" i="77"/>
  <c r="I34" i="74"/>
  <c r="E28" i="74" s="1"/>
  <c r="B16" i="74"/>
  <c r="B22" i="74" s="1"/>
  <c r="B23" i="74" s="1"/>
  <c r="B16" i="72"/>
  <c r="B22" i="72" s="1"/>
  <c r="B23" i="72" s="1"/>
  <c r="E22" i="73"/>
  <c r="E23" i="73" s="1"/>
  <c r="B17" i="73"/>
  <c r="B18" i="73" s="1"/>
  <c r="B22" i="73"/>
  <c r="B23" i="73" s="1"/>
  <c r="B32" i="73"/>
  <c r="B16" i="71"/>
  <c r="B22" i="71" s="1"/>
  <c r="B23" i="71" s="1"/>
  <c r="B16" i="70"/>
  <c r="E22" i="70" s="1"/>
  <c r="E23" i="70" s="1"/>
  <c r="B29" i="78" l="1"/>
  <c r="B29" i="76"/>
  <c r="E29" i="78"/>
  <c r="B17" i="72"/>
  <c r="B18" i="72" s="1"/>
  <c r="B39" i="72" s="1"/>
  <c r="B40" i="72" s="1"/>
  <c r="E26" i="75"/>
  <c r="I34" i="71"/>
  <c r="B26" i="71" s="1"/>
  <c r="B28" i="71" s="1"/>
  <c r="I34" i="72"/>
  <c r="E28" i="72" s="1"/>
  <c r="B33" i="77"/>
  <c r="B34" i="77" s="1"/>
  <c r="E26" i="73"/>
  <c r="B22" i="70"/>
  <c r="B23" i="70" s="1"/>
  <c r="B26" i="74"/>
  <c r="B28" i="74" s="1"/>
  <c r="E28" i="73"/>
  <c r="E29" i="73" s="1"/>
  <c r="B17" i="70"/>
  <c r="B18" i="70" s="1"/>
  <c r="B39" i="70" s="1"/>
  <c r="B40" i="70" s="1"/>
  <c r="B32" i="71"/>
  <c r="I34" i="70"/>
  <c r="B26" i="70" s="1"/>
  <c r="B28" i="70" s="1"/>
  <c r="B17" i="71"/>
  <c r="B18" i="71" s="1"/>
  <c r="E22" i="72"/>
  <c r="E23" i="72" s="1"/>
  <c r="E26" i="71"/>
  <c r="B32" i="72"/>
  <c r="B17" i="75"/>
  <c r="B18" i="75" s="1"/>
  <c r="B39" i="75" s="1"/>
  <c r="B40" i="75" s="1"/>
  <c r="B41" i="75" s="1"/>
  <c r="B42" i="75" s="1"/>
  <c r="E22" i="71"/>
  <c r="E23" i="71" s="1"/>
  <c r="E28" i="71"/>
  <c r="B17" i="74"/>
  <c r="E29" i="74" s="1"/>
  <c r="E28" i="75"/>
  <c r="E29" i="75" s="1"/>
  <c r="B18" i="76"/>
  <c r="B33" i="76" s="1"/>
  <c r="B34" i="76" s="1"/>
  <c r="E29" i="76"/>
  <c r="B32" i="75"/>
  <c r="B22" i="75"/>
  <c r="B23" i="75" s="1"/>
  <c r="B37" i="78"/>
  <c r="B38" i="78" s="1"/>
  <c r="B39" i="78"/>
  <c r="B40" i="78" s="1"/>
  <c r="B41" i="78" s="1"/>
  <c r="B42" i="78" s="1"/>
  <c r="B37" i="77"/>
  <c r="B38" i="77" s="1"/>
  <c r="B39" i="77"/>
  <c r="B40" i="77" s="1"/>
  <c r="B41" i="77" s="1"/>
  <c r="B42" i="77" s="1"/>
  <c r="E22" i="74"/>
  <c r="E23" i="74" s="1"/>
  <c r="B32" i="74"/>
  <c r="E26" i="74"/>
  <c r="B29" i="73"/>
  <c r="B37" i="73"/>
  <c r="B38" i="73" s="1"/>
  <c r="B39" i="73"/>
  <c r="B40" i="73" s="1"/>
  <c r="B41" i="73" s="1"/>
  <c r="B42" i="73" s="1"/>
  <c r="B33" i="73"/>
  <c r="B34" i="73" s="1"/>
  <c r="B32" i="70"/>
  <c r="E29" i="72" l="1"/>
  <c r="B37" i="72"/>
  <c r="B38" i="72" s="1"/>
  <c r="B41" i="72"/>
  <c r="B42" i="72" s="1"/>
  <c r="E28" i="70"/>
  <c r="B33" i="72"/>
  <c r="B34" i="72" s="1"/>
  <c r="E26" i="72"/>
  <c r="B26" i="72"/>
  <c r="B28" i="72" s="1"/>
  <c r="B29" i="72" s="1"/>
  <c r="B37" i="70"/>
  <c r="B38" i="70" s="1"/>
  <c r="B18" i="74"/>
  <c r="B37" i="74" s="1"/>
  <c r="B38" i="74" s="1"/>
  <c r="E29" i="71"/>
  <c r="E26" i="70"/>
  <c r="B37" i="71"/>
  <c r="B38" i="71" s="1"/>
  <c r="B41" i="70"/>
  <c r="B42" i="70" s="1"/>
  <c r="B33" i="70"/>
  <c r="B34" i="70" s="1"/>
  <c r="B29" i="70"/>
  <c r="E29" i="70"/>
  <c r="B29" i="74"/>
  <c r="B33" i="71"/>
  <c r="B34" i="71" s="1"/>
  <c r="B37" i="75"/>
  <c r="B38" i="75" s="1"/>
  <c r="B39" i="71"/>
  <c r="B40" i="71" s="1"/>
  <c r="B41" i="71" s="1"/>
  <c r="B42" i="71" s="1"/>
  <c r="B29" i="71"/>
  <c r="B29" i="75"/>
  <c r="B33" i="75"/>
  <c r="B34" i="75" s="1"/>
  <c r="B37" i="76"/>
  <c r="B38" i="76" s="1"/>
  <c r="B39" i="76"/>
  <c r="B40" i="76" s="1"/>
  <c r="B41" i="76" s="1"/>
  <c r="B42" i="76" s="1"/>
  <c r="B39" i="74" l="1"/>
  <c r="B40" i="74" s="1"/>
  <c r="B41" i="74" s="1"/>
  <c r="B42" i="74" s="1"/>
  <c r="B33" i="74"/>
  <c r="B34" i="74" s="1"/>
  <c r="I33" i="69"/>
  <c r="I32" i="69"/>
  <c r="I31" i="69"/>
  <c r="I30" i="69"/>
  <c r="I25" i="69"/>
  <c r="E25" i="69"/>
  <c r="E21" i="69"/>
  <c r="B14" i="69" a="1"/>
  <c r="B14" i="69" s="1"/>
  <c r="B15" i="69" s="1"/>
  <c r="B13" i="69"/>
  <c r="I33" i="68"/>
  <c r="I32" i="68"/>
  <c r="I31" i="68"/>
  <c r="I30" i="68"/>
  <c r="I25" i="68"/>
  <c r="E25" i="68"/>
  <c r="B14" i="68" a="1"/>
  <c r="B14" i="68" s="1"/>
  <c r="B15" i="68" s="1"/>
  <c r="B13" i="68"/>
  <c r="I33" i="67"/>
  <c r="I32" i="67"/>
  <c r="I31" i="67"/>
  <c r="I30" i="67"/>
  <c r="I25" i="67"/>
  <c r="E25" i="67"/>
  <c r="B14" i="67" a="1"/>
  <c r="B14" i="67" s="1"/>
  <c r="B15" i="67" s="1"/>
  <c r="B13" i="67"/>
  <c r="B13" i="65"/>
  <c r="I34" i="69" l="1"/>
  <c r="E28" i="69" s="1"/>
  <c r="B16" i="69"/>
  <c r="E22" i="69" s="1"/>
  <c r="E23" i="69" s="1"/>
  <c r="I34" i="68"/>
  <c r="B26" i="68" s="1"/>
  <c r="B28" i="68" s="1"/>
  <c r="B16" i="68"/>
  <c r="B22" i="68" s="1"/>
  <c r="B23" i="68" s="1"/>
  <c r="B16" i="67"/>
  <c r="B17" i="67" s="1"/>
  <c r="B18" i="67" s="1"/>
  <c r="I34" i="67"/>
  <c r="B26" i="67" s="1"/>
  <c r="B28" i="67" s="1"/>
  <c r="I33" i="66"/>
  <c r="I32" i="66"/>
  <c r="I31" i="66"/>
  <c r="I30" i="66"/>
  <c r="I25" i="66"/>
  <c r="E25" i="66"/>
  <c r="B14" i="66" a="1"/>
  <c r="B14" i="66" s="1"/>
  <c r="B15" i="66" s="1"/>
  <c r="I33" i="65"/>
  <c r="I32" i="65"/>
  <c r="I31" i="65"/>
  <c r="I30" i="65"/>
  <c r="I25" i="65"/>
  <c r="E25" i="65"/>
  <c r="E21" i="65"/>
  <c r="B14" i="65" a="1"/>
  <c r="B14" i="65" s="1"/>
  <c r="B15" i="65" s="1"/>
  <c r="I33" i="64"/>
  <c r="I32" i="64"/>
  <c r="I31" i="64"/>
  <c r="I30" i="64"/>
  <c r="I25" i="64"/>
  <c r="E25" i="64"/>
  <c r="E21" i="64"/>
  <c r="B14" i="64" a="1"/>
  <c r="B14" i="64" s="1"/>
  <c r="B15" i="64" s="1"/>
  <c r="B13" i="64"/>
  <c r="I33" i="63"/>
  <c r="I32" i="63"/>
  <c r="I31" i="63"/>
  <c r="I30" i="63"/>
  <c r="I25" i="63"/>
  <c r="E25" i="63"/>
  <c r="E21" i="63"/>
  <c r="B14" i="63" a="1"/>
  <c r="B14" i="63" s="1"/>
  <c r="B15" i="63" s="1"/>
  <c r="B13" i="63"/>
  <c r="I33" i="62"/>
  <c r="I32" i="62"/>
  <c r="I31" i="62"/>
  <c r="I30" i="62"/>
  <c r="I25" i="62"/>
  <c r="E25" i="62"/>
  <c r="E21" i="62"/>
  <c r="B14" i="62" a="1"/>
  <c r="B14" i="62" s="1"/>
  <c r="B15" i="62" s="1"/>
  <c r="B13" i="62"/>
  <c r="I33" i="61"/>
  <c r="I32" i="61"/>
  <c r="I31" i="61"/>
  <c r="I30" i="61"/>
  <c r="I25" i="61"/>
  <c r="E25" i="61"/>
  <c r="E21" i="61"/>
  <c r="B14" i="61" a="1"/>
  <c r="B14" i="61" s="1"/>
  <c r="B15" i="61" s="1"/>
  <c r="B13" i="61"/>
  <c r="B32" i="67" l="1"/>
  <c r="B37" i="67" s="1"/>
  <c r="B38" i="67" s="1"/>
  <c r="E22" i="67"/>
  <c r="E23" i="67" s="1"/>
  <c r="B17" i="68"/>
  <c r="B18" i="68" s="1"/>
  <c r="B22" i="67"/>
  <c r="B23" i="67" s="1"/>
  <c r="B26" i="69"/>
  <c r="B28" i="69" s="1"/>
  <c r="E26" i="69"/>
  <c r="E22" i="68"/>
  <c r="E23" i="68" s="1"/>
  <c r="B17" i="69"/>
  <c r="E29" i="69" s="1"/>
  <c r="E28" i="68"/>
  <c r="B22" i="69"/>
  <c r="B23" i="69" s="1"/>
  <c r="E26" i="68"/>
  <c r="E28" i="67"/>
  <c r="E29" i="67" s="1"/>
  <c r="I34" i="61"/>
  <c r="E28" i="61" s="1"/>
  <c r="B29" i="67"/>
  <c r="B32" i="69"/>
  <c r="B32" i="68"/>
  <c r="E26" i="67"/>
  <c r="I34" i="66"/>
  <c r="B26" i="66" s="1"/>
  <c r="B28" i="66" s="1"/>
  <c r="B39" i="68"/>
  <c r="B40" i="68" s="1"/>
  <c r="B41" i="68" s="1"/>
  <c r="B42" i="68" s="1"/>
  <c r="B39" i="67"/>
  <c r="B40" i="67" s="1"/>
  <c r="B41" i="67" s="1"/>
  <c r="B42" i="67" s="1"/>
  <c r="B33" i="67"/>
  <c r="B34" i="67" s="1"/>
  <c r="I34" i="65"/>
  <c r="B26" i="65" s="1"/>
  <c r="B28" i="65" s="1"/>
  <c r="B16" i="65"/>
  <c r="E22" i="65" s="1"/>
  <c r="E23" i="65" s="1"/>
  <c r="I34" i="64"/>
  <c r="B26" i="64" s="1"/>
  <c r="B28" i="64" s="1"/>
  <c r="B16" i="64"/>
  <c r="B22" i="64" s="1"/>
  <c r="B23" i="64" s="1"/>
  <c r="I34" i="63"/>
  <c r="B26" i="63" s="1"/>
  <c r="B28" i="63" s="1"/>
  <c r="B16" i="63"/>
  <c r="E22" i="63" s="1"/>
  <c r="E23" i="63" s="1"/>
  <c r="B16" i="66"/>
  <c r="E22" i="66" s="1"/>
  <c r="E23" i="66" s="1"/>
  <c r="B16" i="62"/>
  <c r="B32" i="62" s="1"/>
  <c r="I34" i="62"/>
  <c r="E28" i="62" s="1"/>
  <c r="B16" i="61"/>
  <c r="B22" i="61" s="1"/>
  <c r="B23" i="61" s="1"/>
  <c r="I33" i="60"/>
  <c r="I32" i="60"/>
  <c r="I31" i="60"/>
  <c r="I30" i="60"/>
  <c r="I25" i="60"/>
  <c r="E25" i="60"/>
  <c r="E21" i="60"/>
  <c r="B14" i="60" a="1"/>
  <c r="B14" i="60" s="1"/>
  <c r="B15" i="60" s="1"/>
  <c r="B13" i="60"/>
  <c r="I33" i="59"/>
  <c r="I32" i="59"/>
  <c r="I31" i="59"/>
  <c r="I30" i="59"/>
  <c r="I25" i="59"/>
  <c r="E25" i="59"/>
  <c r="E21" i="59"/>
  <c r="B14" i="59" a="1"/>
  <c r="B14" i="59" s="1"/>
  <c r="B15" i="59" s="1"/>
  <c r="B13" i="59"/>
  <c r="I33" i="58"/>
  <c r="I32" i="58"/>
  <c r="I31" i="58"/>
  <c r="I30" i="58"/>
  <c r="I25" i="58"/>
  <c r="E25" i="58"/>
  <c r="E21" i="58"/>
  <c r="B14" i="58" a="1"/>
  <c r="B14" i="58" s="1"/>
  <c r="B15" i="58" s="1"/>
  <c r="I33" i="57"/>
  <c r="I32" i="57"/>
  <c r="I31" i="57"/>
  <c r="I30" i="57"/>
  <c r="I25" i="57"/>
  <c r="E25" i="57"/>
  <c r="E21" i="57"/>
  <c r="B14" i="57" a="1"/>
  <c r="B14" i="57" s="1"/>
  <c r="B15" i="57" s="1"/>
  <c r="B13" i="57"/>
  <c r="I33" i="56"/>
  <c r="I32" i="56"/>
  <c r="I31" i="56"/>
  <c r="I30" i="56"/>
  <c r="I25" i="56"/>
  <c r="E25" i="56"/>
  <c r="E21" i="56"/>
  <c r="B14" i="56" a="1"/>
  <c r="B14" i="56" s="1"/>
  <c r="B15" i="56" s="1"/>
  <c r="B13" i="56"/>
  <c r="I33" i="55"/>
  <c r="I32" i="55"/>
  <c r="I31" i="55"/>
  <c r="I30" i="55"/>
  <c r="I25" i="55"/>
  <c r="E25" i="55"/>
  <c r="E21" i="55"/>
  <c r="B14" i="55" a="1"/>
  <c r="B14" i="55" s="1"/>
  <c r="B15" i="55" s="1"/>
  <c r="B13" i="55"/>
  <c r="I33" i="54"/>
  <c r="I32" i="54"/>
  <c r="I31" i="54"/>
  <c r="I30" i="54"/>
  <c r="I25" i="54"/>
  <c r="E25" i="54"/>
  <c r="E21" i="54"/>
  <c r="B14" i="54" a="1"/>
  <c r="B14" i="54" s="1"/>
  <c r="B15" i="54" s="1"/>
  <c r="B13" i="54"/>
  <c r="I33" i="53"/>
  <c r="I32" i="53"/>
  <c r="I31" i="53"/>
  <c r="I30" i="53"/>
  <c r="I25" i="53"/>
  <c r="E25" i="53"/>
  <c r="E21" i="53"/>
  <c r="B14" i="53" a="1"/>
  <c r="B14" i="53" s="1"/>
  <c r="B15" i="53" s="1"/>
  <c r="B13" i="53"/>
  <c r="I33" i="52"/>
  <c r="I32" i="52"/>
  <c r="I31" i="52"/>
  <c r="I30" i="52"/>
  <c r="I25" i="52"/>
  <c r="E25" i="52"/>
  <c r="E21" i="52"/>
  <c r="B14" i="52" a="1"/>
  <c r="B14" i="52" s="1"/>
  <c r="B15" i="52" s="1"/>
  <c r="B13" i="52"/>
  <c r="I33" i="51"/>
  <c r="I32" i="51"/>
  <c r="I31" i="51"/>
  <c r="I30" i="51"/>
  <c r="I25" i="51"/>
  <c r="E25" i="51"/>
  <c r="E21" i="51"/>
  <c r="B14" i="51" a="1"/>
  <c r="B14" i="51" s="1"/>
  <c r="B15" i="51" s="1"/>
  <c r="B26" i="61" l="1"/>
  <c r="B28" i="61" s="1"/>
  <c r="E29" i="68"/>
  <c r="B29" i="69"/>
  <c r="B29" i="68"/>
  <c r="B18" i="69"/>
  <c r="B39" i="69" s="1"/>
  <c r="B40" i="69" s="1"/>
  <c r="B41" i="69" s="1"/>
  <c r="B42" i="69" s="1"/>
  <c r="B37" i="68"/>
  <c r="B38" i="68" s="1"/>
  <c r="E26" i="63"/>
  <c r="E28" i="66"/>
  <c r="E26" i="64"/>
  <c r="B32" i="61"/>
  <c r="E26" i="62"/>
  <c r="E28" i="63"/>
  <c r="E26" i="65"/>
  <c r="B22" i="62"/>
  <c r="B23" i="62" s="1"/>
  <c r="B17" i="64"/>
  <c r="B18" i="64" s="1"/>
  <c r="B39" i="64" s="1"/>
  <c r="B40" i="64" s="1"/>
  <c r="B41" i="64" s="1"/>
  <c r="B42" i="64" s="1"/>
  <c r="B16" i="57"/>
  <c r="B22" i="57" s="1"/>
  <c r="B23" i="57" s="1"/>
  <c r="B26" i="62"/>
  <c r="B28" i="62" s="1"/>
  <c r="B17" i="62"/>
  <c r="B18" i="62" s="1"/>
  <c r="B37" i="62" s="1"/>
  <c r="B38" i="62" s="1"/>
  <c r="E28" i="64"/>
  <c r="E29" i="64" s="1"/>
  <c r="B32" i="65"/>
  <c r="E22" i="62"/>
  <c r="E23" i="62" s="1"/>
  <c r="B17" i="61"/>
  <c r="B18" i="61" s="1"/>
  <c r="B37" i="61" s="1"/>
  <c r="B38" i="61" s="1"/>
  <c r="E26" i="61"/>
  <c r="B16" i="60"/>
  <c r="B32" i="60" s="1"/>
  <c r="E22" i="61"/>
  <c r="E23" i="61" s="1"/>
  <c r="B32" i="64"/>
  <c r="B17" i="65"/>
  <c r="B18" i="65" s="1"/>
  <c r="E26" i="66"/>
  <c r="B33" i="68"/>
  <c r="B34" i="68" s="1"/>
  <c r="I34" i="55"/>
  <c r="E28" i="55" s="1"/>
  <c r="B22" i="65"/>
  <c r="B23" i="65" s="1"/>
  <c r="B32" i="66"/>
  <c r="B37" i="69"/>
  <c r="B38" i="69" s="1"/>
  <c r="E28" i="65"/>
  <c r="E22" i="64"/>
  <c r="E23" i="64" s="1"/>
  <c r="B32" i="63"/>
  <c r="B22" i="63"/>
  <c r="B23" i="63" s="1"/>
  <c r="B17" i="63"/>
  <c r="B18" i="63" s="1"/>
  <c r="B22" i="66"/>
  <c r="B23" i="66" s="1"/>
  <c r="B17" i="66"/>
  <c r="B29" i="66" s="1"/>
  <c r="I34" i="60"/>
  <c r="E28" i="60" s="1"/>
  <c r="I34" i="59"/>
  <c r="E26" i="59" s="1"/>
  <c r="B16" i="59"/>
  <c r="B32" i="59" s="1"/>
  <c r="I34" i="58"/>
  <c r="E28" i="58" s="1"/>
  <c r="B16" i="58"/>
  <c r="B17" i="58" s="1"/>
  <c r="B18" i="58" s="1"/>
  <c r="I34" i="57"/>
  <c r="E28" i="57" s="1"/>
  <c r="B16" i="56"/>
  <c r="B17" i="56" s="1"/>
  <c r="B18" i="56" s="1"/>
  <c r="I34" i="56"/>
  <c r="E28" i="56" s="1"/>
  <c r="B16" i="55"/>
  <c r="B32" i="55" s="1"/>
  <c r="B16" i="54"/>
  <c r="B32" i="54" s="1"/>
  <c r="I34" i="54"/>
  <c r="B26" i="54" s="1"/>
  <c r="B28" i="54" s="1"/>
  <c r="I34" i="53"/>
  <c r="E28" i="53" s="1"/>
  <c r="B16" i="53"/>
  <c r="B32" i="53" s="1"/>
  <c r="B16" i="52"/>
  <c r="E22" i="52" s="1"/>
  <c r="E23" i="52" s="1"/>
  <c r="I34" i="52"/>
  <c r="E28" i="52" s="1"/>
  <c r="I34" i="51"/>
  <c r="E26" i="51" s="1"/>
  <c r="B16" i="51"/>
  <c r="B17" i="51" s="1"/>
  <c r="B18" i="51" s="1"/>
  <c r="I33" i="48"/>
  <c r="I32" i="48"/>
  <c r="I31" i="48"/>
  <c r="I30" i="48"/>
  <c r="I25" i="48"/>
  <c r="E25" i="48"/>
  <c r="E21" i="48"/>
  <c r="B14" i="48" a="1"/>
  <c r="B14" i="48" s="1"/>
  <c r="B15" i="48" s="1"/>
  <c r="B13" i="48"/>
  <c r="I33" i="47"/>
  <c r="I32" i="47"/>
  <c r="I31" i="47"/>
  <c r="I30" i="47"/>
  <c r="I25" i="47"/>
  <c r="E25" i="47"/>
  <c r="E21" i="47"/>
  <c r="B14" i="47" a="1"/>
  <c r="B14" i="47" s="1"/>
  <c r="B15" i="47" s="1"/>
  <c r="B13" i="47"/>
  <c r="E29" i="62" l="1"/>
  <c r="B29" i="64"/>
  <c r="B33" i="69"/>
  <c r="B34" i="69" s="1"/>
  <c r="B37" i="64"/>
  <c r="B38" i="64" s="1"/>
  <c r="B32" i="57"/>
  <c r="B17" i="57"/>
  <c r="B18" i="57" s="1"/>
  <c r="B39" i="57" s="1"/>
  <c r="B40" i="57" s="1"/>
  <c r="B41" i="57" s="1"/>
  <c r="B42" i="57" s="1"/>
  <c r="B17" i="55"/>
  <c r="B18" i="55" s="1"/>
  <c r="B33" i="55" s="1"/>
  <c r="B34" i="55" s="1"/>
  <c r="E22" i="57"/>
  <c r="E23" i="57" s="1"/>
  <c r="B37" i="63"/>
  <c r="B38" i="63" s="1"/>
  <c r="B22" i="60"/>
  <c r="B23" i="60" s="1"/>
  <c r="B39" i="61"/>
  <c r="B40" i="61" s="1"/>
  <c r="B41" i="61" s="1"/>
  <c r="B42" i="61" s="1"/>
  <c r="B17" i="54"/>
  <c r="B18" i="54" s="1"/>
  <c r="B33" i="54" s="1"/>
  <c r="B34" i="54" s="1"/>
  <c r="B37" i="65"/>
  <c r="B38" i="65" s="1"/>
  <c r="B22" i="53"/>
  <c r="B23" i="53" s="1"/>
  <c r="E26" i="54"/>
  <c r="B22" i="51"/>
  <c r="B23" i="51" s="1"/>
  <c r="E22" i="56"/>
  <c r="E23" i="56" s="1"/>
  <c r="E28" i="54"/>
  <c r="B26" i="52"/>
  <c r="B28" i="52" s="1"/>
  <c r="B32" i="56"/>
  <c r="B33" i="56" s="1"/>
  <c r="B34" i="56" s="1"/>
  <c r="B22" i="59"/>
  <c r="B23" i="59" s="1"/>
  <c r="E26" i="58"/>
  <c r="B33" i="63"/>
  <c r="B34" i="63" s="1"/>
  <c r="B26" i="55"/>
  <c r="B28" i="55" s="1"/>
  <c r="B33" i="62"/>
  <c r="B34" i="62" s="1"/>
  <c r="E26" i="53"/>
  <c r="E26" i="55"/>
  <c r="B22" i="56"/>
  <c r="B23" i="56" s="1"/>
  <c r="E29" i="61"/>
  <c r="B39" i="62"/>
  <c r="B40" i="62" s="1"/>
  <c r="B41" i="62" s="1"/>
  <c r="B42" i="62" s="1"/>
  <c r="E28" i="59"/>
  <c r="B33" i="61"/>
  <c r="B34" i="61" s="1"/>
  <c r="B29" i="62"/>
  <c r="B33" i="65"/>
  <c r="B34" i="65" s="1"/>
  <c r="B39" i="65"/>
  <c r="B40" i="65" s="1"/>
  <c r="B41" i="65" s="1"/>
  <c r="B42" i="65" s="1"/>
  <c r="B32" i="52"/>
  <c r="I34" i="47"/>
  <c r="B26" i="47" s="1"/>
  <c r="B28" i="47" s="1"/>
  <c r="B22" i="52"/>
  <c r="B23" i="52" s="1"/>
  <c r="B33" i="64"/>
  <c r="B34" i="64" s="1"/>
  <c r="E29" i="65"/>
  <c r="E28" i="51"/>
  <c r="E29" i="51" s="1"/>
  <c r="B17" i="60"/>
  <c r="B18" i="60" s="1"/>
  <c r="B33" i="60" s="1"/>
  <c r="B34" i="60" s="1"/>
  <c r="B22" i="54"/>
  <c r="B23" i="54" s="1"/>
  <c r="E22" i="54"/>
  <c r="E23" i="54" s="1"/>
  <c r="B17" i="59"/>
  <c r="B18" i="59" s="1"/>
  <c r="B39" i="59" s="1"/>
  <c r="B40" i="59" s="1"/>
  <c r="B41" i="59" s="1"/>
  <c r="B42" i="59" s="1"/>
  <c r="E26" i="57"/>
  <c r="B26" i="59"/>
  <c r="B28" i="59" s="1"/>
  <c r="E22" i="59"/>
  <c r="E23" i="59" s="1"/>
  <c r="E22" i="60"/>
  <c r="E23" i="60" s="1"/>
  <c r="E26" i="52"/>
  <c r="B17" i="52"/>
  <c r="E29" i="52" s="1"/>
  <c r="B22" i="55"/>
  <c r="B23" i="55" s="1"/>
  <c r="E26" i="60"/>
  <c r="E29" i="63"/>
  <c r="B29" i="65"/>
  <c r="B29" i="61"/>
  <c r="B26" i="51"/>
  <c r="B28" i="51" s="1"/>
  <c r="B29" i="51" s="1"/>
  <c r="B32" i="51"/>
  <c r="B33" i="51" s="1"/>
  <c r="B34" i="51" s="1"/>
  <c r="B26" i="53"/>
  <c r="B28" i="53" s="1"/>
  <c r="E22" i="53"/>
  <c r="E23" i="53" s="1"/>
  <c r="B39" i="63"/>
  <c r="B40" i="63" s="1"/>
  <c r="B41" i="63" s="1"/>
  <c r="B42" i="63" s="1"/>
  <c r="E22" i="51"/>
  <c r="E23" i="51" s="1"/>
  <c r="B17" i="53"/>
  <c r="B18" i="53" s="1"/>
  <c r="B39" i="53" s="1"/>
  <c r="B40" i="53" s="1"/>
  <c r="B41" i="53" s="1"/>
  <c r="B42" i="53" s="1"/>
  <c r="B26" i="56"/>
  <c r="B28" i="56" s="1"/>
  <c r="B29" i="56" s="1"/>
  <c r="B26" i="58"/>
  <c r="B28" i="58" s="1"/>
  <c r="B29" i="58" s="1"/>
  <c r="B26" i="60"/>
  <c r="B28" i="60" s="1"/>
  <c r="B29" i="63"/>
  <c r="B26" i="57"/>
  <c r="B28" i="57" s="1"/>
  <c r="B18" i="66"/>
  <c r="B33" i="66" s="1"/>
  <c r="B34" i="66" s="1"/>
  <c r="E29" i="66"/>
  <c r="E22" i="58"/>
  <c r="E23" i="58" s="1"/>
  <c r="B32" i="58"/>
  <c r="B33" i="58" s="1"/>
  <c r="B34" i="58" s="1"/>
  <c r="B22" i="58"/>
  <c r="B23" i="58" s="1"/>
  <c r="E29" i="58"/>
  <c r="B39" i="58"/>
  <c r="B40" i="58" s="1"/>
  <c r="B41" i="58" s="1"/>
  <c r="B42" i="58" s="1"/>
  <c r="E29" i="56"/>
  <c r="E26" i="56"/>
  <c r="E22" i="55"/>
  <c r="E23" i="55" s="1"/>
  <c r="B39" i="56"/>
  <c r="B40" i="56" s="1"/>
  <c r="B41" i="56" s="1"/>
  <c r="B42" i="56" s="1"/>
  <c r="I34" i="48"/>
  <c r="B26" i="48" s="1"/>
  <c r="B28" i="48" s="1"/>
  <c r="B16" i="48"/>
  <c r="B17" i="48" s="1"/>
  <c r="B18" i="48" s="1"/>
  <c r="B16" i="47"/>
  <c r="E22" i="47" s="1"/>
  <c r="E23" i="47" s="1"/>
  <c r="B39" i="51"/>
  <c r="B40" i="51" s="1"/>
  <c r="B41" i="51" s="1"/>
  <c r="B42" i="51" s="1"/>
  <c r="I33" i="46"/>
  <c r="I32" i="46"/>
  <c r="I31" i="46"/>
  <c r="I30" i="46"/>
  <c r="I25" i="46"/>
  <c r="E25" i="46"/>
  <c r="E21" i="46"/>
  <c r="B14" i="46" a="1"/>
  <c r="B14" i="46" s="1"/>
  <c r="B15" i="46" s="1"/>
  <c r="I33" i="45"/>
  <c r="I32" i="45"/>
  <c r="I31" i="45"/>
  <c r="I30" i="45"/>
  <c r="I25" i="45"/>
  <c r="E25" i="45"/>
  <c r="E21" i="45"/>
  <c r="B14" i="45" a="1"/>
  <c r="B14" i="45" s="1"/>
  <c r="B15" i="45" s="1"/>
  <c r="B13" i="45"/>
  <c r="I33" i="44"/>
  <c r="I32" i="44"/>
  <c r="I31" i="44"/>
  <c r="I30" i="44"/>
  <c r="I25" i="44"/>
  <c r="E25" i="44"/>
  <c r="E21" i="44"/>
  <c r="B14" i="44" a="1"/>
  <c r="B14" i="44" s="1"/>
  <c r="B15" i="44" s="1"/>
  <c r="B13" i="44"/>
  <c r="B13" i="39"/>
  <c r="B37" i="57" l="1"/>
  <c r="B38" i="57" s="1"/>
  <c r="B37" i="51"/>
  <c r="B38" i="51" s="1"/>
  <c r="B39" i="55"/>
  <c r="B40" i="55" s="1"/>
  <c r="B41" i="55" s="1"/>
  <c r="B42" i="55" s="1"/>
  <c r="B37" i="54"/>
  <c r="B38" i="54" s="1"/>
  <c r="B37" i="55"/>
  <c r="B38" i="55" s="1"/>
  <c r="E29" i="55"/>
  <c r="B33" i="57"/>
  <c r="B34" i="57" s="1"/>
  <c r="B29" i="55"/>
  <c r="E28" i="47"/>
  <c r="B37" i="59"/>
  <c r="B38" i="59" s="1"/>
  <c r="B29" i="57"/>
  <c r="E29" i="57"/>
  <c r="B39" i="54"/>
  <c r="B40" i="54" s="1"/>
  <c r="B41" i="54" s="1"/>
  <c r="B42" i="54" s="1"/>
  <c r="B37" i="56"/>
  <c r="B38" i="56" s="1"/>
  <c r="B29" i="54"/>
  <c r="E29" i="54"/>
  <c r="B33" i="53"/>
  <c r="B34" i="53" s="1"/>
  <c r="B33" i="59"/>
  <c r="B34" i="59" s="1"/>
  <c r="E26" i="47"/>
  <c r="B37" i="58"/>
  <c r="B38" i="58" s="1"/>
  <c r="B39" i="60"/>
  <c r="B40" i="60" s="1"/>
  <c r="B41" i="60" s="1"/>
  <c r="B42" i="60" s="1"/>
  <c r="B29" i="60"/>
  <c r="B32" i="47"/>
  <c r="B37" i="60"/>
  <c r="B38" i="60" s="1"/>
  <c r="B22" i="47"/>
  <c r="B23" i="47" s="1"/>
  <c r="B17" i="47"/>
  <c r="B18" i="47" s="1"/>
  <c r="B39" i="47" s="1"/>
  <c r="B40" i="47" s="1"/>
  <c r="B41" i="47" s="1"/>
  <c r="B42" i="47" s="1"/>
  <c r="B29" i="52"/>
  <c r="E29" i="60"/>
  <c r="B29" i="59"/>
  <c r="E22" i="48"/>
  <c r="E23" i="48" s="1"/>
  <c r="E29" i="59"/>
  <c r="I34" i="44"/>
  <c r="B26" i="44" s="1"/>
  <c r="B28" i="44" s="1"/>
  <c r="B29" i="53"/>
  <c r="E28" i="48"/>
  <c r="E29" i="48" s="1"/>
  <c r="B37" i="53"/>
  <c r="B38" i="53" s="1"/>
  <c r="E29" i="53"/>
  <c r="B18" i="52"/>
  <c r="B33" i="52" s="1"/>
  <c r="B34" i="52" s="1"/>
  <c r="E26" i="48"/>
  <c r="B32" i="48"/>
  <c r="B33" i="48" s="1"/>
  <c r="B34" i="48" s="1"/>
  <c r="B39" i="66"/>
  <c r="B40" i="66" s="1"/>
  <c r="B41" i="66" s="1"/>
  <c r="B42" i="66" s="1"/>
  <c r="B37" i="66"/>
  <c r="B38" i="66" s="1"/>
  <c r="B22" i="48"/>
  <c r="B23" i="48" s="1"/>
  <c r="B29" i="48"/>
  <c r="I34" i="46"/>
  <c r="E28" i="46" s="1"/>
  <c r="B16" i="46"/>
  <c r="B32" i="46" s="1"/>
  <c r="B39" i="48"/>
  <c r="B40" i="48" s="1"/>
  <c r="B41" i="48" s="1"/>
  <c r="B42" i="48" s="1"/>
  <c r="B16" i="45"/>
  <c r="B22" i="45" s="1"/>
  <c r="B23" i="45" s="1"/>
  <c r="I34" i="45"/>
  <c r="B26" i="45" s="1"/>
  <c r="B28" i="45" s="1"/>
  <c r="B16" i="44"/>
  <c r="E22" i="44" s="1"/>
  <c r="E23" i="44" s="1"/>
  <c r="B13" i="37"/>
  <c r="I33" i="43"/>
  <c r="I32" i="43"/>
  <c r="I31" i="43"/>
  <c r="I30" i="43"/>
  <c r="I25" i="43"/>
  <c r="E25" i="43"/>
  <c r="E21" i="43"/>
  <c r="B14" i="43" a="1"/>
  <c r="B14" i="43" s="1"/>
  <c r="B15" i="43" s="1"/>
  <c r="B13" i="43"/>
  <c r="I33" i="42"/>
  <c r="I32" i="42"/>
  <c r="I31" i="42"/>
  <c r="I30" i="42"/>
  <c r="I25" i="42"/>
  <c r="E25" i="42"/>
  <c r="E21" i="42"/>
  <c r="B14" i="42" a="1"/>
  <c r="B14" i="42" s="1"/>
  <c r="B15" i="42" s="1"/>
  <c r="B13" i="42"/>
  <c r="I33" i="41"/>
  <c r="I32" i="41"/>
  <c r="I31" i="41"/>
  <c r="I30" i="41"/>
  <c r="I25" i="41"/>
  <c r="E25" i="41"/>
  <c r="E21" i="41"/>
  <c r="B14" i="41" a="1"/>
  <c r="B14" i="41" s="1"/>
  <c r="B15" i="41" s="1"/>
  <c r="B13" i="41"/>
  <c r="B32" i="45" l="1"/>
  <c r="E29" i="47"/>
  <c r="B22" i="46"/>
  <c r="B23" i="46" s="1"/>
  <c r="B33" i="47"/>
  <c r="B34" i="47" s="1"/>
  <c r="B29" i="47"/>
  <c r="B37" i="47"/>
  <c r="B38" i="47" s="1"/>
  <c r="B39" i="52"/>
  <c r="B40" i="52" s="1"/>
  <c r="B41" i="52" s="1"/>
  <c r="B42" i="52" s="1"/>
  <c r="E26" i="44"/>
  <c r="E28" i="44"/>
  <c r="B17" i="46"/>
  <c r="B18" i="46" s="1"/>
  <c r="B33" i="46" s="1"/>
  <c r="B34" i="46" s="1"/>
  <c r="B37" i="48"/>
  <c r="B38" i="48" s="1"/>
  <c r="B26" i="46"/>
  <c r="B28" i="46" s="1"/>
  <c r="B37" i="52"/>
  <c r="B38" i="52" s="1"/>
  <c r="E28" i="45"/>
  <c r="B32" i="44"/>
  <c r="B22" i="44"/>
  <c r="B23" i="44" s="1"/>
  <c r="B17" i="44"/>
  <c r="B29" i="44" s="1"/>
  <c r="E26" i="45"/>
  <c r="E26" i="46"/>
  <c r="I34" i="42"/>
  <c r="B26" i="42" s="1"/>
  <c r="B28" i="42" s="1"/>
  <c r="B17" i="45"/>
  <c r="B18" i="45" s="1"/>
  <c r="B39" i="45" s="1"/>
  <c r="B40" i="45" s="1"/>
  <c r="B41" i="45" s="1"/>
  <c r="B42" i="45" s="1"/>
  <c r="E22" i="45"/>
  <c r="E23" i="45" s="1"/>
  <c r="E22" i="46"/>
  <c r="E23" i="46" s="1"/>
  <c r="I34" i="43"/>
  <c r="B26" i="43" s="1"/>
  <c r="B28" i="43" s="1"/>
  <c r="B16" i="43"/>
  <c r="E22" i="43" s="1"/>
  <c r="E23" i="43" s="1"/>
  <c r="B16" i="42"/>
  <c r="B22" i="42" s="1"/>
  <c r="B23" i="42" s="1"/>
  <c r="I34" i="41"/>
  <c r="B26" i="41" s="1"/>
  <c r="B28" i="41" s="1"/>
  <c r="B16" i="41"/>
  <c r="E22" i="41" s="1"/>
  <c r="E23" i="41" s="1"/>
  <c r="I33" i="40"/>
  <c r="I32" i="40"/>
  <c r="I31" i="40"/>
  <c r="I30" i="40"/>
  <c r="I25" i="40"/>
  <c r="E25" i="40"/>
  <c r="E21" i="40"/>
  <c r="B14" i="40" a="1"/>
  <c r="B14" i="40" s="1"/>
  <c r="B15" i="40" s="1"/>
  <c r="B13" i="40"/>
  <c r="I33" i="39"/>
  <c r="I32" i="39"/>
  <c r="I31" i="39"/>
  <c r="I30" i="39"/>
  <c r="I25" i="39"/>
  <c r="E25" i="39"/>
  <c r="E21" i="39"/>
  <c r="B14" i="39" a="1"/>
  <c r="B14" i="39" s="1"/>
  <c r="B15" i="39" s="1"/>
  <c r="I33" i="38"/>
  <c r="I32" i="38"/>
  <c r="I31" i="38"/>
  <c r="I30" i="38"/>
  <c r="I25" i="38"/>
  <c r="E25" i="38"/>
  <c r="E21" i="38"/>
  <c r="B14" i="38" a="1"/>
  <c r="B14" i="38" s="1"/>
  <c r="B15" i="38" s="1"/>
  <c r="B13" i="38"/>
  <c r="B13" i="34"/>
  <c r="B18" i="44" l="1"/>
  <c r="B39" i="44" s="1"/>
  <c r="B40" i="44" s="1"/>
  <c r="B41" i="44" s="1"/>
  <c r="B42" i="44" s="1"/>
  <c r="E29" i="46"/>
  <c r="E29" i="44"/>
  <c r="E29" i="45"/>
  <c r="B29" i="46"/>
  <c r="B32" i="43"/>
  <c r="B29" i="45"/>
  <c r="B37" i="45"/>
  <c r="B38" i="45" s="1"/>
  <c r="B32" i="41"/>
  <c r="B22" i="41"/>
  <c r="B23" i="41" s="1"/>
  <c r="E26" i="42"/>
  <c r="E28" i="41"/>
  <c r="E28" i="42"/>
  <c r="E26" i="41"/>
  <c r="B33" i="45"/>
  <c r="B34" i="45" s="1"/>
  <c r="B16" i="40"/>
  <c r="B22" i="40" s="1"/>
  <c r="B23" i="40" s="1"/>
  <c r="I34" i="38"/>
  <c r="B26" i="38" s="1"/>
  <c r="B28" i="38" s="1"/>
  <c r="B17" i="41"/>
  <c r="B29" i="41" s="1"/>
  <c r="B17" i="42"/>
  <c r="B18" i="42" s="1"/>
  <c r="B39" i="42" s="1"/>
  <c r="B40" i="42" s="1"/>
  <c r="B41" i="42" s="1"/>
  <c r="B42" i="42" s="1"/>
  <c r="E22" i="42"/>
  <c r="E23" i="42" s="1"/>
  <c r="B22" i="43"/>
  <c r="B23" i="43" s="1"/>
  <c r="B17" i="43"/>
  <c r="B29" i="43" s="1"/>
  <c r="E26" i="43"/>
  <c r="E28" i="43"/>
  <c r="B37" i="46"/>
  <c r="B38" i="46" s="1"/>
  <c r="B39" i="46"/>
  <c r="B40" i="46" s="1"/>
  <c r="B41" i="46" s="1"/>
  <c r="B42" i="46" s="1"/>
  <c r="B32" i="42"/>
  <c r="B16" i="39"/>
  <c r="B32" i="39" s="1"/>
  <c r="I34" i="39"/>
  <c r="E28" i="39" s="1"/>
  <c r="B16" i="38"/>
  <c r="B17" i="38" s="1"/>
  <c r="B18" i="38" s="1"/>
  <c r="I34" i="40"/>
  <c r="E28" i="40" s="1"/>
  <c r="I33" i="37"/>
  <c r="I32" i="37"/>
  <c r="I31" i="37"/>
  <c r="I30" i="37"/>
  <c r="I25" i="37"/>
  <c r="E25" i="37"/>
  <c r="E21" i="37"/>
  <c r="B14" i="37" a="1"/>
  <c r="B14" i="37" s="1"/>
  <c r="B15" i="37" s="1"/>
  <c r="I33" i="36"/>
  <c r="I32" i="36"/>
  <c r="I31" i="36"/>
  <c r="I30" i="36"/>
  <c r="I25" i="36"/>
  <c r="E25" i="36"/>
  <c r="E21" i="36"/>
  <c r="B14" i="36" a="1"/>
  <c r="B14" i="36" s="1"/>
  <c r="B15" i="36" s="1"/>
  <c r="B13" i="36"/>
  <c r="I33" i="35"/>
  <c r="I32" i="35"/>
  <c r="I31" i="35"/>
  <c r="I30" i="35"/>
  <c r="I25" i="35"/>
  <c r="E25" i="35"/>
  <c r="E21" i="35"/>
  <c r="B14" i="35" a="1"/>
  <c r="B14" i="35" s="1"/>
  <c r="B15" i="35" s="1"/>
  <c r="B13" i="35"/>
  <c r="B13" i="33"/>
  <c r="E21" i="32"/>
  <c r="B13" i="32"/>
  <c r="E21" i="31"/>
  <c r="B13" i="31"/>
  <c r="B33" i="44" l="1"/>
  <c r="B34" i="44" s="1"/>
  <c r="B37" i="44"/>
  <c r="B38" i="44" s="1"/>
  <c r="B37" i="42"/>
  <c r="B38" i="42" s="1"/>
  <c r="B33" i="42"/>
  <c r="B34" i="42" s="1"/>
  <c r="B29" i="42"/>
  <c r="B32" i="38"/>
  <c r="B37" i="38" s="1"/>
  <c r="B38" i="38" s="1"/>
  <c r="E22" i="38"/>
  <c r="E23" i="38" s="1"/>
  <c r="B17" i="40"/>
  <c r="E29" i="40" s="1"/>
  <c r="B22" i="39"/>
  <c r="B23" i="39" s="1"/>
  <c r="E22" i="40"/>
  <c r="E23" i="40" s="1"/>
  <c r="B32" i="40"/>
  <c r="E29" i="42"/>
  <c r="B26" i="39"/>
  <c r="B28" i="39" s="1"/>
  <c r="E22" i="39"/>
  <c r="E23" i="39" s="1"/>
  <c r="B17" i="39"/>
  <c r="B18" i="39" s="1"/>
  <c r="B37" i="39" s="1"/>
  <c r="B38" i="39" s="1"/>
  <c r="B18" i="41"/>
  <c r="B33" i="41" s="1"/>
  <c r="B34" i="41" s="1"/>
  <c r="E28" i="38"/>
  <c r="E29" i="38" s="1"/>
  <c r="E29" i="41"/>
  <c r="B22" i="38"/>
  <c r="B23" i="38" s="1"/>
  <c r="E26" i="38"/>
  <c r="E26" i="40"/>
  <c r="B26" i="40"/>
  <c r="B28" i="40" s="1"/>
  <c r="B18" i="43"/>
  <c r="E29" i="43"/>
  <c r="E26" i="39"/>
  <c r="B29" i="38"/>
  <c r="B16" i="37"/>
  <c r="B17" i="37" s="1"/>
  <c r="B18" i="37" s="1"/>
  <c r="I34" i="37"/>
  <c r="B26" i="37" s="1"/>
  <c r="B28" i="37" s="1"/>
  <c r="B39" i="38"/>
  <c r="B40" i="38" s="1"/>
  <c r="B41" i="38" s="1"/>
  <c r="B42" i="38" s="1"/>
  <c r="B16" i="36"/>
  <c r="B32" i="36" s="1"/>
  <c r="I34" i="36"/>
  <c r="B26" i="36" s="1"/>
  <c r="B28" i="36" s="1"/>
  <c r="B16" i="35"/>
  <c r="B22" i="35" s="1"/>
  <c r="B23" i="35" s="1"/>
  <c r="I34" i="35"/>
  <c r="B26" i="35" s="1"/>
  <c r="B28" i="35" s="1"/>
  <c r="I33" i="34"/>
  <c r="I32" i="34"/>
  <c r="I31" i="34"/>
  <c r="I30" i="34"/>
  <c r="I25" i="34"/>
  <c r="E25" i="34"/>
  <c r="E21" i="34"/>
  <c r="B14" i="34" a="1"/>
  <c r="B14" i="34" s="1"/>
  <c r="B15" i="34" s="1"/>
  <c r="I33" i="33"/>
  <c r="I32" i="33"/>
  <c r="I31" i="33"/>
  <c r="I30" i="33"/>
  <c r="I25" i="33"/>
  <c r="E25" i="33"/>
  <c r="E21" i="33"/>
  <c r="B14" i="33" a="1"/>
  <c r="B14" i="33" s="1"/>
  <c r="B15" i="33" s="1"/>
  <c r="B13" i="30"/>
  <c r="B13" i="28"/>
  <c r="B13" i="29"/>
  <c r="B18" i="40" l="1"/>
  <c r="B33" i="40" s="1"/>
  <c r="B34" i="40" s="1"/>
  <c r="B33" i="38"/>
  <c r="B34" i="38" s="1"/>
  <c r="B29" i="40"/>
  <c r="E26" i="37"/>
  <c r="B33" i="39"/>
  <c r="B34" i="39" s="1"/>
  <c r="B32" i="35"/>
  <c r="E22" i="37"/>
  <c r="E23" i="37" s="1"/>
  <c r="B37" i="41"/>
  <c r="B38" i="41" s="1"/>
  <c r="B39" i="41"/>
  <c r="B40" i="41" s="1"/>
  <c r="B41" i="41" s="1"/>
  <c r="B42" i="41" s="1"/>
  <c r="E29" i="39"/>
  <c r="B39" i="39"/>
  <c r="B40" i="39" s="1"/>
  <c r="B41" i="39" s="1"/>
  <c r="B42" i="39" s="1"/>
  <c r="B22" i="36"/>
  <c r="B23" i="36" s="1"/>
  <c r="B29" i="39"/>
  <c r="B17" i="35"/>
  <c r="B18" i="35" s="1"/>
  <c r="B33" i="35" s="1"/>
  <c r="B34" i="35" s="1"/>
  <c r="E28" i="35"/>
  <c r="B17" i="36"/>
  <c r="B18" i="36" s="1"/>
  <c r="B39" i="36" s="1"/>
  <c r="B40" i="36" s="1"/>
  <c r="B41" i="36" s="1"/>
  <c r="B42" i="36" s="1"/>
  <c r="E26" i="35"/>
  <c r="B32" i="37"/>
  <c r="B37" i="37" s="1"/>
  <c r="B38" i="37" s="1"/>
  <c r="E22" i="35"/>
  <c r="E23" i="35" s="1"/>
  <c r="E26" i="36"/>
  <c r="B22" i="37"/>
  <c r="B23" i="37" s="1"/>
  <c r="E28" i="36"/>
  <c r="B33" i="43"/>
  <c r="B34" i="43" s="1"/>
  <c r="B37" i="43"/>
  <c r="B38" i="43" s="1"/>
  <c r="B39" i="43"/>
  <c r="B40" i="43" s="1"/>
  <c r="B41" i="43" s="1"/>
  <c r="B42" i="43" s="1"/>
  <c r="E28" i="37"/>
  <c r="E29" i="37" s="1"/>
  <c r="B29" i="37"/>
  <c r="B39" i="40"/>
  <c r="B40" i="40" s="1"/>
  <c r="B41" i="40" s="1"/>
  <c r="B42" i="40" s="1"/>
  <c r="E22" i="36"/>
  <c r="E23" i="36" s="1"/>
  <c r="I34" i="34"/>
  <c r="B26" i="34" s="1"/>
  <c r="B28" i="34" s="1"/>
  <c r="B16" i="34"/>
  <c r="E22" i="34" s="1"/>
  <c r="E23" i="34" s="1"/>
  <c r="B39" i="37"/>
  <c r="B40" i="37" s="1"/>
  <c r="B41" i="37" s="1"/>
  <c r="B42" i="37" s="1"/>
  <c r="B37" i="35"/>
  <c r="B38" i="35" s="1"/>
  <c r="B16" i="33"/>
  <c r="B22" i="33" s="1"/>
  <c r="B23" i="33" s="1"/>
  <c r="I34" i="33"/>
  <c r="B26" i="33" s="1"/>
  <c r="B28" i="33" s="1"/>
  <c r="I33" i="32"/>
  <c r="I32" i="32"/>
  <c r="I31" i="32"/>
  <c r="I30" i="32"/>
  <c r="I25" i="32"/>
  <c r="E25" i="32"/>
  <c r="B14" i="32" a="1"/>
  <c r="B14" i="32" s="1"/>
  <c r="B15" i="32" s="1"/>
  <c r="I33" i="31"/>
  <c r="I32" i="31"/>
  <c r="I31" i="31"/>
  <c r="I30" i="31"/>
  <c r="I25" i="31"/>
  <c r="E25" i="31"/>
  <c r="B14" i="31" a="1"/>
  <c r="B14" i="31" s="1"/>
  <c r="B15" i="31" s="1"/>
  <c r="I33" i="30"/>
  <c r="I32" i="30"/>
  <c r="I31" i="30"/>
  <c r="I30" i="30"/>
  <c r="I25" i="30"/>
  <c r="E25" i="30"/>
  <c r="E21" i="30"/>
  <c r="B14" i="30" a="1"/>
  <c r="B14" i="30" s="1"/>
  <c r="B15" i="30" s="1"/>
  <c r="I33" i="29"/>
  <c r="I32" i="29"/>
  <c r="I31" i="29"/>
  <c r="I30" i="29"/>
  <c r="I25" i="29"/>
  <c r="E25" i="29"/>
  <c r="E21" i="29"/>
  <c r="B14" i="29" a="1"/>
  <c r="B14" i="29" s="1"/>
  <c r="B15" i="29" s="1"/>
  <c r="B16" i="29" s="1"/>
  <c r="B17" i="29" s="1"/>
  <c r="B13" i="27"/>
  <c r="B13" i="26"/>
  <c r="B13" i="25"/>
  <c r="B37" i="40" l="1"/>
  <c r="B38" i="40" s="1"/>
  <c r="B29" i="36"/>
  <c r="E26" i="34"/>
  <c r="E28" i="34"/>
  <c r="B37" i="36"/>
  <c r="B38" i="36" s="1"/>
  <c r="B39" i="35"/>
  <c r="B40" i="35" s="1"/>
  <c r="B41" i="35" s="1"/>
  <c r="B42" i="35" s="1"/>
  <c r="B33" i="37"/>
  <c r="B34" i="37" s="1"/>
  <c r="E29" i="35"/>
  <c r="B29" i="35"/>
  <c r="B33" i="36"/>
  <c r="B34" i="36" s="1"/>
  <c r="E29" i="36"/>
  <c r="B32" i="33"/>
  <c r="B17" i="33"/>
  <c r="B18" i="33" s="1"/>
  <c r="I34" i="32"/>
  <c r="E26" i="32" s="1"/>
  <c r="B17" i="34"/>
  <c r="B18" i="34" s="1"/>
  <c r="B32" i="34"/>
  <c r="B22" i="34"/>
  <c r="B23" i="34" s="1"/>
  <c r="E22" i="33"/>
  <c r="E23" i="33" s="1"/>
  <c r="E26" i="33"/>
  <c r="E28" i="33"/>
  <c r="B16" i="32"/>
  <c r="B22" i="32" s="1"/>
  <c r="B23" i="32" s="1"/>
  <c r="B16" i="31"/>
  <c r="B17" i="31" s="1"/>
  <c r="B18" i="31" s="1"/>
  <c r="I34" i="31"/>
  <c r="E28" i="31" s="1"/>
  <c r="I34" i="30"/>
  <c r="B26" i="30" s="1"/>
  <c r="B28" i="30" s="1"/>
  <c r="B16" i="30"/>
  <c r="E22" i="30" s="1"/>
  <c r="E23" i="30" s="1"/>
  <c r="I34" i="29"/>
  <c r="E28" i="29" s="1"/>
  <c r="E22" i="29"/>
  <c r="E23" i="29" s="1"/>
  <c r="B22" i="29"/>
  <c r="B23" i="29" s="1"/>
  <c r="B32" i="29"/>
  <c r="B26" i="29"/>
  <c r="B28" i="29" s="1"/>
  <c r="I33" i="28"/>
  <c r="I32" i="28"/>
  <c r="I31" i="28"/>
  <c r="I30" i="28"/>
  <c r="I25" i="28"/>
  <c r="E25" i="28"/>
  <c r="E21" i="28"/>
  <c r="B14" i="28" a="1"/>
  <c r="B14" i="28" s="1"/>
  <c r="B15" i="28" s="1"/>
  <c r="I33" i="27"/>
  <c r="I32" i="27"/>
  <c r="I31" i="27"/>
  <c r="I30" i="27"/>
  <c r="I25" i="27"/>
  <c r="E25" i="27"/>
  <c r="E21" i="27"/>
  <c r="B14" i="27" a="1"/>
  <c r="B14" i="27" s="1"/>
  <c r="B15" i="27" s="1"/>
  <c r="I33" i="26"/>
  <c r="I32" i="26"/>
  <c r="I31" i="26"/>
  <c r="I30" i="26"/>
  <c r="I25" i="26"/>
  <c r="E25" i="26"/>
  <c r="E21" i="26"/>
  <c r="B14" i="26" a="1"/>
  <c r="B14" i="26" s="1"/>
  <c r="B15" i="26" s="1"/>
  <c r="B33" i="33" l="1"/>
  <c r="B34" i="33" s="1"/>
  <c r="E28" i="32"/>
  <c r="E26" i="29"/>
  <c r="B17" i="32"/>
  <c r="B18" i="32" s="1"/>
  <c r="E26" i="30"/>
  <c r="B26" i="32"/>
  <c r="B28" i="32" s="1"/>
  <c r="B29" i="33"/>
  <c r="B32" i="31"/>
  <c r="B37" i="31" s="1"/>
  <c r="B38" i="31" s="1"/>
  <c r="E22" i="31"/>
  <c r="E23" i="31" s="1"/>
  <c r="B37" i="34"/>
  <c r="B38" i="34" s="1"/>
  <c r="I34" i="27"/>
  <c r="E28" i="27" s="1"/>
  <c r="E28" i="30"/>
  <c r="E29" i="33"/>
  <c r="E29" i="34"/>
  <c r="I34" i="26"/>
  <c r="E26" i="26" s="1"/>
  <c r="B33" i="34"/>
  <c r="B34" i="34" s="1"/>
  <c r="B29" i="34"/>
  <c r="B26" i="31"/>
  <c r="B28" i="31" s="1"/>
  <c r="B29" i="31" s="1"/>
  <c r="B39" i="34"/>
  <c r="B40" i="34" s="1"/>
  <c r="B41" i="34" s="1"/>
  <c r="B42" i="34" s="1"/>
  <c r="E22" i="32"/>
  <c r="E23" i="32" s="1"/>
  <c r="B32" i="32"/>
  <c r="B22" i="31"/>
  <c r="B23" i="31" s="1"/>
  <c r="E29" i="31"/>
  <c r="E26" i="31"/>
  <c r="B37" i="33"/>
  <c r="B38" i="33" s="1"/>
  <c r="B39" i="33"/>
  <c r="B40" i="33" s="1"/>
  <c r="B41" i="33" s="1"/>
  <c r="B42" i="33" s="1"/>
  <c r="B22" i="30"/>
  <c r="B23" i="30" s="1"/>
  <c r="B32" i="30"/>
  <c r="B17" i="30"/>
  <c r="B18" i="30" s="1"/>
  <c r="B39" i="30" s="1"/>
  <c r="B40" i="30" s="1"/>
  <c r="B41" i="30" s="1"/>
  <c r="B42" i="30" s="1"/>
  <c r="I34" i="28"/>
  <c r="B26" i="28" s="1"/>
  <c r="B28" i="28" s="1"/>
  <c r="B16" i="28"/>
  <c r="E22" i="28" s="1"/>
  <c r="E23" i="28" s="1"/>
  <c r="E29" i="29"/>
  <c r="B39" i="31"/>
  <c r="B40" i="31" s="1"/>
  <c r="B41" i="31" s="1"/>
  <c r="B42" i="31" s="1"/>
  <c r="B18" i="29"/>
  <c r="B29" i="29"/>
  <c r="B16" i="27"/>
  <c r="E22" i="27" s="1"/>
  <c r="E23" i="27" s="1"/>
  <c r="B16" i="26"/>
  <c r="B17" i="26" s="1"/>
  <c r="B18" i="26" s="1"/>
  <c r="I33" i="25"/>
  <c r="I32" i="25"/>
  <c r="I31" i="25"/>
  <c r="I30" i="25"/>
  <c r="I25" i="25"/>
  <c r="E25" i="25"/>
  <c r="E21" i="25"/>
  <c r="B14" i="25" a="1"/>
  <c r="B14" i="25" s="1"/>
  <c r="B15" i="25" s="1"/>
  <c r="I33" i="24"/>
  <c r="I32" i="24"/>
  <c r="I31" i="24"/>
  <c r="I30" i="24"/>
  <c r="I25" i="24"/>
  <c r="E25" i="24"/>
  <c r="E21" i="24"/>
  <c r="B14" i="24" a="1"/>
  <c r="B14" i="24" s="1"/>
  <c r="B15" i="24" s="1"/>
  <c r="I33" i="23"/>
  <c r="I32" i="23"/>
  <c r="I31" i="23"/>
  <c r="I30" i="23"/>
  <c r="I25" i="23"/>
  <c r="E25" i="23"/>
  <c r="E21" i="23"/>
  <c r="B14" i="23" a="1"/>
  <c r="B14" i="23" s="1"/>
  <c r="B15" i="23" s="1"/>
  <c r="E21" i="21"/>
  <c r="E21" i="20"/>
  <c r="E21" i="19"/>
  <c r="B33" i="31" l="1"/>
  <c r="B34" i="31" s="1"/>
  <c r="E28" i="26"/>
  <c r="E29" i="26" s="1"/>
  <c r="E29" i="32"/>
  <c r="B29" i="32"/>
  <c r="E22" i="26"/>
  <c r="E23" i="26" s="1"/>
  <c r="B22" i="28"/>
  <c r="B23" i="28" s="1"/>
  <c r="B22" i="27"/>
  <c r="B23" i="27" s="1"/>
  <c r="B26" i="26"/>
  <c r="B28" i="26" s="1"/>
  <c r="B29" i="26" s="1"/>
  <c r="E28" i="28"/>
  <c r="B33" i="30"/>
  <c r="B34" i="30" s="1"/>
  <c r="I34" i="23"/>
  <c r="E28" i="23" s="1"/>
  <c r="B26" i="27"/>
  <c r="B28" i="27" s="1"/>
  <c r="E26" i="28"/>
  <c r="E26" i="27"/>
  <c r="B32" i="26"/>
  <c r="B33" i="26" s="1"/>
  <c r="B34" i="26" s="1"/>
  <c r="B32" i="28"/>
  <c r="B17" i="28"/>
  <c r="B18" i="28" s="1"/>
  <c r="B39" i="28" s="1"/>
  <c r="B40" i="28" s="1"/>
  <c r="B41" i="28" s="1"/>
  <c r="B42" i="28" s="1"/>
  <c r="I34" i="25"/>
  <c r="B26" i="25" s="1"/>
  <c r="B28" i="25" s="1"/>
  <c r="B32" i="27"/>
  <c r="B33" i="32"/>
  <c r="B34" i="32" s="1"/>
  <c r="B37" i="30"/>
  <c r="B38" i="30" s="1"/>
  <c r="B29" i="30"/>
  <c r="E29" i="30"/>
  <c r="B37" i="32"/>
  <c r="B38" i="32" s="1"/>
  <c r="B39" i="32"/>
  <c r="B40" i="32" s="1"/>
  <c r="B41" i="32" s="1"/>
  <c r="B42" i="32" s="1"/>
  <c r="B37" i="29"/>
  <c r="B38" i="29" s="1"/>
  <c r="B39" i="29"/>
  <c r="B40" i="29" s="1"/>
  <c r="B41" i="29" s="1"/>
  <c r="B42" i="29" s="1"/>
  <c r="B33" i="29"/>
  <c r="B34" i="29" s="1"/>
  <c r="B17" i="27"/>
  <c r="B18" i="27" s="1"/>
  <c r="B22" i="26"/>
  <c r="B23" i="26" s="1"/>
  <c r="B16" i="25"/>
  <c r="B17" i="25" s="1"/>
  <c r="B39" i="26"/>
  <c r="B40" i="26" s="1"/>
  <c r="B41" i="26" s="1"/>
  <c r="B42" i="26" s="1"/>
  <c r="B16" i="24"/>
  <c r="E22" i="24" s="1"/>
  <c r="E23" i="24" s="1"/>
  <c r="I34" i="24"/>
  <c r="B26" i="24" s="1"/>
  <c r="B28" i="24" s="1"/>
  <c r="B16" i="23"/>
  <c r="B17" i="23" s="1"/>
  <c r="E22" i="25" l="1"/>
  <c r="E23" i="25" s="1"/>
  <c r="B37" i="28"/>
  <c r="B38" i="28" s="1"/>
  <c r="B29" i="28"/>
  <c r="B33" i="28"/>
  <c r="B34" i="28" s="1"/>
  <c r="E26" i="25"/>
  <c r="B33" i="27"/>
  <c r="B34" i="27" s="1"/>
  <c r="E29" i="28"/>
  <c r="E22" i="23"/>
  <c r="E23" i="23" s="1"/>
  <c r="B22" i="24"/>
  <c r="B23" i="24" s="1"/>
  <c r="E26" i="23"/>
  <c r="B17" i="24"/>
  <c r="B18" i="24" s="1"/>
  <c r="B39" i="24" s="1"/>
  <c r="B40" i="24" s="1"/>
  <c r="B41" i="24" s="1"/>
  <c r="B42" i="24" s="1"/>
  <c r="B29" i="25"/>
  <c r="B37" i="26"/>
  <c r="B38" i="26" s="1"/>
  <c r="B26" i="23"/>
  <c r="B28" i="23" s="1"/>
  <c r="B29" i="23" s="1"/>
  <c r="E28" i="25"/>
  <c r="E29" i="25" s="1"/>
  <c r="B32" i="24"/>
  <c r="E26" i="24"/>
  <c r="B39" i="27"/>
  <c r="B40" i="27" s="1"/>
  <c r="B41" i="27" s="1"/>
  <c r="B42" i="27" s="1"/>
  <c r="B37" i="27"/>
  <c r="B38" i="27" s="1"/>
  <c r="B29" i="27"/>
  <c r="E29" i="27"/>
  <c r="B32" i="25"/>
  <c r="B22" i="25"/>
  <c r="B23" i="25" s="1"/>
  <c r="B18" i="25"/>
  <c r="E28" i="24"/>
  <c r="E29" i="23"/>
  <c r="B32" i="23"/>
  <c r="B22" i="23"/>
  <c r="B23" i="23" s="1"/>
  <c r="B18" i="23"/>
  <c r="B37" i="24" l="1"/>
  <c r="B38" i="24" s="1"/>
  <c r="E29" i="24"/>
  <c r="B33" i="24"/>
  <c r="B34" i="24" s="1"/>
  <c r="B29" i="24"/>
  <c r="B37" i="25"/>
  <c r="B38" i="25" s="1"/>
  <c r="B33" i="25"/>
  <c r="B34" i="25" s="1"/>
  <c r="B39" i="25"/>
  <c r="B40" i="25" s="1"/>
  <c r="B41" i="25" s="1"/>
  <c r="B42" i="25" s="1"/>
  <c r="B37" i="23"/>
  <c r="B38" i="23" s="1"/>
  <c r="B39" i="23"/>
  <c r="B40" i="23" s="1"/>
  <c r="B41" i="23" s="1"/>
  <c r="B42" i="23" s="1"/>
  <c r="B33" i="23"/>
  <c r="B34" i="23" s="1"/>
  <c r="I33" i="22" l="1"/>
  <c r="I32" i="22"/>
  <c r="I31" i="22"/>
  <c r="I30" i="22"/>
  <c r="I25" i="22"/>
  <c r="E25" i="22"/>
  <c r="E21" i="22"/>
  <c r="B14" i="22" a="1"/>
  <c r="B14" i="22" s="1"/>
  <c r="B15" i="22" s="1"/>
  <c r="I33" i="21"/>
  <c r="I32" i="21"/>
  <c r="I31" i="21"/>
  <c r="I30" i="21"/>
  <c r="I25" i="21"/>
  <c r="E25" i="21"/>
  <c r="B14" i="21" a="1"/>
  <c r="B14" i="21" s="1"/>
  <c r="B15" i="21" s="1"/>
  <c r="I33" i="20"/>
  <c r="I32" i="20"/>
  <c r="I31" i="20"/>
  <c r="I30" i="20"/>
  <c r="I25" i="20"/>
  <c r="E25" i="20"/>
  <c r="B14" i="20" a="1"/>
  <c r="B14" i="20" s="1"/>
  <c r="B15" i="20" s="1"/>
  <c r="B21" i="13"/>
  <c r="I34" i="22" l="1"/>
  <c r="B26" i="22" s="1"/>
  <c r="B28" i="22" s="1"/>
  <c r="I34" i="21"/>
  <c r="B26" i="21" s="1"/>
  <c r="B28" i="21" s="1"/>
  <c r="B16" i="22"/>
  <c r="B17" i="22" s="1"/>
  <c r="B18" i="22" s="1"/>
  <c r="B16" i="21"/>
  <c r="B22" i="21" s="1"/>
  <c r="B23" i="21" s="1"/>
  <c r="I34" i="20"/>
  <c r="B26" i="20" s="1"/>
  <c r="B28" i="20" s="1"/>
  <c r="B16" i="20"/>
  <c r="E22" i="20" s="1"/>
  <c r="E23" i="20" s="1"/>
  <c r="B32" i="22" l="1"/>
  <c r="B33" i="22" s="1"/>
  <c r="B34" i="22" s="1"/>
  <c r="E26" i="21"/>
  <c r="E26" i="22"/>
  <c r="E28" i="22"/>
  <c r="E29" i="22" s="1"/>
  <c r="B17" i="20"/>
  <c r="B18" i="20" s="1"/>
  <c r="B39" i="20" s="1"/>
  <c r="B40" i="20" s="1"/>
  <c r="B41" i="20" s="1"/>
  <c r="B42" i="20" s="1"/>
  <c r="B32" i="21"/>
  <c r="E28" i="21"/>
  <c r="B17" i="21"/>
  <c r="B18" i="21" s="1"/>
  <c r="B39" i="21" s="1"/>
  <c r="B40" i="21" s="1"/>
  <c r="B41" i="21" s="1"/>
  <c r="B42" i="21" s="1"/>
  <c r="E22" i="21"/>
  <c r="E23" i="21" s="1"/>
  <c r="E28" i="20"/>
  <c r="E26" i="20"/>
  <c r="E22" i="22"/>
  <c r="E23" i="22" s="1"/>
  <c r="B22" i="22"/>
  <c r="B23" i="22" s="1"/>
  <c r="B29" i="22"/>
  <c r="B32" i="20"/>
  <c r="B22" i="20"/>
  <c r="B23" i="20" s="1"/>
  <c r="B29" i="20"/>
  <c r="B39" i="22"/>
  <c r="B40" i="22" s="1"/>
  <c r="B41" i="22" s="1"/>
  <c r="B42" i="22" s="1"/>
  <c r="I33" i="19"/>
  <c r="I32" i="19"/>
  <c r="I31" i="19"/>
  <c r="I30" i="19"/>
  <c r="I25" i="19"/>
  <c r="E25" i="19"/>
  <c r="B14" i="19" a="1"/>
  <c r="B14" i="19" s="1"/>
  <c r="B15" i="19" s="1"/>
  <c r="B13" i="19"/>
  <c r="I33" i="18"/>
  <c r="I32" i="18"/>
  <c r="I31" i="18"/>
  <c r="I30" i="18"/>
  <c r="I25" i="18"/>
  <c r="E25" i="18"/>
  <c r="E21" i="18"/>
  <c r="B14" i="18" a="1"/>
  <c r="B14" i="18" s="1"/>
  <c r="B15" i="18" s="1"/>
  <c r="I33" i="17"/>
  <c r="I32" i="17"/>
  <c r="I31" i="17"/>
  <c r="I30" i="17"/>
  <c r="I25" i="17"/>
  <c r="E25" i="17"/>
  <c r="E21" i="17"/>
  <c r="B14" i="17" a="1"/>
  <c r="B14" i="17" s="1"/>
  <c r="B15" i="17" s="1"/>
  <c r="I33" i="16"/>
  <c r="I32" i="16"/>
  <c r="I31" i="16"/>
  <c r="I30" i="16"/>
  <c r="I25" i="16"/>
  <c r="E25" i="16"/>
  <c r="E21" i="16"/>
  <c r="B14" i="16" a="1"/>
  <c r="B14" i="16" s="1"/>
  <c r="B15" i="16" s="1"/>
  <c r="E21" i="13"/>
  <c r="B37" i="22" l="1"/>
  <c r="B38" i="22" s="1"/>
  <c r="B33" i="21"/>
  <c r="B34" i="21" s="1"/>
  <c r="B37" i="20"/>
  <c r="B38" i="20" s="1"/>
  <c r="E29" i="20"/>
  <c r="B37" i="21"/>
  <c r="B38" i="21" s="1"/>
  <c r="B29" i="21"/>
  <c r="B33" i="20"/>
  <c r="B34" i="20" s="1"/>
  <c r="E29" i="21"/>
  <c r="I34" i="19"/>
  <c r="E28" i="19" s="1"/>
  <c r="B16" i="19"/>
  <c r="B22" i="19" s="1"/>
  <c r="B23" i="19" s="1"/>
  <c r="B16" i="18"/>
  <c r="B22" i="18" s="1"/>
  <c r="B23" i="18" s="1"/>
  <c r="I34" i="18"/>
  <c r="B26" i="18" s="1"/>
  <c r="B28" i="18" s="1"/>
  <c r="I34" i="17"/>
  <c r="B26" i="17" s="1"/>
  <c r="B28" i="17" s="1"/>
  <c r="B16" i="17"/>
  <c r="E22" i="17" s="1"/>
  <c r="E23" i="17" s="1"/>
  <c r="I34" i="16"/>
  <c r="B26" i="16" s="1"/>
  <c r="B28" i="16" s="1"/>
  <c r="B16" i="16"/>
  <c r="B32" i="16" s="1"/>
  <c r="E26" i="19"/>
  <c r="B22" i="16" l="1"/>
  <c r="B23" i="16" s="1"/>
  <c r="B17" i="16"/>
  <c r="B18" i="16" s="1"/>
  <c r="B39" i="16" s="1"/>
  <c r="B40" i="16" s="1"/>
  <c r="B41" i="16" s="1"/>
  <c r="B42" i="16" s="1"/>
  <c r="E22" i="16"/>
  <c r="E23" i="16" s="1"/>
  <c r="B17" i="18"/>
  <c r="B18" i="18" s="1"/>
  <c r="E26" i="16"/>
  <c r="E22" i="18"/>
  <c r="E23" i="18" s="1"/>
  <c r="E28" i="17"/>
  <c r="B17" i="19"/>
  <c r="B18" i="19" s="1"/>
  <c r="B39" i="19" s="1"/>
  <c r="B40" i="19" s="1"/>
  <c r="B41" i="19" s="1"/>
  <c r="B42" i="19" s="1"/>
  <c r="E22" i="19"/>
  <c r="E23" i="19" s="1"/>
  <c r="B22" i="17"/>
  <c r="B23" i="17" s="1"/>
  <c r="B26" i="19"/>
  <c r="B28" i="19" s="1"/>
  <c r="E26" i="18"/>
  <c r="B32" i="18"/>
  <c r="E28" i="16"/>
  <c r="B32" i="17"/>
  <c r="E28" i="18"/>
  <c r="B32" i="19"/>
  <c r="E26" i="17"/>
  <c r="B17" i="17"/>
  <c r="B29" i="17" s="1"/>
  <c r="B29" i="18" l="1"/>
  <c r="B37" i="16"/>
  <c r="B38" i="16" s="1"/>
  <c r="E29" i="16"/>
  <c r="E29" i="18"/>
  <c r="B33" i="16"/>
  <c r="B34" i="16" s="1"/>
  <c r="B29" i="16"/>
  <c r="B33" i="18"/>
  <c r="B34" i="18" s="1"/>
  <c r="E29" i="19"/>
  <c r="B29" i="19"/>
  <c r="B33" i="19"/>
  <c r="B34" i="19" s="1"/>
  <c r="B37" i="19"/>
  <c r="B38" i="19" s="1"/>
  <c r="E29" i="17"/>
  <c r="B18" i="17"/>
  <c r="B33" i="17" s="1"/>
  <c r="B34" i="17" s="1"/>
  <c r="B37" i="18"/>
  <c r="B38" i="18" s="1"/>
  <c r="B39" i="18"/>
  <c r="B40" i="18" s="1"/>
  <c r="B41" i="18" s="1"/>
  <c r="B42" i="18" s="1"/>
  <c r="B39" i="17" l="1"/>
  <c r="B40" i="17" s="1"/>
  <c r="B41" i="17" s="1"/>
  <c r="B42" i="17" s="1"/>
  <c r="B37" i="17"/>
  <c r="B38" i="17" s="1"/>
  <c r="I33" i="15" l="1"/>
  <c r="I32" i="15"/>
  <c r="I31" i="15"/>
  <c r="I30" i="15"/>
  <c r="I25" i="15"/>
  <c r="E25" i="15"/>
  <c r="E21" i="15"/>
  <c r="B14" i="15" a="1"/>
  <c r="B14" i="15" s="1"/>
  <c r="B15" i="15" s="1"/>
  <c r="B13" i="15"/>
  <c r="I33" i="14"/>
  <c r="I32" i="14"/>
  <c r="I31" i="14"/>
  <c r="I30" i="14"/>
  <c r="I25" i="14"/>
  <c r="E25" i="14"/>
  <c r="E21" i="14"/>
  <c r="B14" i="14" a="1"/>
  <c r="B14" i="14" s="1"/>
  <c r="B15" i="14" s="1"/>
  <c r="E21" i="12"/>
  <c r="E21" i="11"/>
  <c r="E21" i="10"/>
  <c r="I34" i="15" l="1"/>
  <c r="B26" i="15" s="1"/>
  <c r="B28" i="15" s="1"/>
  <c r="B16" i="15"/>
  <c r="B32" i="15" s="1"/>
  <c r="B16" i="14"/>
  <c r="B17" i="14" s="1"/>
  <c r="I34" i="14"/>
  <c r="E26" i="14" s="1"/>
  <c r="E28" i="15"/>
  <c r="B32" i="14" l="1"/>
  <c r="B22" i="15"/>
  <c r="B23" i="15" s="1"/>
  <c r="E26" i="15"/>
  <c r="B17" i="15"/>
  <c r="B18" i="15" s="1"/>
  <c r="B37" i="15" s="1"/>
  <c r="B38" i="15" s="1"/>
  <c r="E22" i="14"/>
  <c r="E23" i="14" s="1"/>
  <c r="E22" i="15"/>
  <c r="E23" i="15" s="1"/>
  <c r="E28" i="14"/>
  <c r="E29" i="14" s="1"/>
  <c r="B22" i="14"/>
  <c r="B23" i="14" s="1"/>
  <c r="B18" i="14"/>
  <c r="B37" i="14" s="1"/>
  <c r="B38" i="14" s="1"/>
  <c r="B26" i="14"/>
  <c r="B28" i="14" s="1"/>
  <c r="B29" i="14" s="1"/>
  <c r="E21" i="9"/>
  <c r="I33" i="13"/>
  <c r="I32" i="13"/>
  <c r="I31" i="13"/>
  <c r="I30" i="13"/>
  <c r="I25" i="13"/>
  <c r="E25" i="13"/>
  <c r="B14" i="13" a="1"/>
  <c r="B14" i="13" s="1"/>
  <c r="B15" i="13" s="1"/>
  <c r="I33" i="12"/>
  <c r="I32" i="12"/>
  <c r="I31" i="12"/>
  <c r="I30" i="12"/>
  <c r="I25" i="12"/>
  <c r="E25" i="12"/>
  <c r="B14" i="12" a="1"/>
  <c r="B14" i="12" s="1"/>
  <c r="B15" i="12" s="1"/>
  <c r="I33" i="11"/>
  <c r="I32" i="11"/>
  <c r="I31" i="11"/>
  <c r="I30" i="11"/>
  <c r="I25" i="11"/>
  <c r="E25" i="11"/>
  <c r="B14" i="11" a="1"/>
  <c r="B14" i="11" s="1"/>
  <c r="B15" i="11" s="1"/>
  <c r="E21" i="8"/>
  <c r="E21" i="7"/>
  <c r="I33" i="10"/>
  <c r="I32" i="10"/>
  <c r="I31" i="10"/>
  <c r="I30" i="10"/>
  <c r="I25" i="10"/>
  <c r="E25" i="10"/>
  <c r="B14" i="10" a="1"/>
  <c r="B14" i="10" s="1"/>
  <c r="B15" i="10" s="1"/>
  <c r="B13" i="10"/>
  <c r="I33" i="9"/>
  <c r="I32" i="9"/>
  <c r="I31" i="9"/>
  <c r="I30" i="9"/>
  <c r="I25" i="9"/>
  <c r="E25" i="9"/>
  <c r="B14" i="9" a="1"/>
  <c r="B14" i="9" s="1"/>
  <c r="B15" i="9" s="1"/>
  <c r="B16" i="9" s="1"/>
  <c r="B22" i="9" s="1"/>
  <c r="I33" i="8"/>
  <c r="I32" i="8"/>
  <c r="I31" i="8"/>
  <c r="I30" i="8"/>
  <c r="I25" i="8"/>
  <c r="E25" i="8"/>
  <c r="B14" i="8" a="1"/>
  <c r="B14" i="8" s="1"/>
  <c r="B15" i="8" s="1"/>
  <c r="E21" i="6"/>
  <c r="E21" i="5"/>
  <c r="B21" i="5"/>
  <c r="E29" i="15" l="1"/>
  <c r="B33" i="15"/>
  <c r="B34" i="15" s="1"/>
  <c r="B29" i="15"/>
  <c r="B39" i="15"/>
  <c r="B40" i="15" s="1"/>
  <c r="B41" i="15" s="1"/>
  <c r="B42" i="15" s="1"/>
  <c r="B33" i="14"/>
  <c r="B34" i="14" s="1"/>
  <c r="B39" i="14"/>
  <c r="B40" i="14" s="1"/>
  <c r="B41" i="14" s="1"/>
  <c r="B42" i="14" s="1"/>
  <c r="I34" i="11"/>
  <c r="E28" i="11" s="1"/>
  <c r="B16" i="10"/>
  <c r="E22" i="10" s="1"/>
  <c r="E23" i="10" s="1"/>
  <c r="I34" i="10"/>
  <c r="B26" i="10" s="1"/>
  <c r="B28" i="10" s="1"/>
  <c r="B16" i="13"/>
  <c r="B22" i="13" s="1"/>
  <c r="B23" i="13" s="1"/>
  <c r="I34" i="12"/>
  <c r="E28" i="12" s="1"/>
  <c r="B16" i="12"/>
  <c r="B22" i="12" s="1"/>
  <c r="B23" i="12" s="1"/>
  <c r="B16" i="11"/>
  <c r="E22" i="11" s="1"/>
  <c r="E23" i="11" s="1"/>
  <c r="I34" i="13"/>
  <c r="E28" i="13" s="1"/>
  <c r="E22" i="9"/>
  <c r="E23" i="9" s="1"/>
  <c r="I34" i="9"/>
  <c r="E28" i="9" s="1"/>
  <c r="I34" i="8"/>
  <c r="B26" i="8" s="1"/>
  <c r="B28" i="8" s="1"/>
  <c r="B16" i="8"/>
  <c r="B32" i="8" s="1"/>
  <c r="B17" i="9"/>
  <c r="B18" i="9" s="1"/>
  <c r="B23" i="9"/>
  <c r="B32" i="9"/>
  <c r="E28" i="10" l="1"/>
  <c r="E26" i="11"/>
  <c r="B22" i="10"/>
  <c r="B23" i="10" s="1"/>
  <c r="B26" i="11"/>
  <c r="B28" i="11" s="1"/>
  <c r="B26" i="12"/>
  <c r="B28" i="12" s="1"/>
  <c r="E26" i="12"/>
  <c r="B32" i="10"/>
  <c r="B17" i="10"/>
  <c r="B18" i="10" s="1"/>
  <c r="B39" i="10" s="1"/>
  <c r="B40" i="10" s="1"/>
  <c r="B41" i="10" s="1"/>
  <c r="B42" i="10" s="1"/>
  <c r="E22" i="12"/>
  <c r="E23" i="12" s="1"/>
  <c r="B22" i="11"/>
  <c r="B23" i="11" s="1"/>
  <c r="E26" i="8"/>
  <c r="E26" i="10"/>
  <c r="B17" i="12"/>
  <c r="B18" i="12" s="1"/>
  <c r="B39" i="12" s="1"/>
  <c r="B40" i="12" s="1"/>
  <c r="B41" i="12" s="1"/>
  <c r="B42" i="12" s="1"/>
  <c r="E28" i="8"/>
  <c r="B32" i="11"/>
  <c r="B32" i="12"/>
  <c r="B17" i="11"/>
  <c r="B18" i="11" s="1"/>
  <c r="B39" i="11" s="1"/>
  <c r="B40" i="11" s="1"/>
  <c r="B41" i="11" s="1"/>
  <c r="B42" i="11" s="1"/>
  <c r="B22" i="8"/>
  <c r="B23" i="8" s="1"/>
  <c r="E22" i="8"/>
  <c r="E23" i="8" s="1"/>
  <c r="B17" i="13"/>
  <c r="B18" i="13" s="1"/>
  <c r="B39" i="13" s="1"/>
  <c r="B40" i="13" s="1"/>
  <c r="B41" i="13" s="1"/>
  <c r="B42" i="13" s="1"/>
  <c r="B17" i="8"/>
  <c r="B18" i="8" s="1"/>
  <c r="B37" i="8" s="1"/>
  <c r="B38" i="8" s="1"/>
  <c r="E22" i="13"/>
  <c r="E23" i="13" s="1"/>
  <c r="B32" i="13"/>
  <c r="B26" i="13"/>
  <c r="B28" i="13" s="1"/>
  <c r="B29" i="13" s="1"/>
  <c r="B29" i="12"/>
  <c r="E26" i="9"/>
  <c r="B26" i="9"/>
  <c r="B28" i="9" s="1"/>
  <c r="B29" i="9" s="1"/>
  <c r="E26" i="13"/>
  <c r="E29" i="9"/>
  <c r="B37" i="9"/>
  <c r="B38" i="9" s="1"/>
  <c r="B39" i="9"/>
  <c r="B40" i="9" s="1"/>
  <c r="B41" i="9" s="1"/>
  <c r="B42" i="9" s="1"/>
  <c r="B33" i="9"/>
  <c r="B34" i="9" s="1"/>
  <c r="B37" i="10" l="1"/>
  <c r="B38" i="10" s="1"/>
  <c r="B33" i="10"/>
  <c r="B34" i="10" s="1"/>
  <c r="B29" i="10"/>
  <c r="E29" i="10"/>
  <c r="B37" i="12"/>
  <c r="B38" i="12" s="1"/>
  <c r="E29" i="12"/>
  <c r="B33" i="11"/>
  <c r="B34" i="11" s="1"/>
  <c r="B33" i="12"/>
  <c r="B34" i="12" s="1"/>
  <c r="B33" i="8"/>
  <c r="B34" i="8" s="1"/>
  <c r="E29" i="11"/>
  <c r="B29" i="8"/>
  <c r="E29" i="13"/>
  <c r="B29" i="11"/>
  <c r="B37" i="13"/>
  <c r="B38" i="13" s="1"/>
  <c r="B37" i="11"/>
  <c r="B38" i="11" s="1"/>
  <c r="B39" i="8"/>
  <c r="B40" i="8" s="1"/>
  <c r="B41" i="8" s="1"/>
  <c r="B42" i="8" s="1"/>
  <c r="B33" i="13"/>
  <c r="B34" i="13" s="1"/>
  <c r="E29" i="8"/>
  <c r="E21" i="4"/>
  <c r="B21" i="4"/>
  <c r="I33" i="7"/>
  <c r="I32" i="7"/>
  <c r="I31" i="7"/>
  <c r="I30" i="7"/>
  <c r="I25" i="7"/>
  <c r="E25" i="7"/>
  <c r="B14" i="7" a="1"/>
  <c r="B14" i="7" s="1"/>
  <c r="B15" i="7" s="1"/>
  <c r="B13" i="7"/>
  <c r="I33" i="6"/>
  <c r="I32" i="6"/>
  <c r="I31" i="6"/>
  <c r="I30" i="6"/>
  <c r="I25" i="6"/>
  <c r="E25" i="6"/>
  <c r="B14" i="6" a="1"/>
  <c r="B14" i="6" s="1"/>
  <c r="B15" i="6" s="1"/>
  <c r="I33" i="5"/>
  <c r="I32" i="5"/>
  <c r="I31" i="5"/>
  <c r="I30" i="5"/>
  <c r="I25" i="5"/>
  <c r="E25" i="5"/>
  <c r="B14" i="5" a="1"/>
  <c r="B14" i="5" s="1"/>
  <c r="B15" i="5" s="1"/>
  <c r="B21" i="3"/>
  <c r="B13" i="3"/>
  <c r="B21" i="2"/>
  <c r="E21" i="1"/>
  <c r="B21" i="1"/>
  <c r="I34" i="7" l="1"/>
  <c r="B26" i="7" s="1"/>
  <c r="B28" i="7" s="1"/>
  <c r="I34" i="5"/>
  <c r="B26" i="5" s="1"/>
  <c r="B28" i="5" s="1"/>
  <c r="B16" i="7"/>
  <c r="B22" i="7" s="1"/>
  <c r="B23" i="7" s="1"/>
  <c r="I34" i="6"/>
  <c r="B26" i="6" s="1"/>
  <c r="B28" i="6" s="1"/>
  <c r="B16" i="6"/>
  <c r="E22" i="6" s="1"/>
  <c r="E23" i="6" s="1"/>
  <c r="B16" i="5"/>
  <c r="B17" i="5" s="1"/>
  <c r="E22" i="7"/>
  <c r="E23" i="7" s="1"/>
  <c r="I33" i="4"/>
  <c r="I32" i="4"/>
  <c r="I31" i="4"/>
  <c r="I30" i="4"/>
  <c r="I25" i="4"/>
  <c r="E25" i="4"/>
  <c r="B14" i="4" a="1"/>
  <c r="B14" i="4" s="1"/>
  <c r="B15" i="4" s="1"/>
  <c r="B13" i="4"/>
  <c r="I33" i="3"/>
  <c r="I32" i="3"/>
  <c r="I31" i="3"/>
  <c r="I30" i="3"/>
  <c r="I25" i="3"/>
  <c r="E25" i="3"/>
  <c r="E21" i="3"/>
  <c r="B14" i="3" a="1"/>
  <c r="B14" i="3" s="1"/>
  <c r="B15" i="3" s="1"/>
  <c r="I33" i="2"/>
  <c r="I32" i="2"/>
  <c r="I31" i="2"/>
  <c r="I30" i="2"/>
  <c r="I25" i="2"/>
  <c r="E25" i="2"/>
  <c r="E21" i="2"/>
  <c r="B14" i="2" a="1"/>
  <c r="B14" i="2" s="1"/>
  <c r="B15" i="2" s="1"/>
  <c r="B13" i="2"/>
  <c r="I33" i="1"/>
  <c r="I32" i="1"/>
  <c r="I31" i="1"/>
  <c r="I30" i="1"/>
  <c r="I25" i="1"/>
  <c r="E25" i="1"/>
  <c r="B14" i="1" a="1"/>
  <c r="B14" i="1" s="1"/>
  <c r="B15" i="1" s="1"/>
  <c r="E28" i="7" l="1"/>
  <c r="B17" i="7"/>
  <c r="B18" i="7" s="1"/>
  <c r="B39" i="7" s="1"/>
  <c r="B40" i="7" s="1"/>
  <c r="B41" i="7" s="1"/>
  <c r="B42" i="7" s="1"/>
  <c r="E26" i="7"/>
  <c r="B32" i="7"/>
  <c r="E28" i="6"/>
  <c r="E28" i="5"/>
  <c r="E29" i="5" s="1"/>
  <c r="B29" i="5"/>
  <c r="E26" i="5"/>
  <c r="B16" i="4"/>
  <c r="E22" i="4" s="1"/>
  <c r="E23" i="4" s="1"/>
  <c r="E26" i="6"/>
  <c r="B16" i="2"/>
  <c r="B22" i="2" s="1"/>
  <c r="B23" i="2" s="1"/>
  <c r="I34" i="3"/>
  <c r="B26" i="3" s="1"/>
  <c r="B28" i="3" s="1"/>
  <c r="B32" i="6"/>
  <c r="B22" i="6"/>
  <c r="B23" i="6" s="1"/>
  <c r="B17" i="6"/>
  <c r="B18" i="6" s="1"/>
  <c r="E22" i="5"/>
  <c r="E23" i="5" s="1"/>
  <c r="B32" i="5"/>
  <c r="B22" i="5"/>
  <c r="B23" i="5" s="1"/>
  <c r="B18" i="5"/>
  <c r="I34" i="4"/>
  <c r="E26" i="4" s="1"/>
  <c r="B16" i="3"/>
  <c r="E22" i="3" s="1"/>
  <c r="E23" i="3" s="1"/>
  <c r="I34" i="2"/>
  <c r="E28" i="2" s="1"/>
  <c r="I34" i="1"/>
  <c r="B26" i="1" s="1"/>
  <c r="B28" i="1" s="1"/>
  <c r="B16" i="1"/>
  <c r="B32" i="1" s="1"/>
  <c r="B37" i="7" l="1"/>
  <c r="B38" i="7" s="1"/>
  <c r="E29" i="7"/>
  <c r="E26" i="3"/>
  <c r="B29" i="7"/>
  <c r="B33" i="7"/>
  <c r="B34" i="7" s="1"/>
  <c r="E28" i="3"/>
  <c r="B22" i="4"/>
  <c r="B23" i="4" s="1"/>
  <c r="B17" i="4"/>
  <c r="B18" i="4" s="1"/>
  <c r="B37" i="4" s="1"/>
  <c r="B38" i="4" s="1"/>
  <c r="B17" i="3"/>
  <c r="B18" i="3" s="1"/>
  <c r="B26" i="4"/>
  <c r="B28" i="4" s="1"/>
  <c r="B17" i="2"/>
  <c r="B18" i="2" s="1"/>
  <c r="B39" i="2" s="1"/>
  <c r="B40" i="2" s="1"/>
  <c r="B41" i="2" s="1"/>
  <c r="B42" i="2" s="1"/>
  <c r="E26" i="1"/>
  <c r="B22" i="3"/>
  <c r="B23" i="3" s="1"/>
  <c r="B32" i="2"/>
  <c r="E28" i="4"/>
  <c r="E22" i="2"/>
  <c r="E23" i="2" s="1"/>
  <c r="E28" i="1"/>
  <c r="B37" i="5"/>
  <c r="B38" i="5" s="1"/>
  <c r="B33" i="6"/>
  <c r="B34" i="6" s="1"/>
  <c r="B39" i="6"/>
  <c r="B40" i="6" s="1"/>
  <c r="B41" i="6" s="1"/>
  <c r="B42" i="6" s="1"/>
  <c r="E29" i="6"/>
  <c r="B37" i="6"/>
  <c r="B38" i="6" s="1"/>
  <c r="B29" i="6"/>
  <c r="B39" i="5"/>
  <c r="B40" i="5" s="1"/>
  <c r="B41" i="5" s="1"/>
  <c r="B42" i="5" s="1"/>
  <c r="B33" i="5"/>
  <c r="B34" i="5" s="1"/>
  <c r="B32" i="3"/>
  <c r="E26" i="2"/>
  <c r="B26" i="2"/>
  <c r="B28" i="2" s="1"/>
  <c r="B22" i="1"/>
  <c r="B23" i="1" s="1"/>
  <c r="E22" i="1"/>
  <c r="E23" i="1" s="1"/>
  <c r="B17" i="1"/>
  <c r="B29" i="1" s="1"/>
  <c r="B39" i="4" l="1"/>
  <c r="B40" i="4" s="1"/>
  <c r="B41" i="4" s="1"/>
  <c r="B42" i="4" s="1"/>
  <c r="B33" i="4"/>
  <c r="B34" i="4" s="1"/>
  <c r="E29" i="2"/>
  <c r="E29" i="4"/>
  <c r="B29" i="4"/>
  <c r="B29" i="2"/>
  <c r="B29" i="3"/>
  <c r="E29" i="3"/>
  <c r="B33" i="2"/>
  <c r="B34" i="2" s="1"/>
  <c r="B37" i="2"/>
  <c r="B38" i="2" s="1"/>
  <c r="B18" i="1"/>
  <c r="B37" i="1" s="1"/>
  <c r="B38" i="1" s="1"/>
  <c r="E29" i="1"/>
  <c r="B37" i="3"/>
  <c r="B38" i="3" s="1"/>
  <c r="B39" i="3"/>
  <c r="B40" i="3" s="1"/>
  <c r="B41" i="3" s="1"/>
  <c r="B42" i="3" s="1"/>
  <c r="B33" i="3"/>
  <c r="B34" i="3" s="1"/>
  <c r="B39" i="1" l="1"/>
  <c r="B40" i="1" s="1"/>
  <c r="B41" i="1" s="1"/>
  <c r="B42" i="1" s="1"/>
  <c r="B33" i="1"/>
  <c r="B3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tc={77161D53-CD6B-4EAF-91A0-0A08FD49E872}</author>
    <author>tc={6F921357-0760-4B95-8A4B-7B31BDFD7679}</author>
    <author>tc={236F38D2-783B-40C6-AD9E-D121175741C8}</author>
    <author>tc={A7697F43-B21C-40FE-9740-B60FDC83ED4C}</author>
  </authors>
  <commentList>
    <comment ref="I21" authorId="0" shapeId="0" xr:uid="{77161D53-CD6B-4EAF-91A0-0A08FD49E87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F921357-0760-4B95-8A4B-7B31BDFD767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36F38D2-783B-40C6-AD9E-D121175741C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7697F43-B21C-40FE-9740-B60FDC83ED4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tc={03451D56-B251-4A1A-8BED-E9EA8FD4D7EE}</author>
    <author>tc={BAB8DB16-25F7-42E2-9F21-55E405688566}</author>
    <author>tc={84FF0910-1701-4528-9303-3E3E72D39C48}</author>
    <author>tc={A4CE876C-B76F-42D5-B41E-312A904535DF}</author>
  </authors>
  <commentList>
    <comment ref="I21" authorId="0" shapeId="0" xr:uid="{03451D56-B251-4A1A-8BED-E9EA8FD4D7E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AB8DB16-25F7-42E2-9F21-55E4056885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4FF0910-1701-4528-9303-3E3E72D39C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4CE876C-B76F-42D5-B41E-312A904535D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tc={C18A4A72-3AF3-44D7-90FA-39BFD7E5AA8D}</author>
    <author>tc={B734BF96-17B0-44A7-97C5-A2271E3746FE}</author>
    <author>tc={1D9C1237-D725-46E5-B1E1-06E31B725D66}</author>
    <author>tc={9D909148-2482-415B-9789-D77E0D19EEB6}</author>
  </authors>
  <commentList>
    <comment ref="I21" authorId="0" shapeId="0" xr:uid="{C18A4A72-3AF3-44D7-90FA-39BFD7E5AA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734BF96-17B0-44A7-97C5-A2271E3746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D9C1237-D725-46E5-B1E1-06E31B725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D909148-2482-415B-9789-D77E0D19EE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tc={7564461C-D3FE-449A-B0EE-1DE7A0354EB2}</author>
    <author>tc={8AADCADC-D4D5-42BF-9A14-3ABC953DE20F}</author>
    <author>tc={3A03F172-AEA0-48E9-916D-B4AED3A53DE0}</author>
    <author>tc={BEEEB6C7-0F2E-4805-B3DE-95AC6714D5C3}</author>
  </authors>
  <commentList>
    <comment ref="I21" authorId="0" shapeId="0" xr:uid="{7564461C-D3FE-449A-B0EE-1DE7A0354E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AADCADC-D4D5-42BF-9A14-3ABC953DE20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A03F172-AEA0-48E9-916D-B4AED3A53DE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EEEB6C7-0F2E-4805-B3DE-95AC6714D5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tc={E26C6A4D-69EE-411A-BE55-5418411CAFA9}</author>
    <author>tc={3950581A-317A-462E-A259-EEB09162C290}</author>
    <author>tc={7639A2A0-8D65-4E94-8F3E-DD50895CA218}</author>
    <author>tc={4E472A09-5ED7-4E0D-BDF3-AF379216281C}</author>
  </authors>
  <commentList>
    <comment ref="I21" authorId="0" shapeId="0" xr:uid="{E26C6A4D-69EE-411A-BE55-5418411CAF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950581A-317A-462E-A259-EEB09162C29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639A2A0-8D65-4E94-8F3E-DD50895CA21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E472A09-5ED7-4E0D-BDF3-AF379216281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tc={6C870D19-0A9F-48A9-BE1C-F1B6E4F1A981}</author>
    <author>tc={10AD24FA-9805-4F1C-A1A7-445C5B4EB80D}</author>
    <author>tc={53CC80A7-0E87-4C1A-8F88-8B52402E550E}</author>
    <author>tc={51A94453-7088-4A42-9249-A8D7C729B4B1}</author>
  </authors>
  <commentList>
    <comment ref="I21" authorId="0" shapeId="0" xr:uid="{6C870D19-0A9F-48A9-BE1C-F1B6E4F1A9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0AD24FA-9805-4F1C-A1A7-445C5B4EB80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3CC80A7-0E87-4C1A-8F88-8B52402E550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1A94453-7088-4A42-9249-A8D7C729B4B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tc={DFAA2DBB-3646-4D83-8845-3D0B3FEBB08A}</author>
    <author>tc={EA9C1337-2037-4537-AB67-E9F605E5A87E}</author>
    <author>tc={787268E9-3545-45EE-B820-50617A041C95}</author>
    <author>tc={D9FF50C1-A166-4CBC-8681-71884AC1C213}</author>
  </authors>
  <commentList>
    <comment ref="I21" authorId="0" shapeId="0" xr:uid="{DFAA2DBB-3646-4D83-8845-3D0B3FEBB08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A9C1337-2037-4537-AB67-E9F605E5A8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87268E9-3545-45EE-B820-50617A041C9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9FF50C1-A166-4CBC-8681-71884AC1C21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tc={52DCB1E9-AB9C-477C-9589-0561732ECD6E}</author>
    <author>tc={EBFFF36F-7E43-4E7B-99C2-0243B069AD21}</author>
    <author>tc={CDBEC519-CF50-47D0-9A64-DBCDD1FA6192}</author>
    <author>tc={45806E1A-537F-447D-AFDA-5AA1D6D4C47D}</author>
  </authors>
  <commentList>
    <comment ref="I21" authorId="0" shapeId="0" xr:uid="{52DCB1E9-AB9C-477C-9589-0561732ECD6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BFFF36F-7E43-4E7B-99C2-0243B069AD2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DBEC519-CF50-47D0-9A64-DBCDD1FA619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5806E1A-537F-447D-AFDA-5AA1D6D4C47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tc={0A400969-412B-432C-BB98-C9409E3F6C2B}</author>
    <author>tc={B12A0126-6D46-4754-B060-22D9C149F0D0}</author>
    <author>tc={97B5CA5F-0E89-41D5-AA2D-1D824ED26511}</author>
    <author>tc={5AFB4CE6-9001-464E-A79D-9C57B3245CFC}</author>
  </authors>
  <commentList>
    <comment ref="I21" authorId="0" shapeId="0" xr:uid="{0A400969-412B-432C-BB98-C9409E3F6C2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12A0126-6D46-4754-B060-22D9C149F0D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7B5CA5F-0E89-41D5-AA2D-1D824ED2651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AFB4CE6-9001-464E-A79D-9C57B3245CF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tc={015B60C0-3285-4E8F-9D2F-D1355F88B77E}</author>
    <author>tc={62E783A7-860C-4354-94CC-1D9A1D477EB9}</author>
    <author>tc={A15BD4ED-E569-431E-8E1A-1E9453E1C786}</author>
    <author>tc={0B11D8DC-6E9C-4A92-B6C2-BBEA35B724EC}</author>
  </authors>
  <commentList>
    <comment ref="I21" authorId="0" shapeId="0" xr:uid="{015B60C0-3285-4E8F-9D2F-D1355F88B7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2E783A7-860C-4354-94CC-1D9A1D477E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15BD4ED-E569-431E-8E1A-1E9453E1C78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B11D8DC-6E9C-4A92-B6C2-BBEA35B724E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tc={25A959BB-8898-41A3-A785-0754A75F9C83}</author>
    <author>tc={31110027-1552-4EE3-9385-171F2FE92F77}</author>
    <author>tc={6C34CA57-572D-4182-8B63-56AC3BB81DF8}</author>
    <author>tc={365C8C43-5C9F-46A7-A86A-1EB0C641C78D}</author>
  </authors>
  <commentList>
    <comment ref="I21" authorId="0" shapeId="0" xr:uid="{25A959BB-8898-41A3-A785-0754A75F9C8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1110027-1552-4EE3-9385-171F2FE92F7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C34CA57-572D-4182-8B63-56AC3BB81DF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65C8C43-5C9F-46A7-A86A-1EB0C641C7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tc={9D1108B7-F783-4FF1-8A5F-1782A423E994}</author>
    <author>tc={0230DD00-F8CF-41A1-B0E9-B53F29C7A18F}</author>
    <author>tc={C2CC35B0-6DE9-47A9-824F-2391FDE9BC59}</author>
    <author>tc={62BFCE36-445B-4648-B091-5F836E87217A}</author>
  </authors>
  <commentList>
    <comment ref="I21" authorId="0" shapeId="0" xr:uid="{9D1108B7-F783-4FF1-8A5F-1782A423E99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230DD00-F8CF-41A1-B0E9-B53F29C7A18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2CC35B0-6DE9-47A9-824F-2391FDE9BC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2BFCE36-445B-4648-B091-5F836E87217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tc={343586BA-A8C2-4B30-9C73-73C1EE31F3BB}</author>
    <author>tc={E9A2A103-A5F4-4BA4-951D-1EF24986CDE9}</author>
    <author>tc={78A60BD5-1A5C-4E06-816C-9106F76BEAF2}</author>
    <author>tc={60E59B1D-04B5-46E3-B191-A1837980A659}</author>
  </authors>
  <commentList>
    <comment ref="I21" authorId="0" shapeId="0" xr:uid="{343586BA-A8C2-4B30-9C73-73C1EE31F3B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9A2A103-A5F4-4BA4-951D-1EF24986CDE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8A60BD5-1A5C-4E06-816C-9106F76BEAF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0E59B1D-04B5-46E3-B191-A1837980A6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tc={81BFA786-AD9C-46EA-994D-51E0840750CC}</author>
    <author>tc={008F5B5E-2ABA-47CC-B6EB-5910020B46C2}</author>
    <author>tc={A2B01E84-1B3A-47FB-88FC-942E5C57C2CA}</author>
    <author>tc={12B1D147-B981-48BC-83AE-13A0B64F1AA9}</author>
  </authors>
  <commentList>
    <comment ref="I21" authorId="0" shapeId="0" xr:uid="{81BFA786-AD9C-46EA-994D-51E0840750C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08F5B5E-2ABA-47CC-B6EB-5910020B46C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2B01E84-1B3A-47FB-88FC-942E5C57C2C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12B1D147-B981-48BC-83AE-13A0B64F1A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tc={5FFEC456-714B-494D-8905-48C0AA4ECD17}</author>
    <author>tc={CFF7A5E4-BCB5-4DBF-A5F1-D117F803980D}</author>
    <author>tc={FF3AD4DD-45BF-4C59-B5D4-2081936E4376}</author>
    <author>tc={0D718C44-CB57-43EB-A4A5-6EEDAE78D60D}</author>
  </authors>
  <commentList>
    <comment ref="I21" authorId="0" shapeId="0" xr:uid="{5FFEC456-714B-494D-8905-48C0AA4ECD1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FF7A5E4-BCB5-4DBF-A5F1-D117F803980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F3AD4DD-45BF-4C59-B5D4-2081936E437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D718C44-CB57-43EB-A4A5-6EEDAE78D60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tc={ACB0354B-3768-42FB-BC5D-6EE47EB60E57}</author>
    <author>tc={4BA52F30-2C9D-47CD-8BD8-869611C5FF8F}</author>
    <author>tc={6724C6CA-23FC-4159-807D-605F9090C2B8}</author>
    <author>tc={3665E30F-2063-4F3A-A41B-2C969ED0BE88}</author>
  </authors>
  <commentList>
    <comment ref="I21" authorId="0" shapeId="0" xr:uid="{ACB0354B-3768-42FB-BC5D-6EE47EB60E5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BA52F30-2C9D-47CD-8BD8-869611C5FF8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724C6CA-23FC-4159-807D-605F9090C2B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665E30F-2063-4F3A-A41B-2C969ED0BE8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tc={7B76DAEB-227B-49C6-A8A5-7DFA268FE650}</author>
    <author>tc={FB24F52D-E9F5-4AD1-9257-B1674CB276B9}</author>
    <author>tc={98081398-8207-4568-9D08-43D935302BFD}</author>
    <author>tc={DA806767-9B9A-4646-B365-D8B747AFA8FB}</author>
  </authors>
  <commentList>
    <comment ref="I21" authorId="0" shapeId="0" xr:uid="{7B76DAEB-227B-49C6-A8A5-7DFA268FE65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B24F52D-E9F5-4AD1-9257-B1674CB276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8081398-8207-4568-9D08-43D935302B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A806767-9B9A-4646-B365-D8B747AFA8F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tc={01446B85-7714-4824-AE0F-5977B65D40AF}</author>
    <author>tc={294E6A98-7FBD-4BC5-8DE9-63545F3900D0}</author>
    <author>tc={FA262E53-66FF-4C3C-A313-289394830948}</author>
    <author>tc={E5F2FAF8-3212-46A4-A4EA-020B87DDE198}</author>
  </authors>
  <commentList>
    <comment ref="I21" authorId="0" shapeId="0" xr:uid="{01446B85-7714-4824-AE0F-5977B65D40A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294E6A98-7FBD-4BC5-8DE9-63545F3900D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A262E53-66FF-4C3C-A313-2893948309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5F2FAF8-3212-46A4-A4EA-020B87DDE19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tc={082C3ACB-D19D-4675-818A-A92EE4619E8D}</author>
    <author>tc={C0DEECB0-142E-4B72-8443-47F6FEAC42D7}</author>
    <author>tc={BEDCFCFB-DD88-4C4A-9CC9-5C54EF2E8E40}</author>
    <author>tc={E271F43E-D489-4FCA-B0BE-DE380AEFCE36}</author>
  </authors>
  <commentList>
    <comment ref="I21" authorId="0" shapeId="0" xr:uid="{082C3ACB-D19D-4675-818A-A92EE4619E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0DEECB0-142E-4B72-8443-47F6FEAC42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BEDCFCFB-DD88-4C4A-9CC9-5C54EF2E8E4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271F43E-D489-4FCA-B0BE-DE380AEFCE3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tc={45C1DCFB-0D57-4334-BDD1-522B4DEEF595}</author>
    <author>tc={AF1F4D5F-0B2F-4026-BB6C-C30386416B38}</author>
    <author>tc={7005DB36-E395-499B-A82B-E0771C6FCBF9}</author>
    <author>tc={026D3E5F-DFCB-4443-866A-68E5281A4BA6}</author>
  </authors>
  <commentList>
    <comment ref="I21" authorId="0" shapeId="0" xr:uid="{45C1DCFB-0D57-4334-BDD1-522B4DEEF59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AF1F4D5F-0B2F-4026-BB6C-C30386416B3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005DB36-E395-499B-A82B-E0771C6FCBF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26D3E5F-DFCB-4443-866A-68E5281A4B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tc={8AAC4B6F-00A2-41C2-9905-5DC0C2D05DA9}</author>
    <author>tc={E665447A-6DB0-42F8-BE73-AE3FB9A1BC7B}</author>
    <author>tc={139AF3DB-9BD8-4018-B840-5859BB495D98}</author>
    <author>tc={D4355C42-A2DD-41AF-865A-C0673767BD0E}</author>
  </authors>
  <commentList>
    <comment ref="I21" authorId="0" shapeId="0" xr:uid="{8AAC4B6F-00A2-41C2-9905-5DC0C2D05D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665447A-6DB0-42F8-BE73-AE3FB9A1BC7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39AF3DB-9BD8-4018-B840-5859BB495D9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4355C42-A2DD-41AF-865A-C0673767BD0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tc={7B31D1E0-1420-4D24-9147-B37F23FB5D95}</author>
    <author>tc={AFDDEF95-57A3-46D9-930B-98F5B139BEC5}</author>
    <author>tc={6B43061F-6477-44CB-BDBB-B2622F472990}</author>
    <author>tc={BD2AD604-028F-49EC-9780-EFF7F49EC83F}</author>
  </authors>
  <commentList>
    <comment ref="I21" authorId="0" shapeId="0" xr:uid="{7B31D1E0-1420-4D24-9147-B37F23FB5D9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AFDDEF95-57A3-46D9-930B-98F5B139BEC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B43061F-6477-44CB-BDBB-B2622F47299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D2AD604-028F-49EC-9780-EFF7F49EC83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tc={07E2C6A0-36CA-4441-AE27-1E3095FACB92}</author>
    <author>tc={3FB43989-F973-4B52-BEFA-F7B0B074BA4E}</author>
    <author>tc={72D9E206-B2DD-4657-9567-84157882937C}</author>
    <author>tc={A88960AB-36A6-47D1-AAB8-24A7BB1ABBA0}</author>
  </authors>
  <commentList>
    <comment ref="I21" authorId="0" shapeId="0" xr:uid="{07E2C6A0-36CA-4441-AE27-1E3095FACB9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FB43989-F973-4B52-BEFA-F7B0B074BA4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2D9E206-B2DD-4657-9567-84157882937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88960AB-36A6-47D1-AAB8-24A7BB1ABBA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tc={93B18CAC-B73F-4F72-AEF7-A0DB7BBA7EDA}</author>
    <author>tc={8DC87901-A23E-46AF-B479-8087896F9C53}</author>
    <author>tc={2E129063-FC73-4E87-AA73-EB934081902E}</author>
    <author>tc={A1DC3863-D405-4F2B-AF7B-C608860FA4FE}</author>
  </authors>
  <commentList>
    <comment ref="I21" authorId="0" shapeId="0" xr:uid="{93B18CAC-B73F-4F72-AEF7-A0DB7BBA7ED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DC87901-A23E-46AF-B479-8087896F9C5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E129063-FC73-4E87-AA73-EB934081902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1DC3863-D405-4F2B-AF7B-C608860FA4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tc={A1572080-791E-4CD2-BFC4-BC4A7E7791AC}</author>
    <author>tc={BC492330-1128-40CF-B488-36CDD38A0BBD}</author>
    <author>tc={9FC11F7B-26C7-42BA-8A19-70064A9CB4D8}</author>
    <author>tc={9ED69F48-2ACF-45C1-A5AD-B07A77854D68}</author>
  </authors>
  <commentList>
    <comment ref="I21" authorId="0" shapeId="0" xr:uid="{A1572080-791E-4CD2-BFC4-BC4A7E7791A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C492330-1128-40CF-B488-36CDD38A0B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FC11F7B-26C7-42BA-8A19-70064A9CB4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ED69F48-2ACF-45C1-A5AD-B07A77854D6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tc={349F97D4-68F7-40AC-82A1-2EC6034F52D5}</author>
    <author>tc={1B20FE0E-3650-4E8E-8789-1E075ADA71E7}</author>
    <author>tc={ED231848-7FD2-4477-96E2-10D067B5A9B2}</author>
    <author>tc={A1C05CBE-5462-4AC7-82FC-41DC6B23CDAC}</author>
  </authors>
  <commentList>
    <comment ref="I21" authorId="0" shapeId="0" xr:uid="{349F97D4-68F7-40AC-82A1-2EC6034F52D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B20FE0E-3650-4E8E-8789-1E075ADA71E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D231848-7FD2-4477-96E2-10D067B5A9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1C05CBE-5462-4AC7-82FC-41DC6B23CDA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tc={EEC91F01-BC60-44D1-B42C-0D535ED38A94}</author>
    <author>tc={DB23AD6B-EE00-4CDC-95B2-866173E670BD}</author>
    <author>tc={9105F57A-98B9-40A3-9859-2FCD5DDEC62F}</author>
    <author>tc={E571BCB2-7F61-4D82-84E2-2813C5049283}</author>
  </authors>
  <commentList>
    <comment ref="I21" authorId="0" shapeId="0" xr:uid="{EEC91F01-BC60-44D1-B42C-0D535ED38A9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B23AD6B-EE00-4CDC-95B2-866173E670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105F57A-98B9-40A3-9859-2FCD5DDEC62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571BCB2-7F61-4D82-84E2-2813C504928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tc={D59CC32E-6051-4BB2-9CC2-852381229DEF}</author>
    <author>tc={C93EB3EF-A674-4088-93F6-BDA3648F4459}</author>
    <author>tc={14A69581-D247-4FF5-AEA4-78E7FB5AD42B}</author>
    <author>tc={9A576746-70E5-463B-A65F-5D3CC408BBBD}</author>
  </authors>
  <commentList>
    <comment ref="I21" authorId="0" shapeId="0" xr:uid="{D59CC32E-6051-4BB2-9CC2-852381229DE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93EB3EF-A674-4088-93F6-BDA3648F44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4A69581-D247-4FF5-AEA4-78E7FB5AD42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A576746-70E5-463B-A65F-5D3CC408BB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tc={6D164D54-9C9C-4BB7-BD37-B243515CA4C6}</author>
    <author>tc={89DA1FC8-851A-4F3C-9638-4908558C94BE}</author>
    <author>tc={F9D524EF-C129-4BC7-B503-BEF960ABBF2D}</author>
    <author>tc={74A7BD73-3580-4466-8B97-C00664986729}</author>
  </authors>
  <commentList>
    <comment ref="I21" authorId="0" shapeId="0" xr:uid="{6D164D54-9C9C-4BB7-BD37-B243515CA4C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9DA1FC8-851A-4F3C-9638-4908558C94B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9D524EF-C129-4BC7-B503-BEF960ABBF2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4A7BD73-3580-4466-8B97-C0066498672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tc={1EAF1D07-2854-463F-850A-429F126114C4}</author>
    <author>tc={09EF6C5F-828F-4641-9C5F-CC0E9393395A}</author>
    <author>tc={C78474C8-17A0-40DD-9579-09540057D340}</author>
    <author>tc={CB54ECCE-80E5-4D87-A3B7-7372B3A5C54A}</author>
  </authors>
  <commentList>
    <comment ref="I21" authorId="0" shapeId="0" xr:uid="{1EAF1D07-2854-463F-850A-429F126114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9EF6C5F-828F-4641-9C5F-CC0E9393395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78474C8-17A0-40DD-9579-09540057D34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CB54ECCE-80E5-4D87-A3B7-7372B3A5C54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tc={EE8F25F3-AEAB-4934-A169-39A4FC70776F}</author>
    <author>tc={33243C74-BD83-4A6F-A143-C88EE48408E8}</author>
    <author>tc={86C7712F-D402-4606-92F8-719DB9E09037}</author>
    <author>tc={2D8E55D1-5352-4B60-954E-FB91E81EC5BC}</author>
  </authors>
  <commentList>
    <comment ref="I21" authorId="0" shapeId="0" xr:uid="{EE8F25F3-AEAB-4934-A169-39A4FC70776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3243C74-BD83-4A6F-A143-C88EE48408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6C7712F-D402-4606-92F8-719DB9E0903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D8E55D1-5352-4B60-954E-FB91E81EC5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tc={DD432885-47FA-46BA-B6F2-BC2B71208060}</author>
    <author>tc={723A4576-81D4-4806-9A93-66610E452579}</author>
    <author>tc={173D3B7F-8581-49C8-B774-7A1A2E9DA9E7}</author>
    <author>tc={5B29B61F-D297-4F1C-BA28-A259331F7BB7}</author>
  </authors>
  <commentList>
    <comment ref="I21" authorId="0" shapeId="0" xr:uid="{DD432885-47FA-46BA-B6F2-BC2B7120806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23A4576-81D4-4806-9A93-66610E45257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73D3B7F-8581-49C8-B774-7A1A2E9DA9E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B29B61F-D297-4F1C-BA28-A259331F7BB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tc={74527B0E-EC07-461B-8903-DD2B633AEFA6}</author>
    <author>tc={BA5B2A69-A93A-4F47-A32C-1BA190A3FD6B}</author>
    <author>tc={55E9BE99-9261-4DAD-9568-D7E8ED723CF0}</author>
    <author>tc={A61AB131-C6E7-469B-B128-7FE3A4E64A48}</author>
  </authors>
  <commentList>
    <comment ref="I21" authorId="0" shapeId="0" xr:uid="{74527B0E-EC07-461B-8903-DD2B633AEF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A5B2A69-A93A-4F47-A32C-1BA190A3FD6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5E9BE99-9261-4DAD-9568-D7E8ED723CF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61AB131-C6E7-469B-B128-7FE3A4E64A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tc={DE29B63D-A45E-43EA-8962-255AC0698BBD}</author>
    <author>tc={7920C420-0A8D-4C4E-BD53-E3055DBDF5A3}</author>
    <author>tc={CCE18D81-B133-4DB2-98E9-EB91CCFC399F}</author>
    <author>tc={9D83E3E4-E547-4462-9012-CEFCA54C1C91}</author>
  </authors>
  <commentList>
    <comment ref="I21" authorId="0" shapeId="0" xr:uid="{DE29B63D-A45E-43EA-8962-255AC0698B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920C420-0A8D-4C4E-BD53-E3055DBDF5A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CE18D81-B133-4DB2-98E9-EB91CCFC399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D83E3E4-E547-4462-9012-CEFCA54C1C9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tc={D19FCE08-CC88-42AC-BF0B-3E419F690CC2}</author>
    <author>tc={CB5539CD-F3A6-45FB-8AB8-38A813E2A87B}</author>
    <author>tc={1DDC8190-53FB-49D1-B090-5D64E2AB3B80}</author>
    <author>tc={B5BE597B-CFF6-4FBF-B184-6DA81CF1B902}</author>
  </authors>
  <commentList>
    <comment ref="I21" authorId="0" shapeId="0" xr:uid="{D19FCE08-CC88-42AC-BF0B-3E419F690CC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B5539CD-F3A6-45FB-8AB8-38A813E2A87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DDC8190-53FB-49D1-B090-5D64E2AB3B8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5BE597B-CFF6-4FBF-B184-6DA81CF1B90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tc={67C156CF-3E66-40CC-8427-A504CC13DBB5}</author>
    <author>tc={79D7A95C-3831-41C2-AD0D-30BFBC7C4574}</author>
    <author>tc={E34B5C77-09AC-4333-BCBF-99CE7FACC4BF}</author>
    <author>tc={B7229DD3-F61D-4E3F-BBCE-62B1C299EAE6}</author>
  </authors>
  <commentList>
    <comment ref="I21" authorId="0" shapeId="0" xr:uid="{67C156CF-3E66-40CC-8427-A504CC13DBB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9D7A95C-3831-41C2-AD0D-30BFBC7C457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34B5C77-09AC-4333-BCBF-99CE7FACC4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7229DD3-F61D-4E3F-BBCE-62B1C299EAE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tc={D859784D-BDC8-436D-8A05-337AC1292C5F}</author>
    <author>tc={56AA181A-123C-40F3-96CA-42EAA9F3AF3D}</author>
    <author>tc={AE21B4A3-6A1D-4E1D-AF0E-DE8FE426361D}</author>
    <author>tc={3D92EC01-63D7-405E-9C61-5FB47491EBDD}</author>
  </authors>
  <commentList>
    <comment ref="I21" authorId="0" shapeId="0" xr:uid="{D859784D-BDC8-436D-8A05-337AC1292C5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6AA181A-123C-40F3-96CA-42EAA9F3AF3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E21B4A3-6A1D-4E1D-AF0E-DE8FE426361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D92EC01-63D7-405E-9C61-5FB47491EBD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tc={4A5AEB04-FB58-4880-8106-188C32484725}</author>
    <author>tc={B65ED89D-6DD4-401F-BB04-1D5466A3CDC6}</author>
    <author>tc={061E4CE4-19C8-4225-9344-C00849A58064}</author>
    <author>tc={ED7F8E61-54B1-4AFA-AA91-EFB75793FC19}</author>
  </authors>
  <commentList>
    <comment ref="I21" authorId="0" shapeId="0" xr:uid="{4A5AEB04-FB58-4880-8106-188C3248472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65ED89D-6DD4-401F-BB04-1D5466A3CDC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61E4CE4-19C8-4225-9344-C00849A580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D7F8E61-54B1-4AFA-AA91-EFB75793FC1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tc={8BB61300-182A-4E66-9EA4-B0C26C435B01}</author>
    <author>tc={DFA9FA45-EA0F-4D65-AC51-3EB43C87C02D}</author>
    <author>tc={946D8393-5175-4C83-B78C-03E3A05B1033}</author>
    <author>tc={01B8FBA8-24C0-4A8A-8A72-FD79E9C6A47C}</author>
  </authors>
  <commentList>
    <comment ref="I21" authorId="0" shapeId="0" xr:uid="{8BB61300-182A-4E66-9EA4-B0C26C435B0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FA9FA45-EA0F-4D65-AC51-3EB43C87C02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46D8393-5175-4C83-B78C-03E3A05B103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1B8FBA8-24C0-4A8A-8A72-FD79E9C6A47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tc={6B2CE423-68CE-4F46-8114-C74F76CD8929}</author>
    <author>tc={DD75A8B3-A995-4568-AEEB-6DB1C68F1A3C}</author>
    <author>tc={FA6B48D4-53EB-4F75-8C62-CC4CDD5B01BF}</author>
    <author>tc={30B5C057-4D96-4843-B0D0-2969338AD76B}</author>
  </authors>
  <commentList>
    <comment ref="I21" authorId="0" shapeId="0" xr:uid="{6B2CE423-68CE-4F46-8114-C74F76CD892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D75A8B3-A995-4568-AEEB-6DB1C68F1A3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A6B48D4-53EB-4F75-8C62-CC4CDD5B01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0B5C057-4D96-4843-B0D0-2969338AD76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tc={55AC9114-226D-47D2-A334-84E85F6227C6}</author>
    <author>tc={1CBEE3F0-344B-4FBE-93F2-C578A8BF8A53}</author>
    <author>tc={F13457B5-2BCC-4ABF-B157-B5EAF1AD7C73}</author>
    <author>tc={73F21827-6C88-4E3A-A663-A1EE10510665}</author>
  </authors>
  <commentList>
    <comment ref="I21" authorId="0" shapeId="0" xr:uid="{55AC9114-226D-47D2-A334-84E85F6227C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CBEE3F0-344B-4FBE-93F2-C578A8BF8A5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13457B5-2BCC-4ABF-B157-B5EAF1AD7C7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3F21827-6C88-4E3A-A663-A1EE1051066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tc={BB5A71B5-1C27-4718-89D7-C0EB0B351CAD}</author>
    <author>tc={1CD1DF8F-CD56-4674-8A5D-62562DA323B6}</author>
    <author>tc={1195E0A6-38F0-4968-B917-743A66AA3A66}</author>
    <author>tc={AD3C124A-156C-4461-A421-8A22B8E9B6C2}</author>
  </authors>
  <commentList>
    <comment ref="I21" authorId="0" shapeId="0" xr:uid="{BB5A71B5-1C27-4718-89D7-C0EB0B351CA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CD1DF8F-CD56-4674-8A5D-62562DA323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195E0A6-38F0-4968-B917-743A66AA3A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D3C124A-156C-4461-A421-8A22B8E9B6C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tc={3E1C7EE3-6976-4CFB-97A6-5BB6AA64C8AF}</author>
    <author>tc={891FADB5-C61C-4613-A84F-A0DF6F80C80D}</author>
    <author>tc={2F75AF80-40A5-45DD-A2E4-2B8F490B8DEB}</author>
    <author>tc={B95EC32B-6F71-4073-B08E-CDC684466FA4}</author>
  </authors>
  <commentList>
    <comment ref="I21" authorId="0" shapeId="0" xr:uid="{3E1C7EE3-6976-4CFB-97A6-5BB6AA64C8A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91FADB5-C61C-4613-A84F-A0DF6F80C80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F75AF80-40A5-45DD-A2E4-2B8F490B8DE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95EC32B-6F71-4073-B08E-CDC684466FA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tc={F521D49C-82B7-4625-8BA3-D3C0DAFB9363}</author>
    <author>tc={DA9C9365-7243-4332-A5F4-F2EB1E6CFE60}</author>
    <author>tc={10BACBFC-61AF-4840-A5DE-3752A81A35B1}</author>
    <author>tc={E3714D2F-2CB0-466C-8717-802EEB22CD89}</author>
  </authors>
  <commentList>
    <comment ref="I21" authorId="0" shapeId="0" xr:uid="{F521D49C-82B7-4625-8BA3-D3C0DAFB936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A9C9365-7243-4332-A5F4-F2EB1E6CFE6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0BACBFC-61AF-4840-A5DE-3752A81A35B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3714D2F-2CB0-466C-8717-802EEB22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tc={FEA67F85-C52B-43D1-B881-0E92837BFDAB}</author>
    <author>tc={D5AC4ECC-AA6F-4600-8B17-8383D1F52ABB}</author>
    <author>tc={D430CBF8-5841-4F21-ACB3-4CA7531CE178}</author>
    <author>tc={491E993F-BF0F-48B0-A341-FBE1C9DEC8E1}</author>
  </authors>
  <commentList>
    <comment ref="I21" authorId="0" shapeId="0" xr:uid="{FEA67F85-C52B-43D1-B881-0E92837BFDA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5AC4ECC-AA6F-4600-8B17-8383D1F52AB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D430CBF8-5841-4F21-ACB3-4CA7531CE17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91E993F-BF0F-48B0-A341-FBE1C9DEC8E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tc={DA82A2E0-3744-40CC-AFC7-746C8E73F365}</author>
    <author>tc={35CE4FC0-2674-4E1B-B104-C8C0F7768FC7}</author>
    <author>tc={E5197244-635F-4A74-9257-A57FB7B43CD8}</author>
    <author>tc={56751D20-AE5D-4966-A80C-AAB19CC6673E}</author>
  </authors>
  <commentList>
    <comment ref="I21" authorId="0" shapeId="0" xr:uid="{DA82A2E0-3744-40CC-AFC7-746C8E73F36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5CE4FC0-2674-4E1B-B104-C8C0F7768F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5197244-635F-4A74-9257-A57FB7B43C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6751D20-AE5D-4966-A80C-AAB19CC667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tc={21EDB7D5-658D-4B3B-80EC-CA1D3D62D6FE}</author>
    <author>tc={69527657-B14B-47E8-B4D3-FC9A9F76C085}</author>
    <author>tc={8A8AF738-B0E5-4628-A321-B8AEB648FB99}</author>
    <author>tc={E2B4B393-3A3B-48AC-8177-3A989355421A}</author>
  </authors>
  <commentList>
    <comment ref="I21" authorId="0" shapeId="0" xr:uid="{21EDB7D5-658D-4B3B-80EC-CA1D3D62D6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9527657-B14B-47E8-B4D3-FC9A9F76C08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A8AF738-B0E5-4628-A321-B8AEB648FB9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2B4B393-3A3B-48AC-8177-3A989355421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tc={BD1EF9C0-CF31-4D67-BF57-668B6B2E5558}</author>
    <author>tc={1555BF37-253F-4CA1-A715-46AB0E598DC3}</author>
    <author>tc={42F22490-EAAC-4AB3-8DF9-50854E9D1CD8}</author>
    <author>tc={B1E21C03-8592-4663-8C15-946D8434B40D}</author>
  </authors>
  <commentList>
    <comment ref="I21" authorId="0" shapeId="0" xr:uid="{BD1EF9C0-CF31-4D67-BF57-668B6B2E555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555BF37-253F-4CA1-A715-46AB0E598D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2F22490-EAAC-4AB3-8DF9-50854E9D1C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1E21C03-8592-4663-8C15-946D8434B40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tc={9297B162-EEAB-4CAE-8C7A-960C57780F17}</author>
    <author>tc={9A647E0F-5215-4BEB-B166-416AE69DDE58}</author>
    <author>tc={5D1442D6-94B7-4410-A459-D09A2338AD1E}</author>
    <author>tc={10765C4C-8A5A-4ABE-A73A-51E48701BE83}</author>
  </authors>
  <commentList>
    <comment ref="I21" authorId="0" shapeId="0" xr:uid="{9297B162-EEAB-4CAE-8C7A-960C57780F1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A647E0F-5215-4BEB-B166-416AE69DDE5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D1442D6-94B7-4410-A459-D09A2338AD1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10765C4C-8A5A-4ABE-A73A-51E48701BE8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tc={CB99BCBC-BB7E-4022-A0D9-A5D1581BBC7F}</author>
    <author>tc={7CB17252-17D9-4027-A389-B1BC04BEFE93}</author>
    <author>tc={02596048-71F5-498C-B6E4-DE378494818E}</author>
    <author>tc={898D11EE-86FC-4CAC-9614-D4C596B701B2}</author>
  </authors>
  <commentList>
    <comment ref="I21" authorId="0" shapeId="0" xr:uid="{CB99BCBC-BB7E-4022-A0D9-A5D1581BBC7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CB17252-17D9-4027-A389-B1BC04BEFE9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2596048-71F5-498C-B6E4-DE378494818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98D11EE-86FC-4CAC-9614-D4C596B701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tc={F0F64768-0314-443B-A467-13DD63B80C23}</author>
    <author>tc={282E994B-0FF8-44A8-9771-C98E8E8D12EC}</author>
    <author>tc={317CC833-E71C-4C9A-9C76-C015CBC39F0B}</author>
    <author>tc={5E8D9A6A-D3A4-409A-8F60-D5F2C25728B2}</author>
  </authors>
  <commentList>
    <comment ref="I21" authorId="0" shapeId="0" xr:uid="{F0F64768-0314-443B-A467-13DD63B80C2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282E994B-0FF8-44A8-9771-C98E8E8D12E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17CC833-E71C-4C9A-9C76-C015CBC39F0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E8D9A6A-D3A4-409A-8F60-D5F2C25728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tc={72281D78-BBE0-4C98-84A7-6C13C99AC251}</author>
    <author>tc={11591A1B-955B-4899-8604-A0DB15C2F464}</author>
    <author>tc={770394E7-D4FE-4B4C-B70C-F0AD6EF3D446}</author>
    <author>tc={B5F74611-37E0-48DC-A34C-014E7477F26F}</author>
  </authors>
  <commentList>
    <comment ref="I21" authorId="0" shapeId="0" xr:uid="{72281D78-BBE0-4C98-84A7-6C13C99AC25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1591A1B-955B-4899-8604-A0DB15C2F4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70394E7-D4FE-4B4C-B70C-F0AD6EF3D44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5F74611-37E0-48DC-A34C-014E7477F26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tc={C712C7D6-841B-4BBA-9EA2-6CD63856F5F0}</author>
    <author>tc={59464243-E2F4-4708-BCC0-A278AF23B5EE}</author>
    <author>tc={19944285-5402-495E-BA02-DBB2B0B1B3F6}</author>
    <author>tc={F456D62C-5B00-4460-B2C2-26EFD15CF891}</author>
  </authors>
  <commentList>
    <comment ref="I21" authorId="0" shapeId="0" xr:uid="{C712C7D6-841B-4BBA-9EA2-6CD63856F5F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9464243-E2F4-4708-BCC0-A278AF23B5E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9944285-5402-495E-BA02-DBB2B0B1B3F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456D62C-5B00-4460-B2C2-26EFD15CF89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tc={6F9AC657-F528-4C52-8B87-FA1FBCAC6D71}</author>
    <author>tc={A3E188F6-EF89-4F70-BA0F-7184D811E4DC}</author>
    <author>tc={AE911872-D8AA-4192-BB68-BEE716275C4F}</author>
    <author>tc={D2D28B2C-29DC-4037-AA7D-95B5BB8EA679}</author>
  </authors>
  <commentList>
    <comment ref="I21" authorId="0" shapeId="0" xr:uid="{6F9AC657-F528-4C52-8B87-FA1FBCAC6D7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A3E188F6-EF89-4F70-BA0F-7184D811E4D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E911872-D8AA-4192-BB68-BEE716275C4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2D28B2C-29DC-4037-AA7D-95B5BB8EA67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tc={2CAF33B9-7BF3-4055-A08A-9049A1465244}</author>
    <author>tc={FDE10586-06DD-4BF6-99CC-E86CEAFF1841}</author>
    <author>tc={821FFADF-9261-44D3-A8A3-871CDB9CB0BD}</author>
    <author>tc={650B58B0-01D6-462B-826B-EC2720E2DEA6}</author>
  </authors>
  <commentList>
    <comment ref="I21" authorId="0" shapeId="0" xr:uid="{2CAF33B9-7BF3-4055-A08A-9049A146524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DE10586-06DD-4BF6-99CC-E86CEAFF184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21FFADF-9261-44D3-A8A3-871CDB9CB0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50B58B0-01D6-462B-826B-EC2720E2DE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tc={B0B95F57-CF48-49A8-A77A-DD6672EDE9D4}</author>
    <author>tc={8956EAAB-A139-4006-88D7-4E1CB7B57AB1}</author>
    <author>tc={9DC6F25A-CF2E-4E70-9165-663982356FB2}</author>
    <author>tc={F11B2530-5D0E-4E9F-A9D4-5ECF5DCF9634}</author>
  </authors>
  <commentList>
    <comment ref="I21" authorId="0" shapeId="0" xr:uid="{B0B95F57-CF48-49A8-A77A-DD6672EDE9D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956EAAB-A139-4006-88D7-4E1CB7B57AB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DC6F25A-CF2E-4E70-9165-663982356F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11B2530-5D0E-4E9F-A9D4-5ECF5DCF963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tc={96225546-593E-41A6-B4F9-44D6DA8149CE}</author>
    <author>tc={D21E2E3D-3B48-4B20-A5FA-0DA7F4739AEB}</author>
    <author>tc={9C7008B4-30B1-499A-82C5-D03D5F4BEC3E}</author>
    <author>tc={F50B6DD2-0965-44F2-9DA2-C6A284E28A23}</author>
  </authors>
  <commentList>
    <comment ref="I21" authorId="0" shapeId="0" xr:uid="{96225546-593E-41A6-B4F9-44D6DA8149C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21E2E3D-3B48-4B20-A5FA-0DA7F4739AE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C7008B4-30B1-499A-82C5-D03D5F4BEC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50B6DD2-0965-44F2-9DA2-C6A284E28A2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tc={83DFA396-2BA4-47FE-B985-AB87D633B892}</author>
    <author>tc={F6E23FF5-E6FC-49B3-A9CD-A71AA18A4CBC}</author>
    <author>tc={CACA1805-2717-4B9D-8EA7-AAFFDCDF2818}</author>
    <author>tc={E251662F-3503-4EA1-ADAE-A53A9DADEA2B}</author>
  </authors>
  <commentList>
    <comment ref="I21" authorId="0" shapeId="0" xr:uid="{83DFA396-2BA4-47FE-B985-AB87D633B89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6E23FF5-E6FC-49B3-A9CD-A71AA18A4C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ACA1805-2717-4B9D-8EA7-AAFFDCDF281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251662F-3503-4EA1-ADAE-A53A9DADEA2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tc={57A1F144-2752-4714-9204-3948F48ED185}</author>
    <author>tc={C8EAACA1-3E3C-4699-9801-8724B6E0FCE6}</author>
    <author>tc={472A3306-F485-4E6A-BE2D-882F9ECFBF97}</author>
    <author>tc={17B89240-E478-44FB-A67C-A3EE484366FF}</author>
  </authors>
  <commentList>
    <comment ref="I21" authorId="0" shapeId="0" xr:uid="{57A1F144-2752-4714-9204-3948F48ED18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8EAACA1-3E3C-4699-9801-8724B6E0FCE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72A3306-F485-4E6A-BE2D-882F9ECFBF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17B89240-E478-44FB-A67C-A3EE484366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tc={283C507D-B585-41F8-ADC3-54CCC0A2A265}</author>
    <author>tc={B8ACF261-576D-4E84-A6A9-EFB40BD60A9D}</author>
    <author>tc={EFFAE571-20A0-42F9-A874-60F9F5D975DF}</author>
    <author>tc={858DBAB1-6E1D-4830-8D55-B9CBC52AE8F3}</author>
  </authors>
  <commentList>
    <comment ref="I21" authorId="0" shapeId="0" xr:uid="{283C507D-B585-41F8-ADC3-54CCC0A2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8ACF261-576D-4E84-A6A9-EFB40BD60A9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FFAE571-20A0-42F9-A874-60F9F5D975D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58DBAB1-6E1D-4830-8D55-B9CBC52AE8F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tc={CD68B243-B7CA-4749-B88D-9E86E4B6068B}</author>
    <author>tc={C05704B7-CF47-4AD3-A89F-310CF2FC0945}</author>
    <author>tc={638E193F-DD28-49F7-A15C-702DE75D40BD}</author>
    <author>tc={D9CBC7A1-C3A1-4FEE-9CD2-369FEC39553F}</author>
  </authors>
  <commentList>
    <comment ref="I21" authorId="0" shapeId="0" xr:uid="{CD68B243-B7CA-4749-B88D-9E86E4B6068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05704B7-CF47-4AD3-A89F-310CF2FC094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38E193F-DD28-49F7-A15C-702DE75D40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9CBC7A1-C3A1-4FEE-9CD2-369FEC39553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tc={B81E9ACF-7511-4641-B6F6-0A1B478C9E90}</author>
    <author>tc={BE061608-66E2-4241-9183-187EFEF67B0A}</author>
    <author>tc={333D53E4-CC74-475C-91DC-83EE2AD1175A}</author>
    <author>tc={48AFDFC2-76E5-4788-9F9B-FEF9591C8FD7}</author>
  </authors>
  <commentList>
    <comment ref="I21" authorId="0" shapeId="0" xr:uid="{B81E9ACF-7511-4641-B6F6-0A1B478C9E9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E061608-66E2-4241-9183-187EFEF67B0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33D53E4-CC74-475C-91DC-83EE2AD1175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8AFDFC2-76E5-4788-9F9B-FEF9591C8F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tc={5F726C94-8058-4575-A6A8-878B51B8250E}</author>
    <author>tc={F592A1ED-48D9-4568-B0F3-AE21791C8E4B}</author>
    <author>tc={839850E0-8065-45B3-BFE7-14E6CFEEEF7A}</author>
    <author>tc={7ED8CA7D-D260-4F65-807B-6DC7B01697F2}</author>
  </authors>
  <commentList>
    <comment ref="I21" authorId="0" shapeId="0" xr:uid="{5F726C94-8058-4575-A6A8-878B51B8250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592A1ED-48D9-4568-B0F3-AE21791C8E4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39850E0-8065-45B3-BFE7-14E6CFEEEF7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ED8CA7D-D260-4F65-807B-6DC7B01697F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tc={938D8BF8-74D7-4476-8D9E-8BDBEDEE1C3C}</author>
    <author>tc={3586A542-550B-4ED9-B4B3-74A2F38AE0D1}</author>
    <author>tc={DFA39A4D-D73E-4C98-9246-4ADA13BC0B1A}</author>
    <author>tc={77A414A0-575B-4098-A763-14528D361383}</author>
  </authors>
  <commentList>
    <comment ref="I21" authorId="0" shapeId="0" xr:uid="{938D8BF8-74D7-4476-8D9E-8BDBEDEE1C3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586A542-550B-4ED9-B4B3-74A2F38AE0D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DFA39A4D-D73E-4C98-9246-4ADA13BC0B1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7A414A0-575B-4098-A763-14528D36138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tc={946D6942-3C75-427E-B5DC-9270C38E945D}</author>
    <author>tc={CA26CECF-9DAF-48D1-BD23-F4F019BA4B44}</author>
    <author>tc={7F79A31C-37AD-4241-AFA9-B12DAC4103C5}</author>
    <author>tc={AE4A6588-4B83-4918-B462-A2FA6A6CFD75}</author>
  </authors>
  <commentList>
    <comment ref="I21" authorId="0" shapeId="0" xr:uid="{946D6942-3C75-427E-B5DC-9270C38E945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A26CECF-9DAF-48D1-BD23-F4F019BA4B4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F79A31C-37AD-4241-AFA9-B12DAC4103C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E4A6588-4B83-4918-B462-A2FA6A6CFD7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tc={35F618F9-6F34-4639-9D0A-247F20BA4167}</author>
    <author>tc={E6645337-C481-4B70-95DD-A992D75A21F7}</author>
    <author>tc={F7593077-1358-4E48-A090-1DEB9C07AFDA}</author>
    <author>tc={EAE84711-4572-4F65-9D1A-8A078D4EBA4B}</author>
  </authors>
  <commentList>
    <comment ref="I21" authorId="0" shapeId="0" xr:uid="{35F618F9-6F34-4639-9D0A-247F20BA416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6645337-C481-4B70-95DD-A992D75A21F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7593077-1358-4E48-A090-1DEB9C07AFD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AE84711-4572-4F65-9D1A-8A078D4EBA4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tc={4A39B292-E1D1-45EF-989B-E7E463501122}</author>
    <author>tc={71C17F39-7F4F-4555-9C06-AA1729ABC16C}</author>
    <author>tc={37606DD9-FC86-4346-85F8-3539533F9124}</author>
    <author>tc={394E1D93-9250-43D4-9D7E-432F4DBFECC1}</author>
  </authors>
  <commentList>
    <comment ref="I21" authorId="0" shapeId="0" xr:uid="{4A39B292-E1D1-45EF-989B-E7E46350112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1C17F39-7F4F-4555-9C06-AA1729ABC16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7606DD9-FC86-4346-85F8-3539533F912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94E1D93-9250-43D4-9D7E-432F4DBFECC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tc={6B062C02-8101-4994-B40D-2293E27E4F01}</author>
    <author>tc={141A499A-BF6C-4EF4-943E-DF1771BA878B}</author>
    <author>tc={9CC842A9-0B4C-4124-8FB3-4FDA81DCBEA6}</author>
    <author>tc={302E6865-85AF-4E71-BF8E-B76428B1816F}</author>
  </authors>
  <commentList>
    <comment ref="I21" authorId="0" shapeId="0" xr:uid="{6B062C02-8101-4994-B40D-2293E27E4F0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41A499A-BF6C-4EF4-943E-DF1771BA878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CC842A9-0B4C-4124-8FB3-4FDA81DCBE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02E6865-85AF-4E71-BF8E-B76428B1816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tc={06F973D0-DA5C-4770-A51F-D6960D420CF1}</author>
    <author>tc={73511C94-CECC-4C32-ABE0-481B099199B3}</author>
    <author>tc={8F3EDC95-5C8D-4811-AA63-FC9C5C8A1CA4}</author>
    <author>tc={E8528D79-EFAA-4595-85B4-CBF9C0DCD70B}</author>
  </authors>
  <commentList>
    <comment ref="I21" authorId="0" shapeId="0" xr:uid="{06F973D0-DA5C-4770-A51F-D6960D420CF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3511C94-CECC-4C32-ABE0-481B099199B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F3EDC95-5C8D-4811-AA63-FC9C5C8A1CA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8528D79-EFAA-4595-85B4-CBF9C0DCD70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tc={45DCC2EC-CBE5-49E0-9E98-27247B347D64}</author>
    <author>tc={0E3F4F6F-5BE1-45DB-907C-0F735AE9AEAE}</author>
    <author>tc={724A825B-CA32-4BB6-9B20-8FC7E38B6435}</author>
    <author>tc={05A33B0A-FE6B-4F1D-8711-47F1BE4E890F}</author>
  </authors>
  <commentList>
    <comment ref="I21" authorId="0" shapeId="0" xr:uid="{45DCC2EC-CBE5-49E0-9E98-27247B347D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E3F4F6F-5BE1-45DB-907C-0F735AE9AE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24A825B-CA32-4BB6-9B20-8FC7E38B643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5A33B0A-FE6B-4F1D-8711-47F1BE4E890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tc={7AC63E59-06FB-446C-AFA8-2EB0FEE69825}</author>
    <author>tc={EBC9E74B-DA49-4BE9-969F-74DC9A1AEDCB}</author>
    <author>tc={B72AA77F-A616-4852-A889-BD638A8BB5DE}</author>
    <author>tc={D598CD87-A1D7-4C79-9718-3709B63A6F7E}</author>
  </authors>
  <commentList>
    <comment ref="I21" authorId="0" shapeId="0" xr:uid="{7AC63E59-06FB-446C-AFA8-2EB0FEE6982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BC9E74B-DA49-4BE9-969F-74DC9A1AEDC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B72AA77F-A616-4852-A889-BD638A8BB5D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598CD87-A1D7-4C79-9718-3709B63A6F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tc={EADA1501-E324-4511-A27E-F14D36A03CD4}</author>
    <author>tc={AE1B7846-9BBA-4CB4-95DD-61362E99C32D}</author>
    <author>tc={DD3E855E-062C-46E3-8A43-184266E7A0B9}</author>
    <author>tc={782596C5-C949-4893-A472-3D878C333783}</author>
  </authors>
  <commentList>
    <comment ref="B15" authorId="0" shapeId="0" xr:uid="{583AC9E4-44F0-44A1-B7DB-7397A0A98713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8k would go to installing separate water meters</t>
        </r>
      </text>
    </comment>
    <comment ref="I21" authorId="1" shapeId="0" xr:uid="{EADA1501-E324-4511-A27E-F14D36A03CD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2" shapeId="0" xr:uid="{AE1B7846-9BBA-4CB4-95DD-61362E99C32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3" shapeId="0" xr:uid="{DD3E855E-062C-46E3-8A43-184266E7A0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4" shapeId="0" xr:uid="{782596C5-C949-4893-A472-3D878C33378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tc={70E1E793-0DA8-4D8C-865C-AF1AC991EB1E}</author>
    <author>tc={75520839-EB38-4314-AE1E-72A2A612F715}</author>
    <author>tc={2F1F7833-67B1-4106-921A-672990F0AB98}</author>
    <author>tc={496113A7-E94D-42DE-8BBE-4B1A2C3242D2}</author>
  </authors>
  <commentList>
    <comment ref="B15" authorId="0" shapeId="0" xr:uid="{A19F2D9E-0D7B-48C9-A5C2-3FE63195DB65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16k goes to separating water meters … 48k goes to renovating units (floor, kitchen)</t>
        </r>
      </text>
    </comment>
    <comment ref="I21" authorId="1" shapeId="0" xr:uid="{70E1E793-0DA8-4D8C-865C-AF1AC991EB1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2" shapeId="0" xr:uid="{75520839-EB38-4314-AE1E-72A2A612F71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3" shapeId="0" xr:uid="{2F1F7833-67B1-4106-921A-672990F0AB9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4" shapeId="0" xr:uid="{496113A7-E94D-42DE-8BBE-4B1A2C3242D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tc={CE010554-0F59-42AA-B842-9D65BA10941F}</author>
    <author>tc={1F5E6A24-ED9B-453A-B39E-FBF4B7AA35AE}</author>
    <author>tc={654D493D-7D7A-4CBA-BEBC-7A7FE2228CA5}</author>
    <author>tc={3281C259-5E52-4DAB-9DF7-62505ABDB13B}</author>
  </authors>
  <commentList>
    <comment ref="I21" authorId="0" shapeId="0" xr:uid="{CE010554-0F59-42AA-B842-9D65BA10941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F5E6A24-ED9B-453A-B39E-FBF4B7AA35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54D493D-7D7A-4CBA-BEBC-7A7FE2228C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281C259-5E52-4DAB-9DF7-62505ABDB13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tc={F071F6D1-F130-481D-99A2-30C0EAD0FDD7}</author>
    <author>tc={BFAFE745-1049-4984-89B5-99F5D2DD476C}</author>
    <author>tc={44323A73-6C84-4272-A7CD-5763598D1F38}</author>
    <author>tc={AC4382FB-50A1-4AF6-9109-344553CCB13E}</author>
  </authors>
  <commentList>
    <comment ref="I21" authorId="0" shapeId="0" xr:uid="{F071F6D1-F130-481D-99A2-30C0EAD0FD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FAFE745-1049-4984-89B5-99F5D2DD476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4323A73-6C84-4272-A7CD-5763598D1F3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C4382FB-50A1-4AF6-9109-344553CCB1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tc={5B280B22-EE10-4726-811E-9416F655343D}</author>
    <author>tc={4AF5BE94-5CD9-4038-9AE4-19F46163B333}</author>
    <author>tc={FA139AFD-C7AD-45F3-9656-795A72F32E72}</author>
    <author>tc={7C46F77D-D6FD-4D2C-BFCB-8B2BDBA43A6D}</author>
  </authors>
  <commentList>
    <comment ref="I21" authorId="0" shapeId="0" xr:uid="{5B280B22-EE10-4726-811E-9416F655343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AF5BE94-5CD9-4038-9AE4-19F46163B33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A139AFD-C7AD-45F3-9656-795A72F32E7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C46F77D-D6FD-4D2C-BFCB-8B2BDBA43A6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tc={C48D84AB-5ACA-4535-9ADC-81407F472A8E}</author>
    <author>tc={584A1AE9-B790-4457-8B75-8D6899646364}</author>
    <author>tc={7A8DDD2F-0030-41F4-BF3B-AB03D2F8D091}</author>
    <author>tc={41BAEA4F-72DA-4CDA-98F1-C9785ECD4B1B}</author>
  </authors>
  <commentList>
    <comment ref="I21" authorId="0" shapeId="0" xr:uid="{C48D84AB-5ACA-4535-9ADC-81407F472A8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84A1AE9-B790-4457-8B75-8D68996463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A8DDD2F-0030-41F4-BF3B-AB03D2F8D09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1BAEA4F-72DA-4CDA-98F1-C9785ECD4B1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tc={1AE28FB0-E850-449B-AC4F-51DDC9A64EA5}</author>
    <author>tc={E28CA59E-0C83-4AC7-BC51-1D1628FBE398}</author>
    <author>tc={C32E8778-45D3-4D02-A2EB-C9BD63B006DB}</author>
    <author>tc={212AF259-4680-417B-88C4-801FD450D236}</author>
  </authors>
  <commentList>
    <comment ref="I21" authorId="0" shapeId="0" xr:uid="{1AE28FB0-E850-449B-AC4F-51DDC9A64E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28CA59E-0C83-4AC7-BC51-1D1628FBE39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32E8778-45D3-4D02-A2EB-C9BD63B006D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12AF259-4680-417B-88C4-801FD450D23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tc={594050C0-C9F8-46AE-9BF1-58EDE32E55B9}</author>
    <author>tc={33E95352-C9CD-474B-B501-459E4AFDB0F0}</author>
    <author>tc={43133987-F4A7-4FD4-BDC1-A5685F58C1F7}</author>
    <author>tc={5FFFE4B2-CFBC-4C68-95B1-216AE16437B6}</author>
  </authors>
  <commentList>
    <comment ref="I21" authorId="0" shapeId="0" xr:uid="{594050C0-C9F8-46AE-9BF1-58EDE32E55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3E95352-C9CD-474B-B501-459E4AFDB0F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3133987-F4A7-4FD4-BDC1-A5685F58C1F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FFFE4B2-CFBC-4C68-95B1-216AE16437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tc={E7C7CDEC-0EAA-4E4B-A49D-9B9503AEBA61}</author>
    <author>tc={FDA21D0B-565A-4C88-81D9-DE920419A485}</author>
    <author>tc={C395F14E-7020-4236-B933-EECADF7EB652}</author>
    <author>tc={BBA882E8-5A89-47A0-8E2A-374BD5A7D759}</author>
  </authors>
  <commentList>
    <comment ref="I21" authorId="0" shapeId="0" xr:uid="{E7C7CDEC-0EAA-4E4B-A49D-9B9503AEBA6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DA21D0B-565A-4C88-81D9-DE920419A48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395F14E-7020-4236-B933-EECADF7EB65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BA882E8-5A89-47A0-8E2A-374BD5A7D7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tc={63734934-B6F2-4910-84DE-61966C088670}</author>
    <author>tc={4C63830D-E418-403F-87D3-268D1BE421A4}</author>
    <author>tc={6F53F1CD-F238-42A9-9F32-B21898554A5E}</author>
    <author>tc={8CA888CA-7A2D-44E4-945C-F05BB0C5035B}</author>
  </authors>
  <commentList>
    <comment ref="I21" authorId="0" shapeId="0" xr:uid="{63734934-B6F2-4910-84DE-61966C08867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C63830D-E418-403F-87D3-268D1BE421A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F53F1CD-F238-42A9-9F32-B21898554A5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CA888CA-7A2D-44E4-945C-F05BB0C5035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tc={16798178-23E8-47C8-8EC7-BEB19AD78D7C}</author>
    <author>tc={6E391B0D-EC08-473B-B7AC-EFC833CD902E}</author>
    <author>tc={A7725CA7-1CE6-4DFE-A030-646D625DAB9D}</author>
    <author>tc={9FC199C7-F287-4756-BED4-BD91A5A86F21}</author>
  </authors>
  <commentList>
    <comment ref="I21" authorId="0" shapeId="0" xr:uid="{16798178-23E8-47C8-8EC7-BEB19AD78D7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E391B0D-EC08-473B-B7AC-EFC833CD902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7725CA7-1CE6-4DFE-A030-646D625DAB9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FC199C7-F287-4756-BED4-BD91A5A86F2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tc={AD662296-9F71-474A-AC75-256D185DED0C}</author>
    <author>tc={AC96E524-9552-4B00-9064-1CAD914868DF}</author>
    <author>tc={121F145A-C93E-465C-B81E-AD80F98F824D}</author>
    <author>tc={D64F9CE4-8733-4E32-AB8D-68B7BC3CBB44}</author>
  </authors>
  <commentList>
    <comment ref="I21" authorId="0" shapeId="0" xr:uid="{AD662296-9F71-474A-AC75-256D185DED0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AC96E524-9552-4B00-9064-1CAD914868D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21F145A-C93E-465C-B81E-AD80F98F82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64F9CE4-8733-4E32-AB8D-68B7BC3CBB4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tc={2265F70C-8E4D-4D64-B6E1-00994E2746E6}</author>
    <author>tc={57C06224-F8C3-4D78-91BC-E7005AC9C836}</author>
    <author>tc={9DE0EBCD-063D-4884-B04F-D90D0C834658}</author>
    <author>tc={D12ACA2E-66A0-4770-8265-A2A2F4D1D96E}</author>
  </authors>
  <commentList>
    <comment ref="I21" authorId="0" shapeId="0" xr:uid="{2265F70C-8E4D-4D64-B6E1-00994E2746E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7C06224-F8C3-4D78-91BC-E7005AC9C83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DE0EBCD-063D-4884-B04F-D90D0C83465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12ACA2E-66A0-4770-8265-A2A2F4D1D96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tc={304BFED5-6659-4C8B-A02F-DE518C650192}</author>
    <author>tc={96AF346E-18DE-46B9-A498-9D69FE39917A}</author>
    <author>tc={546A751B-50E8-4052-93E4-33E6414D4D12}</author>
    <author>tc={3FAC5DEB-DDCF-4D3D-829C-54C3DC2C9D03}</author>
  </authors>
  <commentList>
    <comment ref="I21" authorId="0" shapeId="0" xr:uid="{304BFED5-6659-4C8B-A02F-DE518C65019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6AF346E-18DE-46B9-A498-9D69FE39917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46A751B-50E8-4052-93E4-33E6414D4D1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FAC5DEB-DDCF-4D3D-829C-54C3DC2C9D0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tc={FDD691D2-E4C7-4188-9868-C36810A0919B}</author>
    <author>tc={952628F0-38A0-4FBD-AE38-65BFC7737F3A}</author>
    <author>tc={32BA371D-2D4F-478B-8A36-604AD77DD522}</author>
    <author>tc={3D0EC1C2-ABE6-4CF4-A601-2AE883073871}</author>
  </authors>
  <commentList>
    <comment ref="I21" authorId="0" shapeId="0" xr:uid="{FDD691D2-E4C7-4188-9868-C36810A0919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52628F0-38A0-4FBD-AE38-65BFC7737F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2BA371D-2D4F-478B-8A36-604AD77DD52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3D0EC1C2-ABE6-4CF4-A601-2AE88307387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tc={B6BA1919-92B2-47FD-9768-AD7659267032}</author>
    <author>tc={80A533A6-F332-4CEC-A9D0-7045B5C1B53A}</author>
    <author>tc={C4ACB34E-10E2-450A-B651-CF6B622E5F95}</author>
    <author>tc={AF471988-1F9A-410A-934C-2FC869490F0A}</author>
  </authors>
  <commentList>
    <comment ref="I21" authorId="0" shapeId="0" xr:uid="{B6BA1919-92B2-47FD-9768-AD765926703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0A533A6-F332-4CEC-A9D0-7045B5C1B5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4ACB34E-10E2-450A-B651-CF6B622E5F9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F471988-1F9A-410A-934C-2FC869490F0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tc={1EAAB561-C92C-42AE-A20A-36EA0C356785}</author>
    <author>tc={453C8063-2D68-43C4-AA81-21F61223740F}</author>
    <author>tc={199DFE9D-5FE0-43DF-81EE-D213897A2B03}</author>
    <author>tc={CE7CB67C-9D84-4E4F-B5B3-DBEC7061C7E8}</author>
  </authors>
  <commentList>
    <comment ref="I21" authorId="0" shapeId="0" xr:uid="{1EAAB561-C92C-42AE-A20A-36EA0C35678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53C8063-2D68-43C4-AA81-21F61223740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99DFE9D-5FE0-43DF-81EE-D213897A2B0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CE7CB67C-9D84-4E4F-B5B3-DBEC7061C7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tc={B73F3092-92C6-4EC2-8D72-0B5CD6927504}</author>
    <author>tc={11AA1911-4F8C-4BE9-A515-2A15A75EB133}</author>
    <author>tc={9A9B6A73-A0DA-4244-AB52-F85860495B1E}</author>
    <author>tc={84C66A09-0F43-4F20-B34D-A7EAAC0C3F9C}</author>
  </authors>
  <commentList>
    <comment ref="I21" authorId="0" shapeId="0" xr:uid="{B73F3092-92C6-4EC2-8D72-0B5CD692750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1AA1911-4F8C-4BE9-A515-2A15A75EB13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A9B6A73-A0DA-4244-AB52-F85860495B1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4C66A09-0F43-4F20-B34D-A7EAAC0C3F9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tc={D17A6362-0F9A-4EFE-8C33-E433D6198119}</author>
    <author>tc={5B01F807-F28D-41BB-AB61-5D1FA25542B1}</author>
    <author>tc={BEBA4DE3-C1C2-4F58-B7D3-8BBF846EDADA}</author>
    <author>tc={996C7E50-CFD7-47B6-9EDB-CFD1DEE205BF}</author>
  </authors>
  <commentList>
    <comment ref="I21" authorId="0" shapeId="0" xr:uid="{D17A6362-0F9A-4EFE-8C33-E433D619811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B01F807-F28D-41BB-AB61-5D1FA25542B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BEBA4DE3-C1C2-4F58-B7D3-8BBF846EDAD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96C7E50-CFD7-47B6-9EDB-CFD1DEE205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tc={FE8E72C1-3C1D-4077-8DFA-DF83ED1F0044}</author>
    <author>tc={9A3ED146-0CF8-422B-B65A-11A2B5C36E11}</author>
    <author>tc={CCAF792F-32B3-4EAC-9E64-8D88169742E8}</author>
    <author>tc={2346EAA3-C632-4963-A4FA-746A3DC1E5C9}</author>
  </authors>
  <commentList>
    <comment ref="I21" authorId="0" shapeId="0" xr:uid="{FE8E72C1-3C1D-4077-8DFA-DF83ED1F004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A3ED146-0CF8-422B-B65A-11A2B5C36E1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CAF792F-32B3-4EAC-9E64-8D88169742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346EAA3-C632-4963-A4FA-746A3DC1E5C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tc={42542738-F1B9-4FC9-98FA-1EE9A863EC34}</author>
    <author>tc={465AAEEE-6D4C-4CF7-AD63-DE2A682E1F3F}</author>
    <author>tc={21EF96DB-51FE-46DA-984E-C656FD31AB52}</author>
    <author>tc={62A1869B-AD62-4A8C-97DB-A59CFF1478D8}</author>
  </authors>
  <commentList>
    <comment ref="I21" authorId="0" shapeId="0" xr:uid="{42542738-F1B9-4FC9-98FA-1EE9A863EC3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65AAEEE-6D4C-4CF7-AD63-DE2A682E1F3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1EF96DB-51FE-46DA-984E-C656FD31AB5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2A1869B-AD62-4A8C-97DB-A59CFF1478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tc={8C658CEF-913E-45D6-9033-186EFFF3C86E}</author>
    <author>tc={6C3C38F4-6FA2-444D-9D60-AB73FC0582CE}</author>
    <author>tc={FC411494-FEC8-40B5-B346-DCA32B3091EB}</author>
    <author>tc={86BDFC94-6CE0-4690-8E91-BEB48EF3C597}</author>
  </authors>
  <commentList>
    <comment ref="I21" authorId="0" shapeId="0" xr:uid="{8C658CEF-913E-45D6-9033-186EFFF3C86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C3C38F4-6FA2-444D-9D60-AB73FC0582C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C411494-FEC8-40B5-B346-DCA32B3091E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6BDFC94-6CE0-4690-8E91-BEB48EF3C5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tc={C784A398-BC06-4DBE-9647-121EBA2C8968}</author>
    <author>tc={6E63906E-92ED-42CB-B511-F7D80C74DA0A}</author>
    <author>tc={C8CBDAFE-5939-4B72-8F44-EE0A382EA6AE}</author>
    <author>tc={24EF7D71-A146-43A3-A869-FF4077676D08}</author>
  </authors>
  <commentList>
    <comment ref="I21" authorId="0" shapeId="0" xr:uid="{C784A398-BC06-4DBE-9647-121EBA2C896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E63906E-92ED-42CB-B511-F7D80C74DA0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8CBDAFE-5939-4B72-8F44-EE0A382EA6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4EF7D71-A146-43A3-A869-FF4077676D0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tc={99161066-91DB-4424-A224-DD5E87B0880E}</author>
    <author>tc={2F25EE4E-E1A9-49CB-B2A7-9E5E899F99CF}</author>
    <author>tc={F07DDD48-8F73-42E0-862C-6B2ED1785E9E}</author>
    <author>tc={69B647BC-1CB8-40D7-BFBC-7D2BFE24C5AC}</author>
  </authors>
  <commentList>
    <comment ref="I21" authorId="0" shapeId="0" xr:uid="{99161066-91DB-4424-A224-DD5E87B0880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2F25EE4E-E1A9-49CB-B2A7-9E5E899F99C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07DDD48-8F73-42E0-862C-6B2ED1785E9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9B647BC-1CB8-40D7-BFBC-7D2BFE24C5A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tc={E2FD4A4E-C847-4143-AB69-64406F17DA36}</author>
    <author>tc={5470888F-1262-4807-BEF3-56D499404D58}</author>
    <author>tc={2DD0C146-121D-4460-9483-E891FC441916}</author>
    <author>tc={1CBE3AFB-E882-4E34-BF3F-4DEC62285F98}</author>
  </authors>
  <commentList>
    <comment ref="I21" authorId="0" shapeId="0" xr:uid="{E2FD4A4E-C847-4143-AB69-64406F17DA3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470888F-1262-4807-BEF3-56D499404D5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DD0C146-121D-4460-9483-E891FC4419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1CBE3AFB-E882-4E34-BF3F-4DEC62285F9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tc={3EFB8DE7-21DF-4209-A60D-3A3FA9367E5B}</author>
    <author>tc={7E4EF8B4-BB8F-46C6-9766-33541D2E2D2E}</author>
    <author>tc={3F9213BE-D237-4F1F-A967-A7DFF80FE84F}</author>
    <author>tc={7A6DD25A-4597-439E-B209-3964D126FD6B}</author>
  </authors>
  <commentList>
    <comment ref="I21" authorId="0" shapeId="0" xr:uid="{3EFB8DE7-21DF-4209-A60D-3A3FA9367E5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E4EF8B4-BB8F-46C6-9766-33541D2E2D2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F9213BE-D237-4F1F-A967-A7DFF80FE84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A6DD25A-4597-439E-B209-3964D126FD6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tc={2AF061DB-AE97-42D7-BAE8-DF27489B8E00}</author>
    <author>tc={509C0249-CD91-4760-95BD-B87FCD1EE943}</author>
    <author>tc={4A140EAA-945C-4FB0-A516-A3BF9E60AE78}</author>
    <author>tc={96DAA17E-CB55-4AF0-9578-6ECE42C1C073}</author>
  </authors>
  <commentList>
    <comment ref="I21" authorId="0" shapeId="0" xr:uid="{2AF061DB-AE97-42D7-BAE8-DF27489B8E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09C0249-CD91-4760-95BD-B87FCD1EE94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A140EAA-945C-4FB0-A516-A3BF9E60AE7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6DAA17E-CB55-4AF0-9578-6ECE42C1C07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tc={0FBD2A7F-3E4B-48C6-8201-E8AA4E5E805D}</author>
    <author>tc={80F66BDD-7A1B-46FF-A16F-EAF4DA4A57ED}</author>
    <author>tc={53E1B003-CE31-45BB-BA84-A5C33C84CA81}</author>
    <author>tc={9B624E87-F83B-440B-80CD-1AA8DBFBFC4E}</author>
  </authors>
  <commentList>
    <comment ref="I21" authorId="0" shapeId="0" xr:uid="{0FBD2A7F-3E4B-48C6-8201-E8AA4E5E805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0F66BDD-7A1B-46FF-A16F-EAF4DA4A57E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3E1B003-CE31-45BB-BA84-A5C33C84CA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B624E87-F83B-440B-80CD-1AA8DBFBFC4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tc={AE5B7963-7820-4D2C-AF7C-6779F821D7CA}</author>
    <author>tc={122E0181-547F-4EA2-B60D-D9E30DD50CE6}</author>
    <author>tc={050C920A-1A15-4197-BC0A-6B4488E37100}</author>
    <author>tc={745C0EA1-8D08-480D-927D-1A5FBD6B2B02}</author>
  </authors>
  <commentList>
    <comment ref="I21" authorId="0" shapeId="0" xr:uid="{AE5B7963-7820-4D2C-AF7C-6779F821D7C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22E0181-547F-4EA2-B60D-D9E30DD50CE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50C920A-1A15-4197-BC0A-6B4488E371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45C0EA1-8D08-480D-927D-1A5FBD6B2B0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tc={6E23AED6-01E0-4B4C-ADB7-389C8F916428}</author>
    <author>tc={809B5FA9-9B47-4EBE-BEC6-26B754D43B08}</author>
    <author>tc={6CEAFE29-64F9-470B-95E8-78BC2F4DCC8B}</author>
    <author>tc={F86B9E18-3F7C-4ED7-A581-29F4E203B593}</author>
  </authors>
  <commentList>
    <comment ref="I21" authorId="0" shapeId="0" xr:uid="{6E23AED6-01E0-4B4C-ADB7-389C8F91642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09B5FA9-9B47-4EBE-BEC6-26B754D43B0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CEAFE29-64F9-470B-95E8-78BC2F4DCC8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86B9E18-3F7C-4ED7-A581-29F4E203B59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tc={1CDFCD41-5616-485E-BEC0-57E9FBD491C9}</author>
    <author>tc={F79F482B-3958-425B-92F0-E0F403807E5A}</author>
    <author>tc={C65C04B2-5239-4F50-8D01-D66D886CA2AB}</author>
    <author>tc={E8B2C60B-7758-4164-82E4-F211DFEDE850}</author>
  </authors>
  <commentList>
    <comment ref="I21" authorId="0" shapeId="0" xr:uid="{1CDFCD41-5616-485E-BEC0-57E9FBD491C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79F482B-3958-425B-92F0-E0F403807E5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65C04B2-5239-4F50-8D01-D66D886CA2A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8B2C60B-7758-4164-82E4-F211DFEDE85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tc={AE6C450E-CB0E-4709-9402-42C60282483A}</author>
    <author>tc={1574E030-6528-480F-A36A-648B0BAA6F3A}</author>
    <author>tc={7E314F70-21E5-44D2-B5D6-89616BE45D24}</author>
    <author>tc={515EED3C-D85D-4AFC-A272-41C607DE05B7}</author>
  </authors>
  <commentList>
    <comment ref="I21" authorId="0" shapeId="0" xr:uid="{AE6C450E-CB0E-4709-9402-42C6028248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574E030-6528-480F-A36A-648B0BAA6F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E314F70-21E5-44D2-B5D6-89616BE45D2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15EED3C-D85D-4AFC-A272-41C607DE05B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tc={2FE73668-DDED-4D18-A04F-F72123E15B01}</author>
    <author>tc={E1710DA3-33F4-4A1C-B09E-308E23D01C43}</author>
    <author>tc={C066A1BE-1579-4A71-B8F5-5F895B2F5641}</author>
    <author>tc={BAEC9EB9-B153-4FC1-8868-C7FFDEF20816}</author>
  </authors>
  <commentList>
    <comment ref="I21" authorId="0" shapeId="0" xr:uid="{2FE73668-DDED-4D18-A04F-F72123E15B0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1710DA3-33F4-4A1C-B09E-308E23D01C4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066A1BE-1579-4A71-B8F5-5F895B2F564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AEC9EB9-B153-4FC1-8868-C7FFDEF208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tc={2FD99793-D011-4C96-A8F3-C62A136D7CE3}</author>
    <author>tc={F119BACE-04E8-4CB8-B0F6-69D283B63475}</author>
    <author>tc={1885624B-56CA-43AB-A420-AA366086B170}</author>
    <author>tc={BEB84577-1529-4EB5-8008-73E3DE4CDF4D}</author>
  </authors>
  <commentList>
    <comment ref="I21" authorId="0" shapeId="0" xr:uid="{2FD99793-D011-4C96-A8F3-C62A136D7CE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119BACE-04E8-4CB8-B0F6-69D283B6347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885624B-56CA-43AB-A420-AA366086B17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EB84577-1529-4EB5-8008-73E3DE4CDF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tc={4744DA5C-E180-4304-9E18-DD40CEA216FA}</author>
    <author>tc={9659BB26-3F12-4D18-975A-8C725E59FE65}</author>
    <author>tc={9DA720CA-13B3-4852-8DB4-A228FC6D75E3}</author>
    <author>tc={656F5C98-857F-415E-9ACD-A31D97FF5F00}</author>
  </authors>
  <commentList>
    <comment ref="I21" authorId="0" shapeId="0" xr:uid="{4744DA5C-E180-4304-9E18-DD40CEA216F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659BB26-3F12-4D18-975A-8C725E59FE6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DA720CA-13B3-4852-8DB4-A228FC6D75E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56F5C98-857F-415E-9ACD-A31D97FF5F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tc={DF6212D4-0ABA-42F7-BB6F-94C814411D1D}</author>
    <author>tc={4D0E7B3D-DE2F-4E68-9D9F-E959C78E12A5}</author>
    <author>tc={AA557206-664E-40B7-A838-5E78D43D4DA3}</author>
    <author>tc={53050F08-73E2-4159-92EF-3E100C1895BD}</author>
  </authors>
  <commentList>
    <comment ref="I21" authorId="0" shapeId="0" xr:uid="{DF6212D4-0ABA-42F7-BB6F-94C814411D1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D0E7B3D-DE2F-4E68-9D9F-E959C78E12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A557206-664E-40B7-A838-5E78D43D4DA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3050F08-73E2-4159-92EF-3E100C1895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tc={78A0C7EA-6B09-4CE3-9272-0A7CC63D0509}</author>
    <author>tc={9036A720-A51E-4E31-B3CC-85D11870447B}</author>
    <author>tc={F369FE60-5FE7-4737-B05F-1BEEB24395E8}</author>
    <author>tc={D771130E-AE3A-4152-B126-C7D7759D94A6}</author>
  </authors>
  <commentList>
    <comment ref="I21" authorId="0" shapeId="0" xr:uid="{78A0C7EA-6B09-4CE3-9272-0A7CC63D050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036A720-A51E-4E31-B3CC-85D11870447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369FE60-5FE7-4737-B05F-1BEEB24395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771130E-AE3A-4152-B126-C7D7759D94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tc={F372CB1C-FA01-4EB1-9933-F55BD85DA3D7}</author>
    <author>tc={D73D153C-3A3C-4526-B76C-F9B6D461EAC6}</author>
    <author>tc={15371DC5-7974-49BD-909B-4953F443ADC8}</author>
    <author>tc={72DED794-6584-4E6C-880D-83A833BAD0BC}</author>
  </authors>
  <commentList>
    <comment ref="I21" authorId="0" shapeId="0" xr:uid="{F372CB1C-FA01-4EB1-9933-F55BD85DA3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73D153C-3A3C-4526-B76C-F9B6D461EAC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5371DC5-7974-49BD-909B-4953F443ADC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2DED794-6584-4E6C-880D-83A833BAD0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tc={12AE105F-9DF0-42FE-9C11-96A322B10A97}</author>
    <author>tc={53BA9E28-7658-449B-B23C-83E2D1AF6071}</author>
    <author>tc={9CDDEA1B-008D-4727-811E-AF55F8184128}</author>
    <author>tc={5A1F0A51-1744-4F14-8BEA-DEFE506A6EE9}</author>
  </authors>
  <commentList>
    <comment ref="I21" authorId="0" shapeId="0" xr:uid="{12AE105F-9DF0-42FE-9C11-96A322B10A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3BA9E28-7658-449B-B23C-83E2D1AF607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CDDEA1B-008D-4727-811E-AF55F818412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A1F0A51-1744-4F14-8BEA-DEFE506A6EE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tc={47FD429B-B7FB-4BEC-8F56-75D6C9BF66C0}</author>
    <author>tc={1E963216-DA47-4B40-B813-10B697A1F28E}</author>
    <author>tc={1AD01715-5C40-4D3B-8BD0-EE26CE73FB2F}</author>
    <author>tc={618B7D16-DBD7-43AC-A58D-516AA84B31C4}</author>
  </authors>
  <commentList>
    <comment ref="I21" authorId="0" shapeId="0" xr:uid="{47FD429B-B7FB-4BEC-8F56-75D6C9BF66C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E963216-DA47-4B40-B813-10B697A1F28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AD01715-5C40-4D3B-8BD0-EE26CE73F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18B7D16-DBD7-43AC-A58D-516AA84B31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tc={E79B5DE1-44BD-4E67-8F28-FEAA4E3F4BC8}</author>
    <author>tc={C2112DDD-13DB-4883-A6B9-00A33880FB62}</author>
    <author>tc={1A5AE140-0FE3-4CD3-AF98-49BA433F6A0C}</author>
    <author>tc={9FFD9309-85D5-4064-8BF0-E116015CACC4}</author>
  </authors>
  <commentList>
    <comment ref="I21" authorId="0" shapeId="0" xr:uid="{E79B5DE1-44BD-4E67-8F28-FEAA4E3F4BC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2112DDD-13DB-4883-A6B9-00A33880FB6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A5AE140-0FE3-4CD3-AF98-49BA433F6A0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FFD9309-85D5-4064-8BF0-E116015CAC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tc={1B5C6B20-3603-410E-95DD-47F45FBB8BFC}</author>
    <author>tc={92CC0DFA-B48C-46DF-BB54-14BB0049D6DF}</author>
    <author>tc={26C9CDF8-5D5B-4E09-BF67-4E991F5B0547}</author>
    <author>tc={86C8E50B-5BC9-4BF2-9653-6FFD36F8DF6D}</author>
  </authors>
  <commentList>
    <comment ref="I21" authorId="0" shapeId="0" xr:uid="{1B5C6B20-3603-410E-95DD-47F45FBB8BF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2CC0DFA-B48C-46DF-BB54-14BB0049D6D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6C9CDF8-5D5B-4E09-BF67-4E991F5B054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6C8E50B-5BC9-4BF2-9653-6FFD36F8DF6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tc={EE7336CC-6AC0-4C0F-911E-3E26108E0A66}</author>
    <author>tc={768A0ADA-A00B-4B07-9ADA-F2B3D9016555}</author>
    <author>tc={C2815CEC-9533-4BDE-9F6E-2C82156EC5E1}</author>
    <author>tc={E2EE400D-67E6-4CDA-BCD9-1DE34D64AA32}</author>
  </authors>
  <commentList>
    <comment ref="I21" authorId="0" shapeId="0" xr:uid="{EE7336CC-6AC0-4C0F-911E-3E26108E0A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68A0ADA-A00B-4B07-9ADA-F2B3D901655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2815CEC-9533-4BDE-9F6E-2C82156EC5E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2EE400D-67E6-4CDA-BCD9-1DE34D64AA3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tc={C31A39C0-ED8B-4C58-961F-3F14852E117E}</author>
    <author>tc={4DE87FDB-2686-426D-8D53-C72BC0FE409A}</author>
    <author>tc={BA728017-F474-4A32-8E05-6C23D99C9474}</author>
    <author>tc={AC4397AA-DFBD-4421-9C1F-DA99ABAC59E0}</author>
  </authors>
  <commentList>
    <comment ref="I21" authorId="0" shapeId="0" xr:uid="{C31A39C0-ED8B-4C58-961F-3F14852E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DE87FDB-2686-426D-8D53-C72BC0FE409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BA728017-F474-4A32-8E05-6C23D99C947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C4397AA-DFBD-4421-9C1F-DA99ABAC59E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tc={FD1955C8-53BD-42CE-BDC7-EE548BBA3441}</author>
    <author>tc={122E4A79-16BE-40C5-A301-9551A117FF4C}</author>
    <author>tc={09E325D3-8F8A-4469-9833-60E8FC6599E8}</author>
    <author>tc={818C3140-EF44-4AD8-BB89-05C731AFBFD0}</author>
  </authors>
  <commentList>
    <comment ref="I21" authorId="0" shapeId="0" xr:uid="{FD1955C8-53BD-42CE-BDC7-EE548BBA344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22E4A79-16BE-40C5-A301-9551A117FF4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9E325D3-8F8A-4469-9833-60E8FC6599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18C3140-EF44-4AD8-BB89-05C731AFBFD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tc={5C47C40A-157C-4083-B6C9-DAA665A2862E}</author>
    <author>tc={4BD5B8CC-4D34-4F8D-A8D3-85FA41861F61}</author>
    <author>tc={0F766417-2D4A-4578-8C29-CC07AAB2BE9F}</author>
    <author>tc={8B565F59-4382-44E5-B252-FDD70CB69EB2}</author>
  </authors>
  <commentList>
    <comment ref="I21" authorId="0" shapeId="0" xr:uid="{5C47C40A-157C-4083-B6C9-DAA665A2862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BD5B8CC-4D34-4F8D-A8D3-85FA41861F6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F766417-2D4A-4578-8C29-CC07AAB2BE9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B565F59-4382-44E5-B252-FDD70CB69E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tc={11F35B81-9D23-44A4-B6CE-4FB467413DC1}</author>
    <author>tc={E28A7492-D2D1-4E6A-84A4-A39357ECB622}</author>
    <author>tc={A32B2546-878B-4273-9645-2F6B96CA0FB9}</author>
    <author>tc={08374582-C188-4FFB-8C46-286D1CF5FC4D}</author>
  </authors>
  <commentList>
    <comment ref="I21" authorId="0" shapeId="0" xr:uid="{11F35B81-9D23-44A4-B6CE-4FB467413DC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28A7492-D2D1-4E6A-84A4-A39357ECB62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32B2546-878B-4273-9645-2F6B96CA0F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8374582-C188-4FFB-8C46-286D1CF5FC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tc={669BACFA-E198-41B9-A499-BEE7C2943CFB}</author>
    <author>tc={3B99A19B-69FD-47AD-85CB-7C72A7E10E35}</author>
    <author>tc={E6A909D7-A9E5-4F00-A4AC-D9B7D53A7AD8}</author>
    <author>tc={CAF40100-FEDE-472F-9E13-E4837880B2BF}</author>
  </authors>
  <commentList>
    <comment ref="I21" authorId="0" shapeId="0" xr:uid="{669BACFA-E198-41B9-A499-BEE7C2943CF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B99A19B-69FD-47AD-85CB-7C72A7E10E3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6A909D7-A9E5-4F00-A4AC-D9B7D53A7A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CAF40100-FEDE-472F-9E13-E4837880B2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tc={5272235C-AFEC-4000-9C46-312B10CBD230}</author>
    <author>tc={722DBC9E-3345-4ADB-AC41-40A54A13D366}</author>
    <author>tc={77CD8494-90B7-4AB2-840A-6B6269482497}</author>
    <author>tc={445D1AF0-983A-4EFE-A210-C95AB76FC7B5}</author>
  </authors>
  <commentList>
    <comment ref="I21" authorId="0" shapeId="0" xr:uid="{5272235C-AFEC-4000-9C46-312B10CBD23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22DBC9E-3345-4ADB-AC41-40A54A13D3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7CD8494-90B7-4AB2-840A-6B62694824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45D1AF0-983A-4EFE-A210-C95AB76FC7B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tc={03DF5140-B560-49CF-9A54-C6CFDA21B0A9}</author>
    <author>tc={51667F03-8CAF-45CA-A66C-9DFF2E6E3CD7}</author>
    <author>tc={E9DBEDBA-85B9-434D-BAB8-3FA18A949536}</author>
    <author>tc={043A6899-7830-4381-8440-A9C0AB64313B}</author>
  </authors>
  <commentList>
    <comment ref="I21" authorId="0" shapeId="0" xr:uid="{03DF5140-B560-49CF-9A54-C6CFDA21B0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1667F03-8CAF-45CA-A66C-9DFF2E6E3C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9DBEDBA-85B9-434D-BAB8-3FA18A94953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43A6899-7830-4381-8440-A9C0AB64313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tc={B20AD468-8F97-4C1B-936B-F7B1DE0ADEC9}</author>
    <author>tc={158221EF-1FA6-49BC-877D-B6AE3512EACC}</author>
    <author>tc={52A1B182-8F20-4A6C-B1D4-5DCCD316CEBF}</author>
    <author>tc={C80A34B5-42C1-42DB-8673-BE79EB25D113}</author>
  </authors>
  <commentList>
    <comment ref="I21" authorId="0" shapeId="0" xr:uid="{B20AD468-8F97-4C1B-936B-F7B1DE0ADEC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58221EF-1FA6-49BC-877D-B6AE3512EAC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2A1B182-8F20-4A6C-B1D4-5DCCD316CE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C80A34B5-42C1-42DB-8673-BE79EB25D11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tc={83D119A4-C13C-4950-96E1-37BB9941ADC9}</author>
    <author>tc={0537502F-D362-4480-9787-AF4FB23C7DE0}</author>
    <author>tc={4F305285-59B8-45C7-9599-DF3D0763B4D7}</author>
    <author>tc={EBABE0C7-393F-4D63-ABC8-8F6EBBB14E40}</author>
  </authors>
  <commentList>
    <comment ref="I21" authorId="0" shapeId="0" xr:uid="{83D119A4-C13C-4950-96E1-37BB9941ADC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537502F-D362-4480-9787-AF4FB23C7DE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F305285-59B8-45C7-9599-DF3D0763B4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BABE0C7-393F-4D63-ABC8-8F6EBBB14E4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tc={86FF895E-C4FB-40B2-BD10-FB424660CA9B}</author>
    <author>tc={28ECCA09-A8B6-4C0A-8E4B-1A7E552A9E54}</author>
    <author>tc={EF76586D-E177-4226-BE89-EF8DA36F1D8F}</author>
    <author>tc={2464B8DE-2E4A-4F35-A3F4-BAEE7F494CF7}</author>
  </authors>
  <commentList>
    <comment ref="I21" authorId="0" shapeId="0" xr:uid="{86FF895E-C4FB-40B2-BD10-FB424660CA9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28ECCA09-A8B6-4C0A-8E4B-1A7E552A9E5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F76586D-E177-4226-BE89-EF8DA36F1D8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464B8DE-2E4A-4F35-A3F4-BAEE7F494CF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tc={ECAF17C6-1FDA-4848-944B-CF0CD46EBC4D}</author>
    <author>tc={A7FCACD3-F813-4AF9-8DFE-9BDAF439C17D}</author>
    <author>tc={3171E075-FAD5-4101-AF7C-9E3542DDE528}</author>
    <author>tc={5CC15D0C-22E6-408B-82CF-3FE92448A887}</author>
  </authors>
  <commentList>
    <comment ref="I21" authorId="0" shapeId="0" xr:uid="{ECAF17C6-1FDA-4848-944B-CF0CD46EBC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A7FCACD3-F813-4AF9-8DFE-9BDAF439C17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171E075-FAD5-4101-AF7C-9E3542DDE52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CC15D0C-22E6-408B-82CF-3FE92448A88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tc={3AA570F8-81C6-4F14-B8E9-1BC6406BC68C}</author>
    <author>tc={DC657CC2-D5B2-420B-B6D1-AF432A860947}</author>
    <author>tc={4EB29D3A-B4C3-4D2C-AD24-AE5279666BF6}</author>
    <author>tc={F3391A38-6ABF-490A-A5FE-33495F45FE8B}</author>
  </authors>
  <commentList>
    <comment ref="I21" authorId="0" shapeId="0" xr:uid="{3AA570F8-81C6-4F14-B8E9-1BC6406BC68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C657CC2-D5B2-420B-B6D1-AF432A86094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EB29D3A-B4C3-4D2C-AD24-AE5279666BF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3391A38-6ABF-490A-A5FE-33495F45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tc={D87C266E-CEF9-40AA-A2FC-7B4BDF0F4E48}</author>
    <author>tc={BD3F8CA3-4459-4C7A-8A89-E611EA6AC6FE}</author>
    <author>tc={FDCA149F-D25A-4711-8CDB-F6EF1797AB62}</author>
    <author>tc={4DBAD00C-9A73-4267-9E6A-75E38F55EAFB}</author>
  </authors>
  <commentList>
    <comment ref="I21" authorId="0" shapeId="0" xr:uid="{D87C266E-CEF9-40AA-A2FC-7B4BDF0F4E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D3F8CA3-4459-4C7A-8A89-E611EA6AC6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DCA149F-D25A-4711-8CDB-F6EF1797AB6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DBAD00C-9A73-4267-9E6A-75E38F55EAF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tc={155F1A4B-616C-48D0-B80C-AFAF81B309C1}</author>
    <author>tc={47109F8C-C765-44D7-9F37-3B0B28E4204D}</author>
    <author>tc={1DF77900-7F00-4C94-9A7E-C9577DA65D6C}</author>
    <author>tc={B91094B3-D4BA-4B8A-ACFC-2A67EFD4FF33}</author>
  </authors>
  <commentList>
    <comment ref="I21" authorId="0" shapeId="0" xr:uid="{155F1A4B-616C-48D0-B80C-AFAF81B309C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47109F8C-C765-44D7-9F37-3B0B28E420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1DF77900-7F00-4C94-9A7E-C9577DA65D6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91094B3-D4BA-4B8A-ACFC-2A67EFD4FF3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tc={4ED0DEB2-6167-430C-9FAC-EAC61AED5D2B}</author>
    <author>tc={6F3D944B-BC65-4443-8916-76BFB4B7C548}</author>
    <author>tc={6E752565-3A06-4109-8014-3EC4B823CE2D}</author>
    <author>tc={6A0B29CD-244E-41D7-A7A5-4AFAA05216AC}</author>
  </authors>
  <commentList>
    <comment ref="I21" authorId="0" shapeId="0" xr:uid="{4ED0DEB2-6167-430C-9FAC-EAC61AED5D2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6F3D944B-BC65-4443-8916-76BFB4B7C5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E752565-3A06-4109-8014-3EC4B823CE2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6A0B29CD-244E-41D7-A7A5-4AFAA05216A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tc={59B99523-7E11-495C-BB1D-9DC4CB32F9DB}</author>
    <author>tc={394BEA4C-8166-4ECC-B503-79A738F50055}</author>
    <author>tc={3862FF62-85F6-4419-BA31-B9B4623C764C}</author>
    <author>tc={D11644BA-536A-4778-A23C-450EB4A48CF7}</author>
  </authors>
  <commentList>
    <comment ref="I21" authorId="0" shapeId="0" xr:uid="{59B99523-7E11-495C-BB1D-9DC4CB32F9D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94BEA4C-8166-4ECC-B503-79A738F5005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3862FF62-85F6-4419-BA31-B9B4623C764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11644BA-536A-4778-A23C-450EB4A48CF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tc={4F6A813E-1D7A-40FE-B32A-0F1BB931619A}</author>
    <author>tc={504CB2C3-2C65-4B7D-A3B2-13FFFB0EAAD0}</author>
    <author>tc={FBB333B0-5876-4435-8158-F6845DECD7B6}</author>
    <author>tc={01F93E36-C127-4284-A280-7706074EDBFD}</author>
  </authors>
  <commentList>
    <comment ref="I21" authorId="0" shapeId="0" xr:uid="{4F6A813E-1D7A-40FE-B32A-0F1BB931619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04CB2C3-2C65-4B7D-A3B2-13FFFB0EAAD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BB333B0-5876-4435-8158-F6845DECD7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1F93E36-C127-4284-A280-7706074EDB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tc={83964473-6069-4E47-8082-62185373FFC3}</author>
    <author>tc={2EE18656-D5CF-4E28-9945-BC126181E192}</author>
    <author>tc={4A7E85F2-FE18-4F87-BFDA-8C0D5AF65C63}</author>
    <author>tc={59B0FEDB-FBE2-440F-A6FF-614FF5CC1F35}</author>
  </authors>
  <commentList>
    <comment ref="I21" authorId="0" shapeId="0" xr:uid="{83964473-6069-4E47-8082-62185373FF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2EE18656-D5CF-4E28-9945-BC126181E19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A7E85F2-FE18-4F87-BFDA-8C0D5AF65C6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9B0FEDB-FBE2-440F-A6FF-614FF5CC1F3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tc={5D51930E-E136-4AD8-AF5E-F44EB3DA8D11}</author>
    <author>tc={F549B367-6401-4DD2-82BA-FC9219E3AE8F}</author>
    <author>tc={0DE2240C-5813-46C6-AFAB-148179500ECC}</author>
    <author>tc={03AD0190-0565-4813-B996-E776794DA4BA}</author>
  </authors>
  <commentList>
    <comment ref="I21" authorId="0" shapeId="0" xr:uid="{5D51930E-E136-4AD8-AF5E-F44EB3DA8D1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549B367-6401-4DD2-82BA-FC9219E3AE8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DE2240C-5813-46C6-AFAB-148179500EC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3AD0190-0565-4813-B996-E776794DA4B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tc={2A54FE61-1858-485D-8F67-D34D165546BA}</author>
    <author>tc={9C6BD4E1-1F8A-4A3E-8B5D-FDAFB10EB6D5}</author>
    <author>tc={4118A33D-07D4-4C62-B156-C78089F84434}</author>
    <author>tc={BE9BD3F2-8B04-4003-A964-68DDAC6F1AB9}</author>
  </authors>
  <commentList>
    <comment ref="I21" authorId="0" shapeId="0" xr:uid="{2A54FE61-1858-485D-8F67-D34D165546B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C6BD4E1-1F8A-4A3E-8B5D-FDAFB10EB6D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4118A33D-07D4-4C62-B156-C78089F8443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E9BD3F2-8B04-4003-A964-68DDAC6F1A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tc={0414F6CA-DA43-4556-8C8E-83335B3BB7AA}</author>
    <author>tc={B7C93132-CF40-48A9-A41F-2ED650DD58A3}</author>
    <author>tc={9BEC347B-BA2B-4776-811F-C734B913A018}</author>
    <author>tc={1314EEFE-A8A9-4E7A-BE6E-086D211AD2AE}</author>
  </authors>
  <commentList>
    <comment ref="I21" authorId="0" shapeId="0" xr:uid="{0414F6CA-DA43-4556-8C8E-83335B3BB7A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7C93132-CF40-48A9-A41F-2ED650DD58A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BEC347B-BA2B-4776-811F-C734B913A01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1314EEFE-A8A9-4E7A-BE6E-086D211AD2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tc={26747092-34B8-4B3E-A97B-F37C5B00E6AE}</author>
    <author>tc={77E7CCB5-2295-4236-A43B-BA475127A025}</author>
    <author>tc={8A68CB78-BD38-4A24-8ADE-892790511F16}</author>
    <author>tc={28434987-DE3D-42DB-9EB6-F78357D3E9AC}</author>
  </authors>
  <commentList>
    <comment ref="I21" authorId="0" shapeId="0" xr:uid="{26747092-34B8-4B3E-A97B-F37C5B00E6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7E7CCB5-2295-4236-A43B-BA475127A02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A68CB78-BD38-4A24-8ADE-892790511F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8434987-DE3D-42DB-9EB6-F78357D3E9A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tc={12D0BC72-2225-4E0C-BF8F-01F821896DE8}</author>
    <author>tc={5F625C36-283E-4A51-B9A3-3C97B30A384B}</author>
    <author>tc={CA6F5D1C-C831-4A29-A4FD-EB8DB71EDD63}</author>
    <author>tc={4C231106-5A42-4E26-9E7F-922B268B5939}</author>
  </authors>
  <commentList>
    <comment ref="I21" authorId="0" shapeId="0" xr:uid="{12D0BC72-2225-4E0C-BF8F-01F821896D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F625C36-283E-4A51-B9A3-3C97B30A384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CA6F5D1C-C831-4A29-A4FD-EB8DB71EDD6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C231106-5A42-4E26-9E7F-922B268B593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tc={97C9C1B2-2730-435E-A636-1AACD39B2C4C}</author>
    <author>tc={5A65138E-113B-4559-BA40-717EF5998416}</author>
    <author>tc={A8EC2F0F-C2F4-4BAA-BAFF-F5E655D316B8}</author>
    <author>tc={7DE6B8D1-12EC-4BF6-B740-B426BC153CC3}</author>
  </authors>
  <commentList>
    <comment ref="I21" authorId="0" shapeId="0" xr:uid="{97C9C1B2-2730-435E-A636-1AACD39B2C4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A65138E-113B-4559-BA40-717EF59984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8EC2F0F-C2F4-4BAA-BAFF-F5E655D316B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DE6B8D1-12EC-4BF6-B740-B426BC153C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tc={24925E38-6AC0-4853-A96E-61E9B2DE6EAD}</author>
    <author>tc={D7A2D35D-515C-4DF3-92E9-01B0C2E745FB}</author>
    <author>tc={A05412C4-6306-4572-A982-036CA7BB9290}</author>
    <author>tc={E68A0118-2530-47E8-855F-508B502FB659}</author>
  </authors>
  <commentList>
    <comment ref="I21" authorId="0" shapeId="0" xr:uid="{24925E38-6AC0-4853-A96E-61E9B2DE6EA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7A2D35D-515C-4DF3-92E9-01B0C2E745F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05412C4-6306-4572-A982-036CA7BB929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68A0118-2530-47E8-855F-508B502FB6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tc={1A3E5973-1682-4018-A82F-C1F64DDE2CC8}</author>
    <author>tc={ADB6ADF2-3E0C-4B28-A58E-8BB350011142}</author>
    <author>tc={EFB603B8-F350-4609-9A62-8C8514EB90A5}</author>
    <author>tc={BE3038E2-986C-4187-B5CD-DE7210167187}</author>
  </authors>
  <commentList>
    <comment ref="I21" authorId="0" shapeId="0" xr:uid="{1A3E5973-1682-4018-A82F-C1F64DDE2CC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ADB6ADF2-3E0C-4B28-A58E-8BB35001114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FB603B8-F350-4609-9A62-8C8514EB90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E3038E2-986C-4187-B5CD-DE721016718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tc={79160F96-2808-4387-951F-142B458F76B6}</author>
    <author>tc={D2F907BA-2C48-4B05-9608-509A3E833E30}</author>
    <author>tc={79EDC995-0CA4-474E-A159-374107C9824A}</author>
    <author>tc={77FD2E50-3795-4C4F-A935-2250EBACD387}</author>
  </authors>
  <commentList>
    <comment ref="I21" authorId="0" shapeId="0" xr:uid="{79160F96-2808-4387-951F-142B458F76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D2F907BA-2C48-4B05-9608-509A3E833E3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9EDC995-0CA4-474E-A159-374107C9824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7FD2E50-3795-4C4F-A935-2250EBACD38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tc={32F92513-45F5-4AC3-85A6-79AFCBB9C363}</author>
    <author>tc={09E54A66-58FE-494F-8754-B4A8DE43028F}</author>
    <author>tc={51027423-5279-4DA4-AC56-3EEEE155D07D}</author>
    <author>tc={56462189-E691-4B4F-8FC6-E507A00787BB}</author>
  </authors>
  <commentList>
    <comment ref="I21" authorId="0" shapeId="0" xr:uid="{32F92513-45F5-4AC3-85A6-79AFCBB9C36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9E54A66-58FE-494F-8754-B4A8DE43028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51027423-5279-4DA4-AC56-3EEEE155D07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56462189-E691-4B4F-8FC6-E507A00787B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tc={A89DE704-F505-46E4-A816-44E3AFD109D0}</author>
    <author>tc={10671FCD-36D4-410B-B77E-F8A1C08400BF}</author>
    <author>tc={694A3BFB-DFDA-4C3E-A375-36E8ED5822D2}</author>
    <author>tc={766527BA-A706-4D56-9BD0-CB313A198340}</author>
  </authors>
  <commentList>
    <comment ref="I21" authorId="0" shapeId="0" xr:uid="{A89DE704-F505-46E4-A816-44E3AFD109D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10671FCD-36D4-410B-B77E-F8A1C08400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94A3BFB-DFDA-4C3E-A375-36E8ED5822D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66527BA-A706-4D56-9BD0-CB313A19834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tc={2302E75F-7AC6-44E6-A66D-190AC86F6232}</author>
    <author>tc={7C57D711-3343-46BE-8768-77EF918D2D94}</author>
    <author>tc={D7EF7520-8118-46A2-B197-0A9C6C10D2C4}</author>
    <author>tc={A46DF0BB-DD6F-46D8-9C59-9EAB21CC72FD}</author>
  </authors>
  <commentList>
    <comment ref="I21" authorId="0" shapeId="0" xr:uid="{2302E75F-7AC6-44E6-A66D-190AC86F623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C57D711-3343-46BE-8768-77EF918D2D9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D7EF7520-8118-46A2-B197-0A9C6C10D2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46DF0BB-DD6F-46D8-9C59-9EAB21CC72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tc={43D82BC9-B063-4CA8-B666-B081EEE89B32}</author>
    <author>tc={7498E57C-4B07-408A-9285-A22C0B7D8A4F}</author>
    <author>tc={BAA629A4-4B4D-476F-B944-0E8974777676}</author>
    <author>tc={932D93BE-D5B3-4B92-A1CE-BD3E126E1F51}</author>
  </authors>
  <commentList>
    <comment ref="I21" authorId="0" shapeId="0" xr:uid="{43D82BC9-B063-4CA8-B666-B081EEE89B3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498E57C-4B07-408A-9285-A22C0B7D8A4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BAA629A4-4B4D-476F-B944-0E897477767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32D93BE-D5B3-4B92-A1CE-BD3E126E1F5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tc={2572BB81-59B9-444C-A03F-482EEE6DFAED}</author>
    <author>tc={0F53B17E-D489-44C4-8A47-E7AACCE3C215}</author>
    <author>tc={FFB5447E-B25C-4273-8504-FC6EE2923E73}</author>
    <author>tc={E3927206-B214-4D33-BA7D-3E8D48BA42C3}</author>
  </authors>
  <commentList>
    <comment ref="I21" authorId="0" shapeId="0" xr:uid="{2572BB81-59B9-444C-A03F-482EEE6DFAE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F53B17E-D489-44C4-8A47-E7AACCE3C21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FFB5447E-B25C-4273-8504-FC6EE2923E7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E3927206-B214-4D33-BA7D-3E8D48BA42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tc={BDAA2987-E050-4BA9-AE0C-92B1F803AF25}</author>
    <author>tc={C0D15C48-B555-4E90-B2B7-05C8AA32A92A}</author>
    <author>tc={7756F09D-DD46-4167-A0E5-C9E6243E5CEC}</author>
    <author>tc={FECAA976-AF64-4C51-8C9D-4BA223692231}</author>
  </authors>
  <commentList>
    <comment ref="I21" authorId="0" shapeId="0" xr:uid="{BDAA2987-E050-4BA9-AE0C-92B1F803AF2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C0D15C48-B555-4E90-B2B7-05C8AA32A92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7756F09D-DD46-4167-A0E5-C9E6243E5CE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ECAA976-AF64-4C51-8C9D-4BA22369223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tc={D2D0FD00-B375-480D-BA28-6A472AA7A5AB}</author>
    <author>tc={B56B65C0-7D08-4295-AC20-24C69FDFAB5E}</author>
    <author>tc={604CDA6A-7BDD-4628-9069-E3668F470844}</author>
    <author>tc={C6A3B97A-3D13-4DF3-B324-F7F8F709B63A}</author>
  </authors>
  <commentList>
    <comment ref="I21" authorId="0" shapeId="0" xr:uid="{D2D0FD00-B375-480D-BA28-6A472AA7A5A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56B65C0-7D08-4295-AC20-24C69FDFAB5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04CDA6A-7BDD-4628-9069-E3668F47084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C6A3B97A-3D13-4DF3-B324-F7F8F709B6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tc={3F65C34C-A828-469E-8E42-E9CEB7564D2E}</author>
    <author>tc={87A8D419-E794-4C78-9DB4-DA6B5B23D0FD}</author>
    <author>tc={617F2DB8-98DB-4D2B-BB5F-62B02BB4FCF4}</author>
    <author>tc={94AB385B-CCD1-4AE7-B6E2-CD4384EDB442}</author>
  </authors>
  <commentList>
    <comment ref="I21" authorId="0" shapeId="0" xr:uid="{3F65C34C-A828-469E-8E42-E9CEB7564D2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87A8D419-E794-4C78-9DB4-DA6B5B23D0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17F2DB8-98DB-4D2B-BB5F-62B02BB4FCF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4AB385B-CCD1-4AE7-B6E2-CD4384EDB44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tc={998F10AE-B6F8-49C3-8C2E-278A044ED0E9}</author>
    <author>tc={BD59B5D5-06C0-44C1-9EF0-536904C9DB62}</author>
    <author>tc={903538D5-EE4E-4CDF-8C6E-8413A8BFBAF1}</author>
    <author>tc={FDD2C7AC-F481-4CE1-97A0-AD474496BB60}</author>
  </authors>
  <commentList>
    <comment ref="I21" authorId="0" shapeId="0" xr:uid="{998F10AE-B6F8-49C3-8C2E-278A044ED0E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D59B5D5-06C0-44C1-9EF0-536904C9DB6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903538D5-EE4E-4CDF-8C6E-8413A8BFBAF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DD2C7AC-F481-4CE1-97A0-AD474496BB6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tc={9654ACC3-FEBF-444A-9D6D-876A0FB83F54}</author>
    <author>tc={97F46A49-A6CB-44D1-BB5D-06AD5BEA040B}</author>
    <author>tc={0CB5A8AD-15A0-4A17-B374-1A88BBB872F7}</author>
    <author>tc={A566976D-9E90-4883-BDDC-155015813235}</author>
  </authors>
  <commentList>
    <comment ref="I21" authorId="0" shapeId="0" xr:uid="{9654ACC3-FEBF-444A-9D6D-876A0FB83F5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7F46A49-A6CB-44D1-BB5D-06AD5BEA040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CB5A8AD-15A0-4A17-B374-1A88BBB872F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566976D-9E90-4883-BDDC-15501581323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tc={5A3278A4-A26F-4B61-88B2-3B9E867B1AF1}</author>
    <author>tc={F1A2B0AF-0593-4A09-BAB0-B9A3DD380CE5}</author>
    <author>tc={D44282B0-0BDF-4A0E-80F3-084448A3BFC8}</author>
    <author>tc={F801B5ED-609B-4003-8A39-9A767728E85B}</author>
  </authors>
  <commentList>
    <comment ref="I21" authorId="0" shapeId="0" xr:uid="{5A3278A4-A26F-4B61-88B2-3B9E867B1AF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1A2B0AF-0593-4A09-BAB0-B9A3DD380CE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D44282B0-0BDF-4A0E-80F3-084448A3BFC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F801B5ED-609B-4003-8A39-9A767728E85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tc={8212206A-5ADB-40C0-8F33-C6EF2A8D060D}</author>
    <author>tc={0C0B28BB-2361-45FC-92EF-C5610C3B5A4D}</author>
    <author>tc={D82BB75A-3A6D-45FA-B511-665F125D7C71}</author>
    <author>tc={8AAFDB6C-9AF7-48D0-80D0-B2F9DCF1107A}</author>
  </authors>
  <commentList>
    <comment ref="I21" authorId="0" shapeId="0" xr:uid="{8212206A-5ADB-40C0-8F33-C6EF2A8D060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0C0B28BB-2361-45FC-92EF-C5610C3B5A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D82BB75A-3A6D-45FA-B511-665F125D7C7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8AAFDB6C-9AF7-48D0-80D0-B2F9DCF1107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tc={78F6DDB5-E5FF-4101-9516-0402C45E858D}</author>
    <author>tc={E6A27A0A-D099-4474-B7B0-C064075D441E}</author>
    <author>tc={2E010C81-A0BF-40D2-A003-3287703266C5}</author>
    <author>tc={7219C79E-279B-4A16-A76E-FA09A00ECBE9}</author>
  </authors>
  <commentList>
    <comment ref="I21" authorId="0" shapeId="0" xr:uid="{78F6DDB5-E5FF-4101-9516-0402C45E85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E6A27A0A-D099-4474-B7B0-C064075D441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2E010C81-A0BF-40D2-A003-3287703266C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219C79E-279B-4A16-A76E-FA09A00ECBE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tc={C966ADAA-937E-4947-8359-B3DD973C7673}</author>
    <author>tc={9797742B-A65C-413F-ABE0-7B63E02FCEF9}</author>
    <author>tc={0820F996-5F96-45B9-B02C-450B19A658EC}</author>
    <author>tc={BDD2C76F-5028-43D0-A968-CDF938165842}</author>
  </authors>
  <commentList>
    <comment ref="I21" authorId="0" shapeId="0" xr:uid="{C966ADAA-937E-4947-8359-B3DD973C767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797742B-A65C-413F-ABE0-7B63E02FCEF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0820F996-5F96-45B9-B02C-450B19A658E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BDD2C76F-5028-43D0-A968-CDF93816584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tc={5845FC14-B48F-426B-A737-234CC5ED5EF2}</author>
    <author>tc={2DB1DC97-B3E0-474C-A6F0-FC9C93A26FBF}</author>
    <author>tc={8AB95335-F5CC-4D4B-9CA6-8875FAA4B067}</author>
    <author>tc={DF672C13-AC47-488A-AC8A-7DDF7489DD23}</author>
  </authors>
  <commentList>
    <comment ref="I21" authorId="0" shapeId="0" xr:uid="{5845FC14-B48F-426B-A737-234CC5ED5EF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2DB1DC97-B3E0-474C-A6F0-FC9C93A26F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8AB95335-F5CC-4D4B-9CA6-8875FAA4B06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DF672C13-AC47-488A-AC8A-7DDF7489DD2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tc={FA759FE6-8C5F-4351-A504-F34E2FD75AC8}</author>
    <author>tc={5233E4B4-E3EB-4C7E-A81E-669D0CD8986D}</author>
    <author>tc={69A1D095-11F6-4075-A2F9-BBD565087C57}</author>
    <author>tc={758A15D1-5AA7-4DD7-B7C3-731BE2981563}</author>
  </authors>
  <commentList>
    <comment ref="I21" authorId="0" shapeId="0" xr:uid="{FA759FE6-8C5F-4351-A504-F34E2FD75AC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5233E4B4-E3EB-4C7E-A81E-669D0CD8986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69A1D095-11F6-4075-A2F9-BBD565087C5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758A15D1-5AA7-4DD7-B7C3-731BE298156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tc={4BDECD40-045E-4873-B6E4-6FF8F1AA0BAE}</author>
    <author>tc={BD789465-8DDD-4A96-A2BA-4BDB6C316D29}</author>
    <author>tc={B8268BD7-0443-42E7-8575-3D88FE801162}</author>
    <author>tc={9613517D-6F14-4D67-A676-7B46FEA71A51}</author>
  </authors>
  <commentList>
    <comment ref="I21" authorId="0" shapeId="0" xr:uid="{4BDECD40-045E-4873-B6E4-6FF8F1AA0B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BD789465-8DDD-4A96-A2BA-4BDB6C316D2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B8268BD7-0443-42E7-8575-3D88FE80116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9613517D-6F14-4D67-A676-7B46FEA71A5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tc={0E84AABB-F895-4930-89B8-C8B060F8428E}</author>
    <author>tc={7ACCFC70-9B4F-44FD-A944-DE3BAB0BCEB9}</author>
    <author>tc={A2CEBDD3-C1F5-4D2E-B133-AF29B0E4583E}</author>
    <author>tc={0CF52150-F66D-471E-A7E4-C8C2E841F356}</author>
  </authors>
  <commentList>
    <comment ref="I21" authorId="0" shapeId="0" xr:uid="{0E84AABB-F895-4930-89B8-C8B060F8428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7ACCFC70-9B4F-44FD-A944-DE3BAB0BCE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2CEBDD3-C1F5-4D2E-B133-AF29B0E458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0CF52150-F66D-471E-A7E4-C8C2E841F35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tc={EFE948FE-C8B1-41ED-88A8-6656ECFDBC5D}</author>
    <author>tc={9D3A51E3-B5B9-4A72-903A-EAF831B18954}</author>
    <author>tc={AE591754-96C3-480F-A96B-EF2088C4C90E}</author>
    <author>tc={437B30E3-F86F-4E74-BE0C-6AAA039EE520}</author>
  </authors>
  <commentList>
    <comment ref="I21" authorId="0" shapeId="0" xr:uid="{EFE948FE-C8B1-41ED-88A8-6656ECFDBC5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9D3A51E3-B5B9-4A72-903A-EAF831B1895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AE591754-96C3-480F-A96B-EF2088C4C90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437B30E3-F86F-4E74-BE0C-6AAA039EE52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tc={EC60A33C-719F-41AC-A91B-1DD1CC150E30}</author>
    <author>tc={34E3F458-6CF3-4E2B-BEBB-ACE3173FE1DE}</author>
    <author>tc={E2D34F8E-4283-4BB0-A9FC-7488D697007E}</author>
    <author>tc={A8CFF80A-B0BD-46C0-9864-74258D241E49}</author>
  </authors>
  <commentList>
    <comment ref="I21" authorId="0" shapeId="0" xr:uid="{EC60A33C-719F-41AC-A91B-1DD1CC150E3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34E3F458-6CF3-4E2B-BEBB-ACE3173FE1D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E2D34F8E-4283-4BB0-A9FC-7488D69700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A8CFF80A-B0BD-46C0-9864-74258D241E4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tc={2D90D1B7-052B-47D0-B561-B5457D1FC4A9}</author>
    <author>tc={F72F7E31-521C-42A0-BF82-B49DE8927CD3}</author>
    <author>tc={DD3AA153-876B-42D5-88FD-55B6A79C33D7}</author>
    <author>tc={25EADF99-E954-4360-9495-27CCFBC8250E}</author>
  </authors>
  <commentList>
    <comment ref="I21" authorId="0" shapeId="0" xr:uid="{2D90D1B7-052B-47D0-B561-B5457D1F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2" authorId="1" shapeId="0" xr:uid="{F72F7E31-521C-42A0-BF82-B49DE8927CD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3" authorId="2" shapeId="0" xr:uid="{DD3AA153-876B-42D5-88FD-55B6A79C33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4" authorId="3" shapeId="0" xr:uid="{25EADF99-E954-4360-9495-27CCFBC8250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tc={CD357959-D591-4CDC-A1E3-834A20EEB43F}</author>
    <author>tc={02B851F3-FB9A-4524-B4F8-D13C278B50FE}</author>
    <author>tc={FB21F222-B279-4F10-AE0E-4E11E8360B9B}</author>
    <author>tc={51437169-E2FB-470E-BCCF-384D9C6D6AB0}</author>
  </authors>
  <commentList>
    <comment ref="I23" authorId="0" shapeId="0" xr:uid="{CD357959-D591-4CDC-A1E3-834A20EEB43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02B851F3-FB9A-4524-B4F8-D13C278B50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FB21F222-B279-4F10-AE0E-4E11E8360B9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51437169-E2FB-470E-BCCF-384D9C6D6AB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tc={E1D65C8F-E0EE-49CD-B4DF-6B45BE386317}</author>
    <author>tc={2354139D-E31C-4BA5-8118-C8B45D14CDD3}</author>
    <author>tc={317A42F2-D379-4A0B-B2DF-2D31EE746005}</author>
    <author>tc={067C4416-46BA-4716-8765-69A1F9C77A9E}</author>
  </authors>
  <commentList>
    <comment ref="I23" authorId="0" shapeId="0" xr:uid="{E1D65C8F-E0EE-49CD-B4DF-6B45BE38631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2354139D-E31C-4BA5-8118-C8B45D14CDD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317A42F2-D379-4A0B-B2DF-2D31EE74600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067C4416-46BA-4716-8765-69A1F9C77A9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tc={8A3CC4A6-17A8-4DBF-87DC-33076989A2B0}</author>
    <author>tc={E806B320-176D-45D3-9D08-CC2D2EEBEE90}</author>
    <author>tc={29E7C072-FD6B-4CFD-9E39-313A244F9802}</author>
    <author>tc={124CE639-0E10-49EB-AB24-5C0BC4F41BE0}</author>
  </authors>
  <commentList>
    <comment ref="I23" authorId="0" shapeId="0" xr:uid="{8A3CC4A6-17A8-4DBF-87DC-33076989A2B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E806B320-176D-45D3-9D08-CC2D2EEBEE9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29E7C072-FD6B-4CFD-9E39-313A244F980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124CE639-0E10-49EB-AB24-5C0BC4F41BE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tc={25C7972A-EF92-489A-B76A-653794AEA889}</author>
    <author>tc={713D4F07-FC1E-4BD0-A2A1-0938DB3169F4}</author>
    <author>tc={F1DD4777-CF75-4818-B3ED-B6F46F88FE2B}</author>
    <author>tc={EB0ADBB9-52DF-445C-AFED-9AD959AC6881}</author>
  </authors>
  <commentList>
    <comment ref="I23" authorId="0" shapeId="0" xr:uid="{25C7972A-EF92-489A-B76A-653794AEA88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713D4F07-FC1E-4BD0-A2A1-0938DB3169F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F1DD4777-CF75-4818-B3ED-B6F46F88FE2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EB0ADBB9-52DF-445C-AFED-9AD959AC68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tc={536FEF6F-1722-43AF-B8A3-904D7E56B2C4}</author>
    <author>tc={9C3F4E6C-F9ED-4CFC-9E7F-BEAB491AE9E3}</author>
    <author>tc={98702C0C-C59D-4F96-8505-E87FF69441C6}</author>
    <author>tc={19DDE51A-D9B7-4CA1-AF61-1833365D0EE1}</author>
  </authors>
  <commentList>
    <comment ref="I23" authorId="0" shapeId="0" xr:uid="{536FEF6F-1722-43AF-B8A3-904D7E56B2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9C3F4E6C-F9ED-4CFC-9E7F-BEAB491AE9E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98702C0C-C59D-4F96-8505-E87FF69441C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19DDE51A-D9B7-4CA1-AF61-1833365D0EE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tc={FFC9C57A-4B73-4A0B-A991-354BBF9E4997}</author>
    <author>tc={B80E2092-7F28-4051-827B-347A1A68FBB3}</author>
    <author>tc={CBED1F78-682E-49D8-8325-3C3D041D4C97}</author>
    <author>tc={5DCC0035-5F11-42BE-8BB7-C0F07CC17411}</author>
  </authors>
  <commentList>
    <comment ref="I23" authorId="0" shapeId="0" xr:uid="{FFC9C57A-4B73-4A0B-A991-354BBF9E49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B80E2092-7F28-4051-827B-347A1A68FBB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CBED1F78-682E-49D8-8325-3C3D041D4C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5DCC0035-5F11-42BE-8BB7-C0F07CC1741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tc={5876BB15-BDD5-42D3-BF04-2898C0EC7FA9}</author>
    <author>tc={102C3876-68BF-4CEE-981D-99785DE64A58}</author>
    <author>tc={97A0CAE5-BB46-4093-A62B-31F6C2E5AA84}</author>
    <author>tc={8C949E5E-1E88-4FBA-A87D-BE108DD770C4}</author>
  </authors>
  <commentList>
    <comment ref="I23" authorId="0" shapeId="0" xr:uid="{5876BB15-BDD5-42D3-BF04-2898C0EC7F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102C3876-68BF-4CEE-981D-99785DE64A5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97A0CAE5-BB46-4093-A62B-31F6C2E5AA8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8C949E5E-1E88-4FBA-A87D-BE108DD770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tc={AD0A9DDB-43C1-461B-B2FB-0B4A74892976}</author>
    <author>tc={5EF5651D-5971-4AFA-8125-52AF6BC874A8}</author>
    <author>tc={65500C50-D9A6-41FF-9B39-2B4C235B4CF6}</author>
    <author>tc={BB305C6B-0F7D-4855-9E92-C665997EE876}</author>
  </authors>
  <commentList>
    <comment ref="I23" authorId="0" shapeId="0" xr:uid="{AD0A9DDB-43C1-461B-B2FB-0B4A7489297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5EF5651D-5971-4AFA-8125-52AF6BC874A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65500C50-D9A6-41FF-9B39-2B4C235B4CF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BB305C6B-0F7D-4855-9E92-C665997EE87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tc={736A6FFC-6BD2-410D-B7BB-D8AC0AF341E6}</author>
    <author>tc={EA615565-BE92-469D-8269-43F3358ABCBC}</author>
    <author>tc={96A5C630-3256-4826-AA65-3D1B35DF1EFD}</author>
    <author>tc={77D9DDC0-6EAF-4E6D-B90F-C5F3C633B5E4}</author>
  </authors>
  <commentList>
    <comment ref="I23" authorId="0" shapeId="0" xr:uid="{736A6FFC-6BD2-410D-B7BB-D8AC0AF341E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EA615565-BE92-469D-8269-43F3358ABC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96A5C630-3256-4826-AA65-3D1B35DF1E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77D9DDC0-6EAF-4E6D-B90F-C5F3C633B5E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tc={D33ABFC2-BA24-4EC0-BA3D-BE1F17971504}</author>
    <author>tc={C5C7DFF7-B89B-4439-A765-B7D80878AE88}</author>
    <author>tc={C4AC4D3C-BF83-4E7C-8262-EF3F5B3E8510}</author>
    <author>tc={8E44C0EF-FB25-40D9-8CA1-11089D181840}</author>
  </authors>
  <commentList>
    <comment ref="I23" authorId="0" shapeId="0" xr:uid="{D33ABFC2-BA24-4EC0-BA3D-BE1F1797150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C5C7DFF7-B89B-4439-A765-B7D80878AE8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C4AC4D3C-BF83-4E7C-8262-EF3F5B3E851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8E44C0EF-FB25-40D9-8CA1-11089D18184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tc={AB818933-BAA4-4911-9B90-B244BBE6467A}</author>
    <author>tc={263D2B7E-4259-45B8-A15E-4819D2A2A5F0}</author>
    <author>tc={286D13A9-8755-4A97-BA9C-A697462E0AB0}</author>
    <author>tc={A81D4AD5-402B-461F-A16A-FB9B212E1497}</author>
  </authors>
  <commentList>
    <comment ref="I23" authorId="0" shapeId="0" xr:uid="{AB818933-BAA4-4911-9B90-B244BBE6467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263D2B7E-4259-45B8-A15E-4819D2A2A5F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286D13A9-8755-4A97-BA9C-A697462E0AB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A81D4AD5-402B-461F-A16A-FB9B212E14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tc={3DF136B0-1A42-48A0-8E85-330F6F356B89}</author>
    <author>tc={14FAC9FA-049C-49B3-B2E0-E37469A12413}</author>
    <author>tc={A1621CFD-A2A3-4601-BE1B-AD7238237676}</author>
    <author>tc={69B2CFF2-A804-40D8-83E4-D10E2EE218C0}</author>
  </authors>
  <commentList>
    <comment ref="I23" authorId="0" shapeId="0" xr:uid="{3DF136B0-1A42-48A0-8E85-330F6F356B8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14FAC9FA-049C-49B3-B2E0-E37469A1241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A1621CFD-A2A3-4601-BE1B-AD723823767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69B2CFF2-A804-40D8-83E4-D10E2EE218C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tc={80BDF8B0-60C1-4DD2-81F9-5F86F5EF6961}</author>
    <author>tc={955C905B-900F-4353-9B83-CEC0E688F27B}</author>
    <author>tc={F7D6D99A-8267-4559-8E70-17CB16BC1C75}</author>
    <author>tc={98933A00-8AA3-4180-B65A-51DE23BEA775}</author>
  </authors>
  <commentList>
    <comment ref="I23" authorId="0" shapeId="0" xr:uid="{80BDF8B0-60C1-4DD2-81F9-5F86F5EF696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955C905B-900F-4353-9B83-CEC0E688F27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F7D6D99A-8267-4559-8E70-17CB16BC1C7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98933A00-8AA3-4180-B65A-51DE23BEA77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tc={09082FA9-2B2A-47C3-8424-1085C593A952}</author>
    <author>tc={1DF43013-C8D7-4E7C-A545-67BC4E8ED96A}</author>
    <author>tc={437A3548-D291-4235-8E28-C4CAA641561C}</author>
    <author>tc={53C94341-10E0-490D-B1A5-B80ACEFBE078}</author>
  </authors>
  <commentList>
    <comment ref="I23" authorId="0" shapeId="0" xr:uid="{09082FA9-2B2A-47C3-8424-1085C593A95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1DF43013-C8D7-4E7C-A545-67BC4E8ED96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437A3548-D291-4235-8E28-C4CAA641561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53C94341-10E0-490D-B1A5-B80ACEFBE07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tc={86FA60D4-AB6B-422E-A57A-99B9C4C6BC8C}</author>
    <author>tc={847CAF39-9CAE-45EB-8550-D450AEB96364}</author>
    <author>tc={3121DE18-46E7-49BB-9D60-F2D4CE37EF2F}</author>
    <author>tc={F9D578A9-CC39-41C7-9260-0078BDF17830}</author>
  </authors>
  <commentList>
    <comment ref="I23" authorId="0" shapeId="0" xr:uid="{86FA60D4-AB6B-422E-A57A-99B9C4C6BC8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847CAF39-9CAE-45EB-8550-D450AEB963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3121DE18-46E7-49BB-9D60-F2D4CE37EF2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F9D578A9-CC39-41C7-9260-0078BDF1783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tc={BE899AFE-E361-4E3C-A9FC-9BD87A93663E}</author>
    <author>tc={8D5B7EF0-BB45-47B6-948E-6F17DDA42F45}</author>
    <author>tc={1670F29F-35D0-4A47-90B9-3C5633B2873A}</author>
    <author>tc={D915B659-E351-47B9-8AD5-87C53F8A2363}</author>
  </authors>
  <commentList>
    <comment ref="I23" authorId="0" shapeId="0" xr:uid="{BE899AFE-E361-4E3C-A9FC-9BD87A9366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8D5B7EF0-BB45-47B6-948E-6F17DDA42F4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1670F29F-35D0-4A47-90B9-3C5633B287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D915B659-E351-47B9-8AD5-87C53F8A236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tc={93841B2C-FB60-45AD-8C59-A7D133EA3E39}</author>
    <author>tc={A8A03771-7060-4F70-A01B-2D14939D9197}</author>
    <author>tc={D54C0327-A870-4DC4-976E-BF3C06743BF7}</author>
    <author>tc={1AC3F1EB-8D68-4A56-B1D0-B667241543FE}</author>
  </authors>
  <commentList>
    <comment ref="I23" authorId="0" shapeId="0" xr:uid="{93841B2C-FB60-45AD-8C59-A7D133EA3E3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A8A03771-7060-4F70-A01B-2D14939D919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D54C0327-A870-4DC4-976E-BF3C06743BF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1AC3F1EB-8D68-4A56-B1D0-B667241543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tc={3A60826D-F60D-44AF-9C2F-165336BCE294}</author>
    <author>tc={C67BF09A-693E-4707-9E4F-A5713EB36F38}</author>
    <author>tc={5C306DE1-2053-45D6-8B87-DF9E3A87978D}</author>
    <author>tc={6C68C667-4395-4F58-883E-25AD9E914BDA}</author>
  </authors>
  <commentList>
    <comment ref="I23" authorId="0" shapeId="0" xr:uid="{3A60826D-F60D-44AF-9C2F-165336BCE29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C67BF09A-693E-4707-9E4F-A5713EB36F3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5C306DE1-2053-45D6-8B87-DF9E3A8797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6C68C667-4395-4F58-883E-25AD9E914BD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tc={BCF0E688-468E-4E25-8442-EC2057A1E093}</author>
    <author>tc={3F5A282D-69B0-4DA6-9B55-51F4A545125F}</author>
    <author>tc={80B58121-D9BE-436F-81E8-3D0025CE04AD}</author>
    <author>tc={BA659C71-BDC0-42D8-9783-5D84690A79CB}</author>
  </authors>
  <commentList>
    <comment ref="I23" authorId="0" shapeId="0" xr:uid="{BCF0E688-468E-4E25-8442-EC2057A1E09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3F5A282D-69B0-4DA6-9B55-51F4A545125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80B58121-D9BE-436F-81E8-3D0025CE04A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BA659C71-BDC0-42D8-9783-5D84690A79C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tc={36DA2AE6-63A1-46FB-BF29-151D174BE8AD}</author>
    <author>tc={7CFE2BBA-83B3-4587-A6EC-59DAFBCA61BE}</author>
    <author>tc={1993FC8E-0353-46FF-9C35-F262220F63B4}</author>
    <author>tc={2037E0D1-769E-4703-9567-15918001BBBF}</author>
  </authors>
  <commentList>
    <comment ref="I23" authorId="0" shapeId="0" xr:uid="{36DA2AE6-63A1-46FB-BF29-151D174BE8A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7CFE2BBA-83B3-4587-A6EC-59DAFBCA61B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1993FC8E-0353-46FF-9C35-F262220F63B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2037E0D1-769E-4703-9567-15918001BB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tc={1722C05C-67A8-47A9-8E34-277008F1DDAE}</author>
    <author>tc={DF7AFD9E-A7FB-4AA1-9DF7-501C7CAC6919}</author>
    <author>tc={346A5F47-062B-45DB-9E96-F5B192CFAC87}</author>
    <author>tc={3560D7E8-53B4-43D1-998A-CF36A96614D1}</author>
  </authors>
  <commentList>
    <comment ref="I23" authorId="0" shapeId="0" xr:uid="{1722C05C-67A8-47A9-8E34-277008F1DDA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DF7AFD9E-A7FB-4AA1-9DF7-501C7CAC691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346A5F47-062B-45DB-9E96-F5B192CFAC8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3560D7E8-53B4-43D1-998A-CF36A96614D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tc={BFA4A81E-3F81-44EB-B118-A745B452780C}</author>
    <author>tc={68054D72-E224-4648-A133-B9D3499BA506}</author>
    <author>tc={270169D4-C90C-44F1-920A-42E661699A77}</author>
    <author>tc={64839EE9-A9B7-48C8-9102-05E6C09B9E09}</author>
  </authors>
  <commentList>
    <comment ref="I23" authorId="0" shapeId="0" xr:uid="{BFA4A81E-3F81-44EB-B118-A745B452780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68054D72-E224-4648-A133-B9D3499BA50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270169D4-C90C-44F1-920A-42E661699A7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64839EE9-A9B7-48C8-9102-05E6C09B9E0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tc={1487EC85-BAA0-41BC-BD58-B45EA911C53C}</author>
    <author>tc={9070D953-D292-4654-90E2-4F1AF6954B2D}</author>
    <author>tc={5458BD66-6019-4843-9912-3BB3988DB7D9}</author>
    <author>tc={4DEE1444-04E0-4E50-A584-D62033E434EE}</author>
  </authors>
  <commentList>
    <comment ref="I23" authorId="0" shapeId="0" xr:uid="{1487EC85-BAA0-41BC-BD58-B45EA911C53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9070D953-D292-4654-90E2-4F1AF6954B2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5458BD66-6019-4843-9912-3BB3988DB7D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4DEE1444-04E0-4E50-A584-D62033E434E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tc={04DBE1DB-49C5-43CC-8185-E55D9A7BB84E}</author>
    <author>tc={734272E1-1FBE-48CC-A1FA-D8F3AD811416}</author>
    <author>tc={AA0667C8-BC2D-44BA-A46B-DA6C29E9004A}</author>
    <author>tc={7646575C-130E-43FE-849C-13C7383BDFA5}</author>
  </authors>
  <commentList>
    <comment ref="I23" authorId="0" shapeId="0" xr:uid="{04DBE1DB-49C5-43CC-8185-E55D9A7BB84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734272E1-1FBE-48CC-A1FA-D8F3AD8114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AA0667C8-BC2D-44BA-A46B-DA6C29E9004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7646575C-130E-43FE-849C-13C7383BDF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tc={8F8A867E-F4EB-42C4-AB14-88D9D4A091C5}</author>
    <author>tc={FF91065E-BB3A-40DE-952E-1A58BA8995C4}</author>
    <author>tc={214F0CEC-6801-4CAC-8F57-6C5A402803A3}</author>
    <author>tc={776138AF-F0E5-48D9-85D4-4F5355121716}</author>
  </authors>
  <commentList>
    <comment ref="I23" authorId="0" shapeId="0" xr:uid="{8F8A867E-F4EB-42C4-AB14-88D9D4A091C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FF91065E-BB3A-40DE-952E-1A58BA8995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214F0CEC-6801-4CAC-8F57-6C5A402803A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776138AF-F0E5-48D9-85D4-4F53551217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tc={BA394E20-E09D-4771-AEDB-349035FCF334}</author>
    <author>tc={1E700D9F-50B5-4157-BA19-0F3ECE3A5848}</author>
    <author>tc={A840EFD2-1EE4-4050-B909-A6A43A08C293}</author>
    <author>tc={B7E8A89F-2342-40B7-BF97-C11542C1ADF5}</author>
  </authors>
  <commentList>
    <comment ref="I23" authorId="0" shapeId="0" xr:uid="{BA394E20-E09D-4771-AEDB-349035FCF33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1E700D9F-50B5-4157-BA19-0F3ECE3A58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A840EFD2-1EE4-4050-B909-A6A43A08C29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B7E8A89F-2342-40B7-BF97-C11542C1ADF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tc={3718A267-EDEC-48DD-AF53-0DAEACBB7F9E}</author>
    <author>tc={BD7BE460-0AF3-4CF9-AEA9-3B4815C0388B}</author>
    <author>tc={19F6B44F-34F0-4A55-9CE7-BBD003C3803A}</author>
    <author>tc={BCEB0DDD-F405-4BC3-A5B8-BF469A9ACC9C}</author>
  </authors>
  <commentList>
    <comment ref="I23" authorId="0" shapeId="0" xr:uid="{3718A267-EDEC-48DD-AF53-0DAEACBB7F9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BD7BE460-0AF3-4CF9-AEA9-3B4815C0388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19F6B44F-34F0-4A55-9CE7-BBD003C3803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BCEB0DDD-F405-4BC3-A5B8-BF469A9ACC9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tc={3AC62A4A-EC1E-40FB-A76D-BFF818871C4F}</author>
    <author>tc={2EE89012-A675-4331-98B6-40996F830059}</author>
    <author>tc={0782B992-F332-4ABC-B36C-B35020757677}</author>
    <author>tc={E89A2888-13DD-4C8B-AEE1-1F698C460994}</author>
  </authors>
  <commentList>
    <comment ref="I23" authorId="0" shapeId="0" xr:uid="{3AC62A4A-EC1E-40FB-A76D-BFF818871C4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2EE89012-A675-4331-98B6-40996F8300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0782B992-F332-4ABC-B36C-B3502075767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E89A2888-13DD-4C8B-AEE1-1F698C46099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tc={631F72FD-B82E-4121-8489-7A74A89D6294}</author>
    <author>tc={F897397C-2471-4AEF-A470-925AAA8187AF}</author>
    <author>tc={FE6CD4F5-F491-46CC-B189-AF2F4EA1A8B7}</author>
    <author>tc={15627998-82AE-4079-B97A-22A87BA8E8DE}</author>
  </authors>
  <commentList>
    <comment ref="I23" authorId="0" shapeId="0" xr:uid="{631F72FD-B82E-4121-8489-7A74A89D629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F897397C-2471-4AEF-A470-925AAA8187A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FE6CD4F5-F491-46CC-B189-AF2F4EA1A8B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15627998-82AE-4079-B97A-22A87BA8E8D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tc={341BA7A7-7A4F-48A4-A1D7-E8045DA843D1}</author>
    <author>tc={402B93C1-19C6-412F-BA8D-3C182FA80F5C}</author>
    <author>tc={8A89AEF9-D0D9-4514-BE69-8D42AE0D8B81}</author>
    <author>tc={48492C02-45A2-45F0-BA63-24C23BDC7A8D}</author>
  </authors>
  <commentList>
    <comment ref="I23" authorId="0" shapeId="0" xr:uid="{341BA7A7-7A4F-48A4-A1D7-E8045DA843D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402B93C1-19C6-412F-BA8D-3C182FA80F5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8A89AEF9-D0D9-4514-BE69-8D42AE0D8B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48492C02-45A2-45F0-BA63-24C23BDC7A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tc={BB9B1D81-258E-4D30-9123-0A037D4C51FD}</author>
    <author>tc={F0077307-6913-4E1B-BC76-45B497DE7B9A}</author>
    <author>tc={2AEC0742-2DB8-4962-88BA-D8D39F4472BF}</author>
    <author>tc={2262278A-E5E5-4503-8D14-C9D22C210205}</author>
  </authors>
  <commentList>
    <comment ref="I23" authorId="0" shapeId="0" xr:uid="{BB9B1D81-258E-4D30-9123-0A037D4C51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F0077307-6913-4E1B-BC76-45B497DE7B9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2AEC0742-2DB8-4962-88BA-D8D39F4472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2262278A-E5E5-4503-8D14-C9D22C21020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tc={23D1EBFF-03C6-4007-A63A-2C56AD3F7EFE}</author>
    <author>tc={2099EFDB-B1A6-411A-AFF5-8D4444DEF61F}</author>
    <author>tc={396195D8-02DC-4656-AFDB-D5CAB358727E}</author>
    <author>tc={ED5E76DA-AB05-4460-B271-040ECE8FF59D}</author>
  </authors>
  <commentList>
    <comment ref="I23" authorId="0" shapeId="0" xr:uid="{23D1EBFF-03C6-4007-A63A-2C56AD3F7EF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2099EFDB-B1A6-411A-AFF5-8D4444DEF61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396195D8-02DC-4656-AFDB-D5CAB35872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ED5E76DA-AB05-4460-B271-040ECE8FF59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tc={33D6D8E6-4D2F-4C26-A0C5-5A715C7AFDF6}</author>
    <author>tc={88FBFA17-A82E-48E5-A6BE-3CACB7C88D35}</author>
    <author>tc={317B16C9-97D9-4C13-8EE4-7DDD782B6EC4}</author>
    <author>tc={F6C583CA-2BF9-4267-80EB-4C669B105276}</author>
  </authors>
  <commentList>
    <comment ref="I23" authorId="0" shapeId="0" xr:uid="{33D6D8E6-4D2F-4C26-A0C5-5A715C7AFDF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88FBFA17-A82E-48E5-A6BE-3CACB7C88D3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317B16C9-97D9-4C13-8EE4-7DDD782B6E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F6C583CA-2BF9-4267-80EB-4C669B10527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tc={35E9A42F-A138-4C12-8520-3C05D075A2C3}</author>
    <author>tc={AED51B80-D566-4650-BC49-5715D6250C08}</author>
    <author>tc={6E520546-B478-4BCD-AE49-62F8824B81F4}</author>
    <author>tc={0A840E33-0092-45E1-A114-7CE1DD45C403}</author>
  </authors>
  <commentList>
    <comment ref="I23" authorId="0" shapeId="0" xr:uid="{35E9A42F-A138-4C12-8520-3C05D075A2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AED51B80-D566-4650-BC49-5715D6250C0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6E520546-B478-4BCD-AE49-62F8824B81F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0A840E33-0092-45E1-A114-7CE1DD45C40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tc={F2B58755-D853-40BD-9245-6C5D14EC8F11}</author>
    <author>tc={9E95DCCD-01E2-4547-AE65-817312AE265A}</author>
    <author>tc={D355F6ED-58C4-440E-831F-A2D56DD13485}</author>
    <author>tc={0011B664-1D83-451D-B86D-53D9717A9417}</author>
  </authors>
  <commentList>
    <comment ref="I23" authorId="0" shapeId="0" xr:uid="{F2B58755-D853-40BD-9245-6C5D14EC8F1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9E95DCCD-01E2-4547-AE65-817312AE265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D355F6ED-58C4-440E-831F-A2D56DD1348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0011B664-1D83-451D-B86D-53D9717A941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tc={3BC11B43-91C4-4642-8919-52F5FA4F6EBC}</author>
    <author>tc={4EE96C6C-543A-46BB-8C37-0F6E00078181}</author>
    <author>tc={96039E52-0A0A-4D1C-AE43-E8EE96B38307}</author>
    <author>tc={8194EE1B-CAF9-405D-AF5D-FCD3883871ED}</author>
  </authors>
  <commentList>
    <comment ref="I23" authorId="0" shapeId="0" xr:uid="{3BC11B43-91C4-4642-8919-52F5FA4F6E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4EE96C6C-543A-46BB-8C37-0F6E000781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96039E52-0A0A-4D1C-AE43-E8EE96B3830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8194EE1B-CAF9-405D-AF5D-FCD3883871E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tc={CC13ACD8-45D4-4B2C-9D7B-BF3ADC3FDE90}</author>
    <author>tc={9951781E-904F-4748-96F8-853FD384AA7D}</author>
    <author>tc={923C47D5-1836-4B1E-9805-97E2B4E1D7A7}</author>
    <author>tc={ECA67E62-B345-4CF7-ABC7-03F247EB0CD4}</author>
  </authors>
  <commentList>
    <comment ref="I23" authorId="0" shapeId="0" xr:uid="{CC13ACD8-45D4-4B2C-9D7B-BF3ADC3FDE9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9951781E-904F-4748-96F8-853FD384AA7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923C47D5-1836-4B1E-9805-97E2B4E1D7A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ECA67E62-B345-4CF7-ABC7-03F247EB0CD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tc={7DD48045-716E-46DF-B2A6-3510071B89B7}</author>
    <author>tc={DD398D47-DEDA-4D7B-9087-9679C2C94A55}</author>
    <author>tc={B9C743F7-62BA-480A-AD9D-92E974516871}</author>
    <author>tc={4E9305AC-C2D2-43AE-AA82-E667443464CB}</author>
  </authors>
  <commentList>
    <comment ref="I23" authorId="0" shapeId="0" xr:uid="{7DD48045-716E-46DF-B2A6-3510071B89B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DD398D47-DEDA-4D7B-9087-9679C2C94A5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B9C743F7-62BA-480A-AD9D-92E97451687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4E9305AC-C2D2-43AE-AA82-E667443464C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tc={35D7A46C-A67B-4267-93FB-FC2D0E56781D}</author>
    <author>tc={B5F9A0E1-B619-48D9-A024-1B8E714E4825}</author>
    <author>tc={0CD3760C-BB0B-40C2-95BC-3CDF4E5C3D54}</author>
    <author>tc={9F5810E7-36A3-41D8-AFE5-1AEDCDE7A7ED}</author>
  </authors>
  <commentList>
    <comment ref="I23" authorId="0" shapeId="0" xr:uid="{35D7A46C-A67B-4267-93FB-FC2D0E56781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1" shapeId="0" xr:uid="{B5F9A0E1-B619-48D9-A024-1B8E714E482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2" shapeId="0" xr:uid="{0CD3760C-BB0B-40C2-95BC-3CDF4E5C3D5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3" shapeId="0" xr:uid="{9F5810E7-36A3-41D8-AFE5-1AEDCDE7A7E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tc={F3E67899-D68E-41A2-8FC9-AEA3CCF03828}</author>
    <author>tc={A3C7AAEF-924C-4054-8E78-1BB0871DE043}</author>
    <author>tc={E5C72956-EECB-4F42-964A-03352A3FC8B8}</author>
    <author>tc={03FC9DEA-30D6-40A2-9E81-A3EFDA6CCBA4}</author>
  </authors>
  <commentList>
    <comment ref="A19" authorId="0" shapeId="0" xr:uid="{07F737F6-BF79-49EB-A868-F31AAD8399BF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F3E67899-D68E-41A2-8FC9-AEA3CCF0382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A3C7AAEF-924C-4054-8E78-1BB0871DE04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E5C72956-EECB-4F42-964A-03352A3FC8B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03FC9DEA-30D6-40A2-9E81-A3EFDA6CCBA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tc={D929B4EE-8CFA-41F2-8C36-E52742ECD068}</author>
    <author>tc={F306D9A5-F0BE-458D-B6AD-850EC451D40B}</author>
    <author>tc={07EC5E65-0103-4384-A171-32BAE658ED1C}</author>
    <author>tc={2B227751-1891-4602-A4DA-CF550D385CDF}</author>
  </authors>
  <commentList>
    <comment ref="A19" authorId="0" shapeId="0" xr:uid="{683B3CB6-8563-46E4-BFCB-DAF2D0A5B8D9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D929B4EE-8CFA-41F2-8C36-E52742ECD06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F306D9A5-F0BE-458D-B6AD-850EC451D40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07EC5E65-0103-4384-A171-32BAE658ED1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2B227751-1891-4602-A4DA-CF550D385CD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tc={349C91B9-1ECB-4E43-B034-A4D7F033EF81}</author>
    <author>tc={9E27B796-3106-4B26-B4B8-674841AEF3A8}</author>
    <author>tc={1770E706-FAA1-4A24-AF74-808FC21D9384}</author>
    <author>tc={9F872FC4-C964-4200-A63E-D625D91F9508}</author>
  </authors>
  <commentList>
    <comment ref="A19" authorId="0" shapeId="0" xr:uid="{74781513-7652-4AFC-B127-FA90DEE77C7F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349C91B9-1ECB-4E43-B034-A4D7F033EF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9E27B796-3106-4B26-B4B8-674841AEF3A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1770E706-FAA1-4A24-AF74-808FC21D938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9F872FC4-C964-4200-A63E-D625D91F950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tc={9FBD3EA8-3B23-48E4-88FB-E9A584270645}</author>
    <author>tc={229AB667-B59F-4143-8490-03ED39279E7E}</author>
    <author>tc={E1BAA653-3BAD-4EEC-B26E-B6438E0326B2}</author>
    <author>tc={B9C09819-B3BE-4961-BF33-FE800775AAE3}</author>
  </authors>
  <commentList>
    <comment ref="A19" authorId="0" shapeId="0" xr:uid="{8D11F249-3663-4FE3-B0F1-1728C17C91BE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9FBD3EA8-3B23-48E4-88FB-E9A58427064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229AB667-B59F-4143-8490-03ED39279E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E1BAA653-3BAD-4EEC-B26E-B6438E0326B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B9C09819-B3BE-4961-BF33-FE800775AAE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tc={8C91E0DD-22E6-4036-AA64-6B30D2C69B9D}</author>
    <author>tc={B267A68A-D447-47D4-8FC2-AF41CD37C308}</author>
    <author>tc={A47E86D9-BD64-4378-BFBA-E4C11CAC75FF}</author>
    <author>tc={533D7670-116D-45CE-AC7C-408A01324B31}</author>
  </authors>
  <commentList>
    <comment ref="A19" authorId="0" shapeId="0" xr:uid="{FA8CF31B-AAF8-4C19-A45A-D55E759AB9A6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8C91E0DD-22E6-4036-AA64-6B30D2C69B9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B267A68A-D447-47D4-8FC2-AF41CD37C30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A47E86D9-BD64-4378-BFBA-E4C11CAC75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533D7670-116D-45CE-AC7C-408A01324B3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tc={AEE0BAD7-168F-4129-91EE-25E9AED00A38}</author>
    <author>tc={1528C2C9-2D4D-4467-8797-2F3A815A8481}</author>
    <author>tc={4C71DCD0-87C5-46BA-856A-175DEA8FD5E8}</author>
    <author>tc={7DCA27DC-B927-434F-9EDC-46130142A41F}</author>
  </authors>
  <commentList>
    <comment ref="A19" authorId="0" shapeId="0" xr:uid="{74094596-8D78-4FBA-B165-DDDD46D8F18B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AEE0BAD7-168F-4129-91EE-25E9AED00A3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1528C2C9-2D4D-4467-8797-2F3A815A848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4C71DCD0-87C5-46BA-856A-175DEA8FD5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7DCA27DC-B927-434F-9EDC-46130142A41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tc={72B9B2FA-6333-4D55-A166-5B0B248F40D5}</author>
    <author>tc={2BC08D13-3477-4479-83C2-8C36E834D37C}</author>
    <author>tc={2153E780-AD56-44EB-9102-40E38BC63C89}</author>
    <author>tc={97E97678-2B98-42BA-AC4E-CB6A26FDF1DD}</author>
  </authors>
  <commentList>
    <comment ref="A19" authorId="0" shapeId="0" xr:uid="{5607BD3D-E0EA-4024-84F8-544683FC7D2E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72B9B2FA-6333-4D55-A166-5B0B248F40D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2BC08D13-3477-4479-83C2-8C36E834D37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153E780-AD56-44EB-9102-40E38BC63C8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97E97678-2B98-42BA-AC4E-CB6A26FDF1D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tc={52D84A5A-648C-4B92-991E-B18856612C64}</author>
    <author>tc={3931DB73-5715-411B-A73E-86FEB83A5D89}</author>
    <author>tc={196EEB06-76CA-43CC-917A-BC74CFC078ED}</author>
    <author>tc={B647E92C-C07C-4392-B4B6-2525B4A3BBE9}</author>
  </authors>
  <commentList>
    <comment ref="A19" authorId="0" shapeId="0" xr:uid="{C9AA337A-6C1D-4817-8C2B-4FA049832490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52D84A5A-648C-4B92-991E-B18856612C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3931DB73-5715-411B-A73E-86FEB83A5D8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196EEB06-76CA-43CC-917A-BC74CFC078E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B647E92C-C07C-4392-B4B6-2525B4A3BBE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tc={77EFD85D-553A-4F5D-A260-1042367DE5D7}</author>
    <author>tc={975B3A77-01F0-4A3B-8B64-86A2EEDAE26E}</author>
    <author>tc={2A7D2967-BFF9-4E99-B9C0-630F07686992}</author>
    <author>tc={8BF50199-24E2-4CFF-9264-BA6A855072A0}</author>
  </authors>
  <commentList>
    <comment ref="A19" authorId="0" shapeId="0" xr:uid="{EA8D9925-C3DE-4162-8464-F78922D2634D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77EFD85D-553A-4F5D-A260-1042367DE5D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975B3A77-01F0-4A3B-8B64-86A2EEDAE26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A7D2967-BFF9-4E99-B9C0-630F0768699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8BF50199-24E2-4CFF-9264-BA6A855072A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tc={60C6BA41-187C-4BA3-8F29-FE8BCF888E6E}</author>
    <author>tc={26177A6B-9825-40B2-BEE0-31FA2565BBCA}</author>
    <author>tc={231FC687-C82F-4A7E-ADED-001FF83B8B16}</author>
    <author>tc={254A52C9-542D-4E31-BF46-3687FAA993CD}</author>
  </authors>
  <commentList>
    <comment ref="A19" authorId="0" shapeId="0" xr:uid="{04156BF9-C7BF-4A15-B095-4AC6BC479FD4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60C6BA41-187C-4BA3-8F29-FE8BCF888E6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26177A6B-9825-40B2-BEE0-31FA2565BBC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31FC687-C82F-4A7E-ADED-001FF83B8B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254A52C9-542D-4E31-BF46-3687FAA993C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tc={C8448595-4E74-4861-98F6-BB8DFD6804FD}</author>
    <author>tc={61AC0FC3-4D66-43BA-BD93-1BA32092FEE9}</author>
    <author>tc={EFD69EE7-EFB6-451B-91D5-301E3EDD6531}</author>
    <author>tc={8B2C3E2F-7E81-4CEC-803C-7DC5CF3B9239}</author>
  </authors>
  <commentList>
    <comment ref="A19" authorId="0" shapeId="0" xr:uid="{11E767B0-CC01-4924-A442-55F283D270D9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C8448595-4E74-4861-98F6-BB8DFD6804F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61AC0FC3-4D66-43BA-BD93-1BA32092FEE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EFD69EE7-EFB6-451B-91D5-301E3EDD653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8B2C3E2F-7E81-4CEC-803C-7DC5CF3B923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tc={5708C062-A76E-476A-B4E3-27EFA270F184}</author>
    <author>tc={207C24BD-9788-4AEF-998C-8BAF7BE54B45}</author>
    <author>tc={71DC15B1-AF25-424A-A3FF-CECE5C1B6793}</author>
    <author>tc={9B2FA1F4-5D4D-4353-B7AA-955288914809}</author>
  </authors>
  <commentList>
    <comment ref="A19" authorId="0" shapeId="0" xr:uid="{49DD8899-7BE9-4604-93E1-31A4CE53677F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5708C062-A76E-476A-B4E3-27EFA270F18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207C24BD-9788-4AEF-998C-8BAF7BE54B4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71DC15B1-AF25-424A-A3FF-CECE5C1B679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9B2FA1F4-5D4D-4353-B7AA-95528891480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tc={641F5EC9-21D7-45E6-86D6-059559484EBA}</author>
    <author>tc={F481ED15-01A8-49ED-9398-50C9370B6266}</author>
    <author>tc={D44892F0-910F-4D31-8F97-F66EA21004BF}</author>
    <author>tc={C8DC07FA-C306-4511-A2F7-874655AFE475}</author>
  </authors>
  <commentList>
    <comment ref="A19" authorId="0" shapeId="0" xr:uid="{1EE22924-F5A9-4718-BE5C-6526F60992A8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641F5EC9-21D7-45E6-86D6-059559484EB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F481ED15-01A8-49ED-9398-50C9370B62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D44892F0-910F-4D31-8F97-F66EA21004B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C8DC07FA-C306-4511-A2F7-874655AFE47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tc={D98A7CE1-917A-4B42-A781-9AF641ED7D98}</author>
    <author>tc={C2F44C5F-B827-4C57-AF73-CC57DAE033CF}</author>
    <author>tc={EE65E3A0-89E1-4557-B23E-DC732B950AAC}</author>
    <author>tc={7F1CBB9E-6593-4893-BC53-A6F1767B5911}</author>
  </authors>
  <commentList>
    <comment ref="A19" authorId="0" shapeId="0" xr:uid="{62EF335B-6369-4F6F-88EF-7AA9CC0AE900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D98A7CE1-917A-4B42-A781-9AF641ED7D9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C2F44C5F-B827-4C57-AF73-CC57DAE033C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EE65E3A0-89E1-4557-B23E-DC732B950AA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7F1CBB9E-6593-4893-BC53-A6F1767B591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tc={96B647D4-1281-4561-958D-7467EC72F120}</author>
    <author>tc={6277FAE0-3639-4B3A-A681-5321C4BFBFFA}</author>
    <author>tc={22CBA997-85B6-48A4-AFB9-8A49C3F55BBB}</author>
    <author>tc={886325A5-5DE9-4DDF-8B3A-8AC76BD7504D}</author>
  </authors>
  <commentList>
    <comment ref="A19" authorId="0" shapeId="0" xr:uid="{8F55E01E-5EDD-4850-A164-5E54417CEB86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96B647D4-1281-4561-958D-7467EC72F12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6277FAE0-3639-4B3A-A681-5321C4BFBFF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2CBA997-85B6-48A4-AFB9-8A49C3F55BB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886325A5-5DE9-4DDF-8B3A-8AC76BD750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tc={F0EF2B70-5DF6-46D7-B6C2-82403DC154E2}</author>
    <author>tc={878A76A4-C930-4BBD-9EBD-5B0D489F28DB}</author>
    <author>tc={798AB35E-B24F-4C29-B4C8-353F27743F91}</author>
    <author>tc={1AA8F8D3-055D-4ABF-B5A5-6D67836C6F56}</author>
  </authors>
  <commentList>
    <comment ref="A19" authorId="0" shapeId="0" xr:uid="{B5568187-1A96-4C81-8A2C-B73D0BDE5649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F0EF2B70-5DF6-46D7-B6C2-82403DC154E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878A76A4-C930-4BBD-9EBD-5B0D489F28D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798AB35E-B24F-4C29-B4C8-353F27743F9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1AA8F8D3-055D-4ABF-B5A5-6D67836C6F5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tc={D4F28A3D-FBBE-403D-A341-4B6AE6328D41}</author>
    <author>tc={DE3015AF-4DA2-4F85-8888-BA9FF2E4D3DB}</author>
    <author>tc={878045C2-00F8-4C74-899C-C695E9819CC6}</author>
    <author>tc={3590AF96-F9B0-49EA-96B0-10437F709299}</author>
  </authors>
  <commentList>
    <comment ref="A19" authorId="0" shapeId="0" xr:uid="{572063CD-10A2-4033-8048-0A623127FB0F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D4F28A3D-FBBE-403D-A341-4B6AE6328D4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DE3015AF-4DA2-4F85-8888-BA9FF2E4D3D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878045C2-00F8-4C74-899C-C695E9819CC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3590AF96-F9B0-49EA-96B0-10437F70929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tc={138D0877-B3B0-49BB-87D9-0EFAFC1E52E5}</author>
    <author>tc={97BA67AE-22E0-4E21-AA12-C0E85D76DA8D}</author>
    <author>tc={BE3144C6-6EE3-4E59-B1E3-04FD8DEF2F1A}</author>
    <author>tc={E730483B-0449-4679-9736-AB215BFB2C29}</author>
  </authors>
  <commentList>
    <comment ref="A19" authorId="0" shapeId="0" xr:uid="{572AECAB-4236-402A-A54D-78CF44A5CD5F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138D0877-B3B0-49BB-87D9-0EFAFC1E52E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97BA67AE-22E0-4E21-AA12-C0E85D76DA8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BE3144C6-6EE3-4E59-B1E3-04FD8DEF2F1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E730483B-0449-4679-9736-AB215BFB2C2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tc={3D3B16BA-197F-4238-9A12-C2086F66F6C9}</author>
    <author>tc={E3820808-E4CA-4EE6-94BD-6EABC1243EAB}</author>
    <author>tc={05DE8401-2643-4358-A0DF-FC95422AC82F}</author>
    <author>tc={8DE8540B-7913-4929-809A-BF0D20B5A256}</author>
  </authors>
  <commentList>
    <comment ref="A19" authorId="0" shapeId="0" xr:uid="{218D3420-DF0D-4E28-9833-80563CA0840D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3D3B16BA-197F-4238-9A12-C2086F66F6C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E3820808-E4CA-4EE6-94BD-6EABC1243EA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05DE8401-2643-4358-A0DF-FC95422AC82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8DE8540B-7913-4929-809A-BF0D20B5A25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tc={B71BDB02-03B7-4A4D-BD5C-CB914D841BC4}</author>
    <author>tc={FF8A9401-F0E5-42D5-89B7-1D2967A976B6}</author>
    <author>tc={08D8A156-D190-4934-B129-642A6348027E}</author>
    <author>tc={5C2BC2D1-8360-4D48-B110-43D33FE45E4B}</author>
  </authors>
  <commentList>
    <comment ref="A19" authorId="0" shapeId="0" xr:uid="{23ADBD5B-B2B4-4523-A6EA-D2A304A6482E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B71BDB02-03B7-4A4D-BD5C-CB914D841BC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FF8A9401-F0E5-42D5-89B7-1D2967A976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08D8A156-D190-4934-B129-642A6348027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5C2BC2D1-8360-4D48-B110-43D33FE45E4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tc={8E7568F5-B715-4F08-B9B1-750E0AFF27E3}</author>
    <author>tc={F05BCB95-60D7-4B3D-A2FF-4E73037CCE02}</author>
    <author>tc={64C5DAAB-75B4-495B-9473-DC6343DAD6EB}</author>
    <author>tc={ECADA13C-B04B-4AC0-9308-FECC5707552F}</author>
  </authors>
  <commentList>
    <comment ref="A19" authorId="0" shapeId="0" xr:uid="{2E21ABCF-31B7-4B1C-B5B2-213F4E1F0042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8E7568F5-B715-4F08-B9B1-750E0AFF27E3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F05BCB95-60D7-4B3D-A2FF-4E73037CCE0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64C5DAAB-75B4-495B-9473-DC6343DAD6E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ECADA13C-B04B-4AC0-9308-FECC5707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tc={ACCAE9DE-D9B2-4A9D-834A-66D217F93BFF}</author>
    <author>tc={15DE6105-C65E-400E-8526-6D3AED2BF0A8}</author>
    <author>tc={FC4165F8-1358-45C8-AAB7-B3D500ED3B8A}</author>
    <author>tc={4B08B95D-D8A6-42CA-A062-C5D93C727EBA}</author>
  </authors>
  <commentList>
    <comment ref="A19" authorId="0" shapeId="0" xr:uid="{45C2865C-D622-45D3-BB96-0B4FA58EE609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ACCAE9DE-D9B2-4A9D-834A-66D217F93B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15DE6105-C65E-400E-8526-6D3AED2BF0A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FC4165F8-1358-45C8-AAB7-B3D500ED3B8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4B08B95D-D8A6-42CA-A062-C5D93C727EB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tc={8DE5EBFA-C432-46BB-9A87-0B0B6AC52D7F}</author>
    <author>tc={D4681BDE-1328-4793-B044-8765A33B8714}</author>
    <author>tc={EAB6EDC4-20AC-4AA3-945F-385247AAE16B}</author>
    <author>tc={B0C81660-2814-4A90-9DD1-820A04F451E1}</author>
  </authors>
  <commentList>
    <comment ref="A19" authorId="0" shapeId="0" xr:uid="{A0E85104-8B8C-4EEE-8EFB-165DA8E082D2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8DE5EBFA-C432-46BB-9A87-0B0B6AC52D7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D4681BDE-1328-4793-B044-8765A33B871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EAB6EDC4-20AC-4AA3-945F-385247AAE16B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B0C81660-2814-4A90-9DD1-820A04F451E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tc={4255E1B8-D543-4E91-9AC6-96ACD409E119}</author>
    <author>tc={555A4941-7CD1-44F1-B1B7-FB5CF9F8AEDA}</author>
    <author>tc={6E37909A-9917-40FE-812F-3DD17AA0F4A5}</author>
    <author>tc={8DBB2566-8994-4ED2-8A7B-754F2241A33F}</author>
  </authors>
  <commentList>
    <comment ref="A19" authorId="0" shapeId="0" xr:uid="{C03F8DAB-614F-49A6-A253-0FE0C0F0B606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4255E1B8-D543-4E91-9AC6-96ACD409E11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555A4941-7CD1-44F1-B1B7-FB5CF9F8AED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6E37909A-9917-40FE-812F-3DD17AA0F4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8DBB2566-8994-4ED2-8A7B-754F2241A33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tc={C74BC4FD-5908-465D-A39E-F9E6E8E68B26}</author>
    <author>tc={8418E015-4B13-49B8-90B1-905FD9E132AD}</author>
    <author>tc={4E078081-EE34-4693-BBAB-5DF6A4552DF4}</author>
    <author>tc={78B6765F-EBCE-4798-B57B-B4096105349A}</author>
  </authors>
  <commentList>
    <comment ref="A19" authorId="0" shapeId="0" xr:uid="{D41B82A7-C4BB-4B9E-8095-4FDD5E030D72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C74BC4FD-5908-465D-A39E-F9E6E8E68B2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8418E015-4B13-49B8-90B1-905FD9E132A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4E078081-EE34-4693-BBAB-5DF6A4552DF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78B6765F-EBCE-4798-B57B-B4096105349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tc={A04C220A-771E-4027-B7DC-9BEB6EC649EE}</author>
    <author>tc={724EC77F-1B08-4BEF-88C2-9D56B951ABB5}</author>
    <author>tc={2187C72B-3E04-43D2-9176-A120030BA882}</author>
    <author>tc={1B7ED5EE-0D73-4FE9-B137-1B39C028E3B4}</author>
  </authors>
  <commentList>
    <comment ref="A19" authorId="0" shapeId="0" xr:uid="{33367F80-1425-42DC-8F86-3514399FF3E9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A04C220A-771E-4027-B7DC-9BEB6EC649E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724EC77F-1B08-4BEF-88C2-9D56B951ABB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187C72B-3E04-43D2-9176-A120030BA88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1B7ED5EE-0D73-4FE9-B137-1B39C028E3B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tc={D3F82FC8-BD63-4998-9171-80039F48CD4D}</author>
    <author>tc={35C6D91A-A7C3-43A1-83A0-68FA7D2B13E4}</author>
    <author>tc={382D06F8-7C76-4B5B-8147-302771E2D510}</author>
    <author>tc={68661285-1B42-4A2A-A350-361EA9410F30}</author>
  </authors>
  <commentList>
    <comment ref="A19" authorId="0" shapeId="0" xr:uid="{F6E27550-2B56-47EC-811F-4313A06F3D5E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D3F82FC8-BD63-4998-9171-80039F48CD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35C6D91A-A7C3-43A1-83A0-68FA7D2B13E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382D06F8-7C76-4B5B-8147-302771E2D51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68661285-1B42-4A2A-A350-361EA9410F3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tc={03431236-9240-4720-AC01-0C288143CBA6}</author>
    <author>tc={F84B0698-A009-460E-93BD-AB65D52CB1B9}</author>
    <author>tc={268C4598-21FF-40E6-BDDB-3418B115FA66}</author>
    <author>tc={D2D64CD9-041D-40C9-8C31-A286B0BE8E00}</author>
  </authors>
  <commentList>
    <comment ref="A19" authorId="0" shapeId="0" xr:uid="{544AB2D2-A087-4422-8390-C6A89A490592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03431236-9240-4720-AC01-0C288143CB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F84B0698-A009-460E-93BD-AB65D52CB1B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68C4598-21FF-40E6-BDDB-3418B115FA6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D2D64CD9-041D-40C9-8C31-A286B0BE8E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tc={1F8FDB6E-3676-4AF2-8529-A82900C0215D}</author>
    <author>tc={DB41DC7A-9EAD-4B83-A1D9-3397A38D6CC2}</author>
    <author>tc={A003BF00-146A-419F-B0C7-0A7551B6D571}</author>
    <author>tc={B90D6E2C-A891-4FFF-ACF0-E60791A980E5}</author>
  </authors>
  <commentList>
    <comment ref="A19" authorId="0" shapeId="0" xr:uid="{B290F19B-D3D6-441A-8016-9160BC12E17F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1F8FDB6E-3676-4AF2-8529-A82900C0215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DB41DC7A-9EAD-4B83-A1D9-3397A38D6CC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A003BF00-146A-419F-B0C7-0A7551B6D57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B90D6E2C-A891-4FFF-ACF0-E60791A980E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tc={D88D3C63-CF59-4EE3-8A7C-7C67FDA8FF40}</author>
    <author>tc={4F959211-011F-463F-A42E-384518ED7D80}</author>
    <author>tc={6E27A890-7C34-4F53-B3EB-3CA92F5BE936}</author>
    <author>tc={698013B4-3438-434B-985B-FA023E68F4A9}</author>
  </authors>
  <commentList>
    <comment ref="A19" authorId="0" shapeId="0" xr:uid="{FB29BA2B-BEA0-4FB6-A64C-5701C31A9B2A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D88D3C63-CF59-4EE3-8A7C-7C67FDA8FF4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4F959211-011F-463F-A42E-384518ED7D8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6E27A890-7C34-4F53-B3EB-3CA92F5BE93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698013B4-3438-434B-985B-FA023E68F4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tc={60F1F5CD-A039-4E8D-823E-6425342DF4D4}</author>
    <author>tc={69E2AE67-6FDC-4B99-81A6-7AF9752AECD4}</author>
    <author>tc={0142E04E-3FF6-4B28-AEC2-0833DC6E29A9}</author>
    <author>tc={A0E17ABC-72E7-4BA4-B277-3DB86C8A3CE4}</author>
  </authors>
  <commentList>
    <comment ref="A19" authorId="0" shapeId="0" xr:uid="{53F51E26-8780-41A5-9F9E-8008536B5C40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60F1F5CD-A039-4E8D-823E-6425342DF4D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69E2AE67-6FDC-4B99-81A6-7AF9752AECD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0142E04E-3FF6-4B28-AEC2-0833DC6E29A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A0E17ABC-72E7-4BA4-B277-3DB86C8A3CE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tc={9AB40D37-C428-4FBE-B911-EEAEAA572B1F}</author>
    <author>tc={234305FC-A74F-408D-99FF-EBC305ADAAF8}</author>
    <author>tc={68718D61-3291-40BF-BBE6-D52A355859E2}</author>
    <author>tc={27BC8AC9-6F56-484D-878A-207DC1241300}</author>
  </authors>
  <commentList>
    <comment ref="A19" authorId="0" shapeId="0" xr:uid="{9F2A81B1-B591-49B3-9241-B39936F9457C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9AB40D37-C428-4FBE-B911-EEAEAA572B1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234305FC-A74F-408D-99FF-EBC305ADAAF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68718D61-3291-40BF-BBE6-D52A355859E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27BC8AC9-6F56-484D-878A-207DC12413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tc={FF314E49-977C-4772-9EDF-AC1AC460103C}</author>
    <author>tc={92EC267D-BCD7-4EA8-8437-CF2406AEFF2E}</author>
    <author>tc={3E76ECDB-74F9-46EF-94D9-888D0AFD75E4}</author>
    <author>tc={ED7EBAA0-5245-4B84-8BD2-F5AEE429DBBD}</author>
  </authors>
  <commentList>
    <comment ref="A19" authorId="0" shapeId="0" xr:uid="{33BC988A-C35D-4150-9413-4C3AC8734BF2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FF314E49-977C-4772-9EDF-AC1AC460103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92EC267D-BCD7-4EA8-8437-CF2406AEFF2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3E76ECDB-74F9-46EF-94D9-888D0AFD75E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ED7EBAA0-5245-4B84-8BD2-F5AEE429DBB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tc={DEA2CC3A-52F7-4BE4-A4FB-090A119311B4}</author>
    <author>tc={FA980D15-0BA0-449E-8F23-0740C247BBFF}</author>
    <author>tc={4FCFD572-4E69-4B91-8EF7-DC787649746F}</author>
    <author>tc={5E82D513-FC63-4129-A0A1-39E84F9228BE}</author>
  </authors>
  <commentList>
    <comment ref="A19" authorId="0" shapeId="0" xr:uid="{E02BE9A1-215C-4C43-A8D9-C922AF09C2A3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DEA2CC3A-52F7-4BE4-A4FB-090A119311B4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FA980D15-0BA0-449E-8F23-0740C247BB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4FCFD572-4E69-4B91-8EF7-DC787649746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5E82D513-FC63-4129-A0A1-39E84F9228B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tc={5B9E7F37-5F92-41A6-9702-AC394EB1622C}</author>
    <author>tc={AFD52B0A-EFA8-45D7-BAF1-0E3C23CD8250}</author>
    <author>tc={08EA3244-C05C-4F8A-8609-2427DED220CA}</author>
    <author>tc={6172E231-99E3-4061-A8FE-7C7180DF1F58}</author>
  </authors>
  <commentList>
    <comment ref="A19" authorId="0" shapeId="0" xr:uid="{7615D9A1-E117-4AD8-B0E2-794D68640471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5B9E7F37-5F92-41A6-9702-AC394EB1622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AFD52B0A-EFA8-45D7-BAF1-0E3C23CD825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08EA3244-C05C-4F8A-8609-2427DED220C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6172E231-99E3-4061-A8FE-7C7180DF1F5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tc={70584FA7-BE5B-401D-8D81-9D8820A256E1}</author>
    <author>tc={A4B30AE3-A257-456C-AB28-70402593DDA5}</author>
    <author>tc={2DFD0EFF-B283-46E9-94BE-652E211673CE}</author>
    <author>tc={615A08A4-8892-43CC-9E25-4140A257EAEA}</author>
  </authors>
  <commentList>
    <comment ref="A19" authorId="0" shapeId="0" xr:uid="{D0B8DF43-A850-4478-A808-B510FB8D4F6A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70584FA7-BE5B-401D-8D81-9D8820A256E1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A4B30AE3-A257-456C-AB28-70402593DD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2DFD0EFF-B283-46E9-94BE-652E211673C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615A08A4-8892-43CC-9E25-4140A257EAEA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 Smith</author>
    <author>tc={2E10E34A-6560-4526-BEEF-7F0A129835D8}</author>
    <author>tc={1B5A20C0-C1C9-4BE1-9A61-1FD9BCEF46B6}</author>
    <author>tc={C71C81D3-70D6-452E-8CCF-AE71823CF94D}</author>
    <author>tc={05EABD73-D329-48C3-B20F-9B8C6F2A2B05}</author>
  </authors>
  <commentList>
    <comment ref="A19" authorId="0" shapeId="0" xr:uid="{E705EF66-15E2-4471-B593-DA89E663054E}">
      <text>
        <r>
          <rPr>
            <b/>
            <sz val="9"/>
            <color indexed="81"/>
            <rFont val="Tahoma"/>
            <family val="2"/>
          </rPr>
          <t>AJ Smith: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" authorId="1" shapeId="0" xr:uid="{2E10E34A-6560-4526-BEEF-7F0A129835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$90/unit/mth if paid by Landlord</t>
      </text>
    </comment>
    <comment ref="I24" authorId="2" shapeId="0" xr:uid="{1B5A20C0-C1C9-4BE1-9A61-1FD9BCEF46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$70/unit/mth if covered by landlord</t>
      </text>
    </comment>
    <comment ref="I25" authorId="3" shapeId="0" xr:uid="{C71C81D3-70D6-452E-8CCF-AE71823CF94D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$50/door</t>
      </text>
    </comment>
    <comment ref="I26" authorId="4" shapeId="0" xr:uid="{05EABD73-D329-48C3-B20F-9B8C6F2A2B0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$140 average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<sst xmlns="http://schemas.openxmlformats.org/spreadsheetml/2006/main" count="15297" uniqueCount="335">
  <si>
    <t>AJ's Quick Property Analyzer</t>
  </si>
  <si>
    <r>
      <rPr>
        <b/>
        <u/>
        <sz val="9"/>
        <color theme="1"/>
        <rFont val="Calibri"/>
        <family val="2"/>
        <scheme val="minor"/>
      </rPr>
      <t>NOTE</t>
    </r>
    <r>
      <rPr>
        <sz val="9"/>
        <color theme="1"/>
        <rFont val="Calibri"/>
        <family val="2"/>
        <scheme val="minor"/>
      </rPr>
      <t xml:space="preserve">: Only input information in GRAY cells. 
</t>
    </r>
    <r>
      <rPr>
        <b/>
        <sz val="9"/>
        <color theme="1"/>
        <rFont val="Calibri"/>
        <family val="2"/>
        <scheme val="minor"/>
      </rPr>
      <t>BOLD</t>
    </r>
    <r>
      <rPr>
        <sz val="9"/>
        <color theme="1"/>
        <rFont val="Calibri"/>
        <family val="2"/>
        <scheme val="minor"/>
      </rPr>
      <t xml:space="preserve"> cells contain formulas based on your entries.</t>
    </r>
  </si>
  <si>
    <t>Target Market</t>
  </si>
  <si>
    <r>
      <t xml:space="preserve">
</t>
    </r>
    <r>
      <rPr>
        <b/>
        <i/>
        <u/>
        <sz val="11"/>
        <color theme="1"/>
        <rFont val="Calibri"/>
        <family val="2"/>
        <scheme val="minor"/>
      </rPr>
      <t>How to Quickly Estimate Rehab Cost:</t>
    </r>
    <r>
      <rPr>
        <sz val="11"/>
        <color theme="1"/>
        <rFont val="Calibri"/>
        <family val="2"/>
        <scheme val="minor"/>
      </rPr>
      <t xml:space="preserve">
1. Find total square footage of property
2. Look at pictures to asses condition
3. </t>
    </r>
    <r>
      <rPr>
        <b/>
        <sz val="11"/>
        <color theme="1"/>
        <rFont val="Calibri"/>
        <family val="2"/>
        <scheme val="minor"/>
      </rPr>
      <t xml:space="preserve">Light Rehab </t>
    </r>
    <r>
      <rPr>
        <sz val="11"/>
        <color theme="1"/>
        <rFont val="Calibri"/>
        <family val="2"/>
        <scheme val="minor"/>
      </rPr>
      <t>(paint, flooring, cosmetic)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scheme val="minor"/>
      </rPr>
      <t>$15/sqft</t>
    </r>
    <r>
      <rPr>
        <sz val="11"/>
        <color theme="1"/>
        <rFont val="Calibri"/>
        <family val="2"/>
        <scheme val="minor"/>
      </rPr>
      <t xml:space="preserve">
4. </t>
    </r>
    <r>
      <rPr>
        <b/>
        <sz val="11"/>
        <color theme="1"/>
        <rFont val="Calibri"/>
        <family val="2"/>
        <scheme val="minor"/>
      </rPr>
      <t xml:space="preserve">Medium Rehab </t>
    </r>
    <r>
      <rPr>
        <sz val="11"/>
        <color theme="1"/>
        <rFont val="Calibri"/>
        <family val="2"/>
        <scheme val="minor"/>
      </rPr>
      <t>(Update kitchens &amp; baths, layout, etc)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scheme val="minor"/>
      </rPr>
      <t>$25/sqft</t>
    </r>
    <r>
      <rPr>
        <sz val="11"/>
        <color theme="1"/>
        <rFont val="Calibri"/>
        <family val="2"/>
        <scheme val="minor"/>
      </rPr>
      <t xml:space="preserve">
5. </t>
    </r>
    <r>
      <rPr>
        <b/>
        <sz val="11"/>
        <color theme="1"/>
        <rFont val="Calibri"/>
        <family val="2"/>
        <scheme val="minor"/>
      </rPr>
      <t xml:space="preserve">Heavy Rehab </t>
    </r>
    <r>
      <rPr>
        <sz val="11"/>
        <color theme="1"/>
        <rFont val="Calibri"/>
        <family val="2"/>
        <scheme val="minor"/>
      </rPr>
      <t>(New drywall, roof, etc. Fixing MEP)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scheme val="minor"/>
      </rPr>
      <t xml:space="preserve">$35/sqft </t>
    </r>
    <r>
      <rPr>
        <sz val="11"/>
        <color theme="1"/>
        <rFont val="Calibri"/>
        <family val="2"/>
        <scheme val="minor"/>
      </rPr>
      <t xml:space="preserve">
6. </t>
    </r>
    <r>
      <rPr>
        <b/>
        <sz val="11"/>
        <color theme="1"/>
        <rFont val="Calibri"/>
        <family val="2"/>
        <scheme val="minor"/>
      </rPr>
      <t xml:space="preserve">Full-Gut Rehab </t>
    </r>
    <r>
      <rPr>
        <sz val="11"/>
        <color theme="1"/>
        <rFont val="Calibri"/>
        <family val="2"/>
        <scheme val="minor"/>
      </rPr>
      <t>(Barebones required, new everything)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scheme val="minor"/>
      </rPr>
      <t>$50/sqft</t>
    </r>
    <r>
      <rPr>
        <sz val="11"/>
        <color theme="1"/>
        <rFont val="Calibri"/>
        <family val="2"/>
        <scheme val="minor"/>
      </rPr>
      <t xml:space="preserve"> 
USE THESE NUMBERS ONLY FOR ESTIMATE PURPOSES ---- Always check w/ contractors</t>
    </r>
  </si>
  <si>
    <t>PROPERTY INFO</t>
  </si>
  <si>
    <t>Property Address</t>
  </si>
  <si>
    <t>4037 Easton Blvd, Des Moines, IA 50317</t>
  </si>
  <si>
    <t>MLS#</t>
  </si>
  <si>
    <t>Property Listing Price</t>
  </si>
  <si>
    <t>Number of Units (Duplex, Triplex, 4plex)</t>
  </si>
  <si>
    <t>Square Footage</t>
  </si>
  <si>
    <t>Rehab Needed? (None/Light/Medium/Heavy/Full)</t>
  </si>
  <si>
    <t>None</t>
  </si>
  <si>
    <t>Bedrooms/Bathrooms</t>
  </si>
  <si>
    <t>4/2</t>
  </si>
  <si>
    <t>Crime Level (Low/Medium/High)</t>
  </si>
  <si>
    <t>Low</t>
  </si>
  <si>
    <t>Your Offer Price</t>
  </si>
  <si>
    <t>Rehab Price/Square Foot (Refer to Key on Right)</t>
  </si>
  <si>
    <t>Total Rehab Estimate</t>
  </si>
  <si>
    <t>Total Cost (Purchase + Rehab)</t>
  </si>
  <si>
    <t>MINIMUM Down Payment Required for Purchase</t>
  </si>
  <si>
    <t>Rents &gt;= $1400</t>
  </si>
  <si>
    <t>Conventional Loan Amount (Total - Down payment)</t>
  </si>
  <si>
    <t>FULL OCCUPANCY CASH FLOW</t>
  </si>
  <si>
    <t>HOUSEHACKING CASH FLOW</t>
  </si>
  <si>
    <t>Utilities (Varies by Property)</t>
  </si>
  <si>
    <t>Est. Monthly Rent (using Rentometer)</t>
  </si>
  <si>
    <t>Est. Monthly Rents</t>
  </si>
  <si>
    <t>Electricity</t>
  </si>
  <si>
    <t>1.2% Rule (Rent should be 1.2% of Purchase + Rehab)</t>
  </si>
  <si>
    <t>1.2% Rule</t>
  </si>
  <si>
    <t>Gas</t>
  </si>
  <si>
    <t>Does this PASS the 1% Rule?</t>
  </si>
  <si>
    <t>Does this PASS the 1.2% Rule?</t>
  </si>
  <si>
    <t>Water/Sewer/Trash</t>
  </si>
  <si>
    <t>Shoveling/Lawn Care</t>
  </si>
  <si>
    <t>Est. Monthly Payment (PITI + PMI)  - Mortg. Calculator</t>
  </si>
  <si>
    <t>Est. Monthly Payment</t>
  </si>
  <si>
    <t>Total</t>
  </si>
  <si>
    <t>Est. Monthly OpEx (PITI  + PMI + Utilities + Reserves)</t>
  </si>
  <si>
    <t xml:space="preserve">Est. Monthly OpEx </t>
  </si>
  <si>
    <t>Est. Monthly Cash flow  (Rent - OpEx)</t>
  </si>
  <si>
    <t>Est. Monthly Cash flow</t>
  </si>
  <si>
    <t>CoCRoI</t>
  </si>
  <si>
    <t>Reserves</t>
  </si>
  <si>
    <t>Vacancy (%)</t>
  </si>
  <si>
    <t>EQUITY AND PROFIT</t>
  </si>
  <si>
    <t>Repairs &amp; Maintenance (%)</t>
  </si>
  <si>
    <t>After Repair Value</t>
  </si>
  <si>
    <t>CapEx (%)</t>
  </si>
  <si>
    <t>Flip "Profit" (Equity)</t>
  </si>
  <si>
    <t>Management Fees (%)</t>
  </si>
  <si>
    <t xml:space="preserve">Return on Down Payment Investment </t>
  </si>
  <si>
    <t>REFINANCE OUT (Removing PMI) with FULL OCCUPANCY</t>
  </si>
  <si>
    <t>Mortgage Amount vs. ARV (%)</t>
  </si>
  <si>
    <t>Eligible for Immediate Refinance? (Less than 80%)</t>
  </si>
  <si>
    <t>Monthly PMI (mortgage insurance)</t>
  </si>
  <si>
    <t xml:space="preserve">Estimated Mortgage Payment After REFI </t>
  </si>
  <si>
    <t>New Monthly Cash flow</t>
  </si>
  <si>
    <t>Comps</t>
  </si>
  <si>
    <t>BR/BA</t>
  </si>
  <si>
    <t>Sqft</t>
  </si>
  <si>
    <t>Sale Price</t>
  </si>
  <si>
    <t>Finish</t>
  </si>
  <si>
    <t>Adj</t>
  </si>
  <si>
    <t>1241 72nd, Windsor Heights, Iowa 50324</t>
  </si>
  <si>
    <t>2/2</t>
  </si>
  <si>
    <t>4900 Douglas Avenue Des Moines, Iowa 50310</t>
  </si>
  <si>
    <t>1312 9th St Des Moines , Iowa</t>
  </si>
  <si>
    <t>Medium</t>
  </si>
  <si>
    <t>Light</t>
  </si>
  <si>
    <t>1130 66th St, Windsor Heights, IA, 50324</t>
  </si>
  <si>
    <t>6/2.5</t>
  </si>
  <si>
    <t>1409 University Ave, Des Moines, IA, 50314</t>
  </si>
  <si>
    <t>3121 Victoria Dr, Des Moines, IA, 50310</t>
  </si>
  <si>
    <t>1204 Southeast Belmont Drive, Ankeny, Iowa 50021</t>
  </si>
  <si>
    <t>1% Rule</t>
  </si>
  <si>
    <t>1% Rule (Rent should be 1% of Purchase + Rehab)</t>
  </si>
  <si>
    <t>6746 NW 4th Ct, Des Moines, IA, 50313</t>
  </si>
  <si>
    <t>302 SE 2nd St, Ankeny, IA, 50021</t>
  </si>
  <si>
    <t>2914 SW Glenbrooke Blvd, Ankeny, IA, 50023</t>
  </si>
  <si>
    <t>4/2.5</t>
  </si>
  <si>
    <t>625 12th Street, West Des Moines, Iowa 50265</t>
  </si>
  <si>
    <t>5/3</t>
  </si>
  <si>
    <t>4218 Northwest Linwood Drive, Ankeny, Iowa 50023</t>
  </si>
  <si>
    <t>15411 Aurora Ave, Urbandale, IA, 50323</t>
  </si>
  <si>
    <t>8838 Woodmayr Dr, Norwalk, IA, 50211</t>
  </si>
  <si>
    <t>4/1.5</t>
  </si>
  <si>
    <t>2812 SW Plaza Ln, Ankeny, IA, 50023</t>
  </si>
  <si>
    <t>843 Euclid Ave, Des Moines, IA, 50313</t>
  </si>
  <si>
    <t>4320 66th St, Urbandale, IA, 50322</t>
  </si>
  <si>
    <t>5/2</t>
  </si>
  <si>
    <t>1910 7th Street, Des Moines, Iowa 50314</t>
  </si>
  <si>
    <t>4/1</t>
  </si>
  <si>
    <t>5600 Hickman Rd, Des Moines, IA 50310</t>
  </si>
  <si>
    <t>505 6th Street Pl SE, Altoona, IA, 50009</t>
  </si>
  <si>
    <t>3914 77th St, Urbandale, IA 50322</t>
  </si>
  <si>
    <t>863 NW 45th Ave, Des Moines, IA 50313</t>
  </si>
  <si>
    <t>3009 NW 29th St, Ankeny, IA 50023</t>
  </si>
  <si>
    <t>3/1</t>
  </si>
  <si>
    <t>4009 Douglas Avenue, Des Moines, Iowa 50310</t>
  </si>
  <si>
    <t>Heavy</t>
  </si>
  <si>
    <t>805 Southeast Belmont Drive, Ankeny, Iowa 50021</t>
  </si>
  <si>
    <t>1204 SE Belmont Dr, Ankeny, IA 50021</t>
  </si>
  <si>
    <t>2319 SW 35th St, Ankeny, IA, 50023</t>
  </si>
  <si>
    <t>20% Down Payment Required for Purchase</t>
  </si>
  <si>
    <t>2124 University Avenue, Des Moines, Iowa 50311, United States</t>
  </si>
  <si>
    <t>704 7th Ave SE, Altoona, IA, 50009</t>
  </si>
  <si>
    <t>4249 Morton Ave, Des Moines, IA, 50317</t>
  </si>
  <si>
    <t>4602 Meadow Valley Dr, West Des Moines, IA 50265</t>
  </si>
  <si>
    <t>2405 Maple St, West Des Moines, IA 50265</t>
  </si>
  <si>
    <t>14612 Westbrook Dr, Urbandale, IA 50323</t>
  </si>
  <si>
    <t>4/3</t>
  </si>
  <si>
    <t>928 Hunter Drive, Norwalk, Iowa 50211</t>
  </si>
  <si>
    <t>3/2</t>
  </si>
  <si>
    <t>3809 8th St, Des Moines, IA, 5031</t>
  </si>
  <si>
    <t>1023 SE Chaparal Dr, Ankeny, IA, 50021</t>
  </si>
  <si>
    <t>Lovington House (FB Marketplace), DSM, 50310</t>
  </si>
  <si>
    <t>1109 Parkhill Dr, Norwalk, IA, 50211</t>
  </si>
  <si>
    <t>928 Hunter Dr, Norwalk, IA, 50211</t>
  </si>
  <si>
    <t>4213 Aurora Avenue, Des Moines, Iowa 50310</t>
  </si>
  <si>
    <t>4607 Amick Ave, Des Moines, IA 50310</t>
  </si>
  <si>
    <t>817 Pioneer Road, Des Moines, Iowa 50315</t>
  </si>
  <si>
    <t>1421 NW Pebble Dr, Ankeny, IA, 50023</t>
  </si>
  <si>
    <t>6281 NW 54th Ct, Johnston, IA, 50131</t>
  </si>
  <si>
    <t>4300 74th St, Urbandale, IA, 50322</t>
  </si>
  <si>
    <t>625 22nd St, West Des Moines, IA, 50265</t>
  </si>
  <si>
    <t>700 E Miller Ave, Des Moines, IA, 50315</t>
  </si>
  <si>
    <t>2538 River Meadows Dr, Des Moines, IA, 50320</t>
  </si>
  <si>
    <t>3620 Franklin Ave, Des Moines, IA, 50310</t>
  </si>
  <si>
    <t>9614 Oakwood Dr, Urbandale, IA, 50322</t>
  </si>
  <si>
    <t>5223 NW 4th St, Ankeny, IA, 50023</t>
  </si>
  <si>
    <t>6281 Northwest 54th Court, Johnston, Iowa 50131</t>
  </si>
  <si>
    <t>404 NW Norton Cir, Grimes, IA, 50111</t>
  </si>
  <si>
    <t>4/3.5</t>
  </si>
  <si>
    <t>802 Filmore Ave SE, Bondurant, IA, 50035</t>
  </si>
  <si>
    <t>4926 Willow Dr, Pleasant Hill, IA, 50327</t>
  </si>
  <si>
    <t>4101 Ashworth Rd, West Des Moines, IA, 50265</t>
  </si>
  <si>
    <t>1705 SE Waddell Way, Waukee, IA, 50263</t>
  </si>
  <si>
    <t>3022 E 9th St, Des Moines, IA, 50316</t>
  </si>
  <si>
    <t>3/1.5</t>
  </si>
  <si>
    <t>1415 E 13th St, Des Moines, IA, 50316</t>
  </si>
  <si>
    <t>1226 E University Ave, Des Moines, IA, 50316</t>
  </si>
  <si>
    <t>2104 36th Street, Rock Island, Illinois 61201</t>
  </si>
  <si>
    <t>8/4</t>
  </si>
  <si>
    <t>3401-3403 37th Avenue, Moline, Illinois 61265, United States</t>
  </si>
  <si>
    <t>6/3</t>
  </si>
  <si>
    <t>Utilities (Tenants Pay for all utilities, lawn, snow)</t>
  </si>
  <si>
    <t>6/4</t>
  </si>
  <si>
    <t>3517-3519 35th St, Moline, IL, 61265</t>
  </si>
  <si>
    <t>Tenants Pay All Utilities/Lawn/Snow</t>
  </si>
  <si>
    <t xml:space="preserve">             </t>
  </si>
  <si>
    <t>1419-1421 19th Ave, Moline, IL, 61265</t>
  </si>
  <si>
    <t>6/2</t>
  </si>
  <si>
    <t>4/4</t>
  </si>
  <si>
    <t>Utilities (Tenant Pays All)</t>
  </si>
  <si>
    <t>422-424 44th St, Moline, IL, 61265</t>
  </si>
  <si>
    <t>558 34th Ave, East Moline, IL, 61244</t>
  </si>
  <si>
    <t>3520 34th St, Moline, Illinois 61265</t>
  </si>
  <si>
    <t>215 3rd St, Colona, IL, 61241</t>
  </si>
  <si>
    <t>1122-1124 3rd St, Moline, IL, 61265</t>
  </si>
  <si>
    <t> QC4216073</t>
  </si>
  <si>
    <t>7/2.5</t>
  </si>
  <si>
    <t>1121 14th St, Moline, IL, 61265</t>
  </si>
  <si>
    <t>7/4</t>
  </si>
  <si>
    <t>808 27th St, Rock Island, Illinois 61201, United States</t>
  </si>
  <si>
    <t>8116 9th St W, Rock Island, IL, 61201</t>
  </si>
  <si>
    <t>20% DOWN RENTAL</t>
  </si>
  <si>
    <t>2515 16th St, Moline, IL, 61265</t>
  </si>
  <si>
    <t>1730 10th St, Moline, IL, 61265</t>
  </si>
  <si>
    <t>923 21st St, Rock Island, IL, 61201</t>
  </si>
  <si>
    <t>2909-2911 7th Ave, Rock Island, IL, 61201</t>
  </si>
  <si>
    <t>4327 7th Ave, Rock Island, IL, 61201</t>
  </si>
  <si>
    <t>2517 W 55th St, Davenport, IA, 52806</t>
  </si>
  <si>
    <t>1408-1410 15th Ave, Rock Island, IL, 61201</t>
  </si>
  <si>
    <t>1919 16th St, Moline, IL, 61265</t>
  </si>
  <si>
    <t>1802 4th St, Moline, IL, 61265</t>
  </si>
  <si>
    <t>915 20th St, Rock Island, IL, 61201</t>
  </si>
  <si>
    <t>630 Water St, Colona, IL, 61241</t>
  </si>
  <si>
    <t>3204 27th Ave, Rock Island, IL, 61201</t>
  </si>
  <si>
    <t>2224 24th St, Rock Island, IL, 61201</t>
  </si>
  <si>
    <t>1223 14th St, Moline, IL, 61265</t>
  </si>
  <si>
    <t>3513-3515 35th St, Moline, IL, 61265</t>
  </si>
  <si>
    <t>3509-3511 35th St, Moline, IL, 61265</t>
  </si>
  <si>
    <t>1305 2nd Ave, Iowa City, IA, 52240</t>
  </si>
  <si>
    <t>728 W Donahue St, Eldridge, IA, 52748</t>
  </si>
  <si>
    <t>10/6</t>
  </si>
  <si>
    <t>2703 N Harrison St, Davenport, IA, 52803</t>
  </si>
  <si>
    <t>522 S Lucas St, Iowa City, IA, 52240</t>
  </si>
  <si>
    <t>2613 Ferndale Dr, Iowa City, IA, 52245</t>
  </si>
  <si>
    <t>1233-1235 Dolen Pl, Iowa City, IA, 52246</t>
  </si>
  <si>
    <t>1127 Knox Road 2400 # 2400N, Oneida, IL, 61467</t>
  </si>
  <si>
    <t>541 N Russell Ave, Geneseo, IL, 61254</t>
  </si>
  <si>
    <t>5/2.5</t>
  </si>
  <si>
    <t>605 S Tremont St, Kewanee, IL, 61443</t>
  </si>
  <si>
    <t>801 W 3rd St, Dixon, IL, 61021</t>
  </si>
  <si>
    <t>216 Crawford Ave, Dixon, IL, 61021</t>
  </si>
  <si>
    <t>505 Dixon Ave, Rock Falls, IL, 61071</t>
  </si>
  <si>
    <t>1411-1417 Kinsey Ave, Rockdale, IL, 60436</t>
  </si>
  <si>
    <t>786 E Benton St, Aurora, IL, 60505</t>
  </si>
  <si>
    <t>8/6</t>
  </si>
  <si>
    <t>478 E Chicago St, Elgin, IL, 60120</t>
  </si>
  <si>
    <t>417 E Orange St, Geneseo, IL, 61254</t>
  </si>
  <si>
    <t>1113 Saint Clements St, Iowa City, IA, 52245</t>
  </si>
  <si>
    <t>303 3rd St, Low Moor, IA, 52757</t>
  </si>
  <si>
    <t>535-537 23rd St, Rock Island, IL, 61201</t>
  </si>
  <si>
    <t>1011 6th Ave, Sterling, IL, 61081</t>
  </si>
  <si>
    <t>811 Leroy Ave, Rock Falls, IL, 61071</t>
  </si>
  <si>
    <t>2133 N Division St, Davenport, IA, 52804</t>
  </si>
  <si>
    <t>1715-1715 1/2 Fillmore Ln, Davenport, IA, 52804</t>
  </si>
  <si>
    <t>1725 Davie St, Davenport, IA, 52804</t>
  </si>
  <si>
    <t>2017 17th Street, Rock Island, Illinois 61201, United States</t>
  </si>
  <si>
    <t>1625-1625 1/2 St, Rock Island, IL, 61201</t>
  </si>
  <si>
    <t>9/6</t>
  </si>
  <si>
    <t>1043 16th Ave, East Moline, IL, 61244</t>
  </si>
  <si>
    <t>2600 11th St, Rock Island, IL, 61201</t>
  </si>
  <si>
    <t>619-621 23rd St, Rock Island, IL, 61201</t>
  </si>
  <si>
    <t>352-354 1st St, Moline, IL, 61265</t>
  </si>
  <si>
    <t>5809-5811 Jebens Ave, Davenport, IA, 52806</t>
  </si>
  <si>
    <t>1933 W 2nd St, Davenport, IA, 52802</t>
  </si>
  <si>
    <t>1429 W 14th St, Davenport, IA, 52804</t>
  </si>
  <si>
    <t>1149 1151 48th St, Moline, IL, 61265</t>
  </si>
  <si>
    <t>1415-1417 11th St, Silvis, IL, 61282</t>
  </si>
  <si>
    <t>837 17th Ave, East Moline, IL, 61244</t>
  </si>
  <si>
    <t>635 and 637 W 63rd St, Davenport, IA, 52806</t>
  </si>
  <si>
    <t>6322 and 6324 Appomattox Rd, Davenport, IA, 52806</t>
  </si>
  <si>
    <t>3025 3027 W 66th St, Davenport, IA, 52806</t>
  </si>
  <si>
    <t>539 W 29th St, Davenport, IA, 52803</t>
  </si>
  <si>
    <t>1928 Pershing Ave, Davenport, IA, 52803</t>
  </si>
  <si>
    <t>2650 Tanglefoot Ln, Bettendorf, IA, 52722</t>
  </si>
  <si>
    <t>3203 Greenbrier Dr, Bettendorf,</t>
  </si>
  <si>
    <t>3461 Clearwater Dr, Bettendorf, IA, 52722</t>
  </si>
  <si>
    <t>3855 Greenbrier Dr, Bettendorf, IA, 52722</t>
  </si>
  <si>
    <t>2714 Heather Ln, Bettendorf, IA, 52722</t>
  </si>
  <si>
    <t>3502 Greenbrier Dr, Bettendorf, IA, 52722</t>
  </si>
  <si>
    <t>2702 Crestview Dr, Bettendorf, IA, 52722</t>
  </si>
  <si>
    <t>2234 Maplecrest Rd, Bettendorf, IA, 52722</t>
  </si>
  <si>
    <t>1628 Robeson Ave, Bettendorf, IA, 52722</t>
  </si>
  <si>
    <t>1905 Parkway Dr, Bettendorf, IA, 52722</t>
  </si>
  <si>
    <t>3124 Oxford Dr, Bettendorf, IA, 52722</t>
  </si>
  <si>
    <t>37 Parklane Cir, Bettendorf, IA, 52722</t>
  </si>
  <si>
    <t>3405 Grove Pl, Bettendorf, IA, 52722</t>
  </si>
  <si>
    <t>4037 Easton Blvd,3207 Magnolia Ct, Bettendorf, IA, 52722 Des Moines, IA 50317</t>
  </si>
  <si>
    <t>2922 Magnolia Dr, Bettendorf, IA, 52722</t>
  </si>
  <si>
    <t>2626 Heather Ln, Bettendorf, IA, 52722</t>
  </si>
  <si>
    <t>2/1</t>
  </si>
  <si>
    <t>1830 Central Ave, Bettendorf, IA, 52722</t>
  </si>
  <si>
    <t>2803 Hillside Ct, Bettendorf, IA, 52722</t>
  </si>
  <si>
    <t>BONUS FACTORS</t>
  </si>
  <si>
    <t>Depreciation Tax Shield</t>
  </si>
  <si>
    <t>Appreciation (Assuming 2% Appreciation)</t>
  </si>
  <si>
    <t>1131 Meadow Lane Dr, Bettendorf, IA, 52722</t>
  </si>
  <si>
    <t>Est. Closing Costs</t>
  </si>
  <si>
    <t>Total Cash Outlay</t>
  </si>
  <si>
    <t>1531 Fairlane Dr, Bettendorf, IA, 52722</t>
  </si>
  <si>
    <t>3018 Oxford Dr, Bettendorf, IA, 52722</t>
  </si>
  <si>
    <t>1731 Susan Ct, Bettendorf, IA, 52722</t>
  </si>
  <si>
    <t>4003 Tanglefoot Ter, Bettendorf, IA, 52722</t>
  </si>
  <si>
    <t>3/2.5</t>
  </si>
  <si>
    <t>4665 Lindbergh Dr, Bettendorf, IA, 52722</t>
  </si>
  <si>
    <t>2007 Mississippi Blvd, Bettendorf, IA, 52722</t>
  </si>
  <si>
    <t>2314 Kingsway Dr, Bettendorf, IA, 52722</t>
  </si>
  <si>
    <t>3926 Lexington Ct, Bettendorf, IA, 52722</t>
  </si>
  <si>
    <t>3/3</t>
  </si>
  <si>
    <t>3685 Sunny Hill Dr, Bettendorf, IA, 52722</t>
  </si>
  <si>
    <t>1904 Kings Dr, Bettendorf, IA, 52722</t>
  </si>
  <si>
    <t>1728 Middle Rd, Bettendorf, IA, 52722</t>
  </si>
  <si>
    <t>1803 Lincoln Rd, Bettendorf, IA, 52722</t>
  </si>
  <si>
    <t>2/1.5</t>
  </si>
  <si>
    <t>2612 Crestview Dr, Bettendorf, IA, 52722</t>
  </si>
  <si>
    <t>3419 Kenwood Ave, Davenport, IA, 52807</t>
  </si>
  <si>
    <t>2602 E 32nd St, Davenport, IA, 52807</t>
  </si>
  <si>
    <t>3207 Magnolia Ct, Bettendorf, IA, 52722</t>
  </si>
  <si>
    <t>3967 Valley View Dr, Bettendorf, IA, 52722</t>
  </si>
  <si>
    <t>7132 Valley Dr, Bettendorf, IA, 52722</t>
  </si>
  <si>
    <t>3900 Rolling Wood Ct, Bettendorf, IA, 52722</t>
  </si>
  <si>
    <t>3602 Cedarwood Ct, Bettendorf, IA, 52722</t>
  </si>
  <si>
    <t>1500 Parklane Dr, Bettendorf, IA, 52722</t>
  </si>
  <si>
    <t>2819 Avalon Dr, Bettendorf, IA, 52722</t>
  </si>
  <si>
    <t>4565 Aspen Hills Cir, Bettendorf, IA, 52722</t>
  </si>
  <si>
    <t>3775 Moencks Rd, Bettendorf, IA, 52722</t>
  </si>
  <si>
    <t>5/3.5</t>
  </si>
  <si>
    <t>2230 W 55th St, Davenport, IA, 52806</t>
  </si>
  <si>
    <t>4433 N Pine St, Davenport, IA, 52806</t>
  </si>
  <si>
    <t>2033 W 59th St, Davenport, IA, 52806</t>
  </si>
  <si>
    <t>Total Cash Outlay (Minus $7,500 Ascentra FTHB Grant)</t>
  </si>
  <si>
    <t>3247 Sunburst Dr, Bettendorf, IA, 52722</t>
  </si>
  <si>
    <t>Total Cash Outlay (Minus $7500 Ascentra Loan)</t>
  </si>
  <si>
    <t>Total Cash Outlay (Minus $7500 Ascentra Grant)</t>
  </si>
  <si>
    <t>4114 White Pines Dr, Davenport, IA, 52804</t>
  </si>
  <si>
    <t>1810 W 54th St, Davenport, IA, 52806</t>
  </si>
  <si>
    <t>217 W 46th St, Davenport, IA, 52806</t>
  </si>
  <si>
    <t>769 W 46th St, Davenport, IA, 52806</t>
  </si>
  <si>
    <t>4505 Sheridan St, Davenport, IA, 52806</t>
  </si>
  <si>
    <t>5211 Brown St, Davenport, IA, 52806</t>
  </si>
  <si>
    <t>2503 Sheffield Dr, Davenport, IA, 52806</t>
  </si>
  <si>
    <t>2028 W 49th St, Davenport, IA, 52806</t>
  </si>
  <si>
    <t>INFINITE</t>
  </si>
  <si>
    <t>2376 W 49th St, Davenport, IA, 52806</t>
  </si>
  <si>
    <t>3130 W 2nd St, Davenport, IA, 52804</t>
  </si>
  <si>
    <t>2523 Glenn St, Bettendorf, IA, 52722</t>
  </si>
  <si>
    <t>1711 Parkway Dr, Bettendorf, IA, 52722</t>
  </si>
  <si>
    <t>Infinite</t>
  </si>
  <si>
    <t>3/2 --&gt; 4/2</t>
  </si>
  <si>
    <t>1134 52nd Street Ct, Moline, IL, 61265</t>
  </si>
  <si>
    <t>3/1 --&gt; 4/1</t>
  </si>
  <si>
    <t>2/2 --&gt; 4/2</t>
  </si>
  <si>
    <t>2614 2nd Street Ct, East Moline, IL, 61244</t>
  </si>
  <si>
    <t xml:space="preserve">Total Cash Outlay </t>
  </si>
  <si>
    <t>3632 9th St, East Moline, IL, 61244</t>
  </si>
  <si>
    <t>2/1 --&gt; 3/1</t>
  </si>
  <si>
    <t>215 15th St, Silvis, IL, 61282</t>
  </si>
  <si>
    <t>515 8th Ave, Silvis, IL, 61282</t>
  </si>
  <si>
    <t>2/2 --&gt; 3/2</t>
  </si>
  <si>
    <t>1214 37th St, Rock Island, IL, 61201</t>
  </si>
  <si>
    <t>2/1 ---&gt; 3/1</t>
  </si>
  <si>
    <t>1518 32nd St, Rock Island, IL, 61201</t>
  </si>
  <si>
    <t>1531 29 1/2 St, Rock Island, IL, 61201</t>
  </si>
  <si>
    <t xml:space="preserve">2/1 --&gt; 3/1 </t>
  </si>
  <si>
    <t>2607 47th St, Moline, IL, 61265</t>
  </si>
  <si>
    <t>1920 32nd St, Moline, IL, 61265</t>
  </si>
  <si>
    <t>2553 30th Avenue Ct, Moline, IL, 61265</t>
  </si>
  <si>
    <t>1726 10th St, Moline, IL, 61265</t>
  </si>
  <si>
    <t>1924 13th St, East Moline, IL, 61244</t>
  </si>
  <si>
    <t>2035 12th St, East Moline, IL, 61244</t>
  </si>
  <si>
    <t>7203 N Pine St, Davenport, IA, 52806</t>
  </si>
  <si>
    <t>2714 W 69th St, Davenport, IA, 52806</t>
  </si>
  <si>
    <t>2172 Stadium Dr, Rock Island, IL, 61201</t>
  </si>
  <si>
    <t>3223 N Division St, Davenport, IA, 52806</t>
  </si>
  <si>
    <t>2221 Hickory Grove Rd, Davenport, IA, 52804</t>
  </si>
  <si>
    <t>2618 Arlington Ave, Davenport, IA, 52803</t>
  </si>
  <si>
    <t>318 S Main St, Bellevue, IL, 61604</t>
  </si>
  <si>
    <t>3806 N Donna Ln, Peoria, IL, 61615</t>
  </si>
  <si>
    <t>2702-04 W Millbrook Ct, Peoria, IL, 61615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</si>
</sst>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b/>
      <u val="singleAccounting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rgb="FF000000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9">
    <xf numFmtId="0" fontId="0" fillId="0" borderId="0" xfId="0"/>
    <xf numFmtId="0" fontId="8" fillId="0" borderId="0" xfId="0" applyFont="1"/>
    <xf numFmtId="0" fontId="0" fillId="3" borderId="3" xfId="0" applyFill="1" applyBorder="1" applyAlignment="1">
      <alignment vertical="top"/>
    </xf>
    <xf numFmtId="0" fontId="0" fillId="3" borderId="4" xfId="0" applyFill="1" applyBorder="1" applyAlignment="1">
      <alignment vertical="top"/>
    </xf>
    <xf numFmtId="0" fontId="12" fillId="0" borderId="5" xfId="0" applyFont="1" applyBorder="1"/>
    <xf numFmtId="0" fontId="12" fillId="4" borderId="6" xfId="1" applyNumberFormat="1" applyFont="1" applyFill="1" applyBorder="1" applyAlignment="1">
      <alignment horizontal="center" wrapText="1"/>
    </xf>
    <xf numFmtId="0" fontId="12" fillId="4" borderId="6" xfId="1" applyNumberFormat="1" applyFont="1" applyFill="1" applyBorder="1" applyAlignment="1">
      <alignment horizontal="center"/>
    </xf>
    <xf numFmtId="0" fontId="0" fillId="0" borderId="5" xfId="0" applyBorder="1"/>
    <xf numFmtId="44" fontId="0" fillId="4" borderId="6" xfId="0" applyNumberFormat="1" applyFill="1" applyBorder="1"/>
    <xf numFmtId="1" fontId="12" fillId="4" borderId="6" xfId="0" applyNumberFormat="1" applyFont="1" applyFill="1" applyBorder="1" applyAlignment="1">
      <alignment horizontal="center"/>
    </xf>
    <xf numFmtId="3" fontId="0" fillId="4" borderId="6" xfId="0" applyNumberFormat="1" applyFill="1" applyBorder="1"/>
    <xf numFmtId="44" fontId="0" fillId="4" borderId="6" xfId="0" applyNumberFormat="1" applyFill="1" applyBorder="1" applyAlignment="1">
      <alignment horizontal="center"/>
    </xf>
    <xf numFmtId="0" fontId="12" fillId="0" borderId="7" xfId="0" applyFont="1" applyBorder="1"/>
    <xf numFmtId="49" fontId="12" fillId="4" borderId="6" xfId="0" applyNumberFormat="1" applyFont="1" applyFill="1" applyBorder="1" applyAlignment="1">
      <alignment horizontal="center"/>
    </xf>
    <xf numFmtId="0" fontId="3" fillId="0" borderId="0" xfId="4"/>
    <xf numFmtId="44" fontId="0" fillId="5" borderId="6" xfId="0" applyNumberFormat="1" applyFill="1" applyBorder="1" applyAlignment="1">
      <alignment horizontal="center"/>
    </xf>
    <xf numFmtId="44" fontId="2" fillId="6" borderId="6" xfId="0" applyNumberFormat="1" applyFont="1" applyFill="1" applyBorder="1"/>
    <xf numFmtId="44" fontId="2" fillId="0" borderId="6" xfId="0" applyNumberFormat="1" applyFont="1" applyBorder="1"/>
    <xf numFmtId="0" fontId="0" fillId="3" borderId="4" xfId="0" applyFill="1" applyBorder="1"/>
    <xf numFmtId="0" fontId="0" fillId="3" borderId="8" xfId="0" applyFill="1" applyBorder="1" applyAlignment="1">
      <alignment vertical="top"/>
    </xf>
    <xf numFmtId="0" fontId="0" fillId="3" borderId="9" xfId="0" applyFill="1" applyBorder="1"/>
    <xf numFmtId="0" fontId="13" fillId="0" borderId="0" xfId="0" applyFont="1"/>
    <xf numFmtId="0" fontId="0" fillId="0" borderId="0" xfId="0" applyAlignment="1">
      <alignment vertical="top"/>
    </xf>
    <xf numFmtId="0" fontId="0" fillId="0" borderId="3" xfId="0" applyBorder="1"/>
    <xf numFmtId="44" fontId="0" fillId="0" borderId="4" xfId="0" applyNumberFormat="1" applyBorder="1"/>
    <xf numFmtId="44" fontId="0" fillId="0" borderId="0" xfId="0" applyNumberFormat="1"/>
    <xf numFmtId="0" fontId="3" fillId="0" borderId="5" xfId="4" applyBorder="1"/>
    <xf numFmtId="0" fontId="14" fillId="0" borderId="3" xfId="0" applyFont="1" applyBorder="1" applyAlignment="1">
      <alignment horizontal="left" indent="1"/>
    </xf>
    <xf numFmtId="0" fontId="14" fillId="0" borderId="0" xfId="0" applyFont="1"/>
    <xf numFmtId="2" fontId="14" fillId="4" borderId="4" xfId="0" applyNumberFormat="1" applyFont="1" applyFill="1" applyBorder="1"/>
    <xf numFmtId="44" fontId="2" fillId="0" borderId="13" xfId="0" applyNumberFormat="1" applyFont="1" applyBorder="1" applyAlignment="1">
      <alignment horizontal="center"/>
    </xf>
    <xf numFmtId="44" fontId="2" fillId="0" borderId="6" xfId="0" applyNumberFormat="1" applyFont="1" applyBorder="1" applyAlignment="1">
      <alignment horizontal="center"/>
    </xf>
    <xf numFmtId="0" fontId="0" fillId="0" borderId="14" xfId="0" applyBorder="1"/>
    <xf numFmtId="44" fontId="2" fillId="0" borderId="15" xfId="0" applyNumberFormat="1" applyFont="1" applyBorder="1" applyAlignment="1">
      <alignment horizontal="center"/>
    </xf>
    <xf numFmtId="0" fontId="14" fillId="4" borderId="4" xfId="0" applyFont="1" applyFill="1" applyBorder="1"/>
    <xf numFmtId="44" fontId="12" fillId="0" borderId="13" xfId="0" applyNumberFormat="1" applyFont="1" applyBorder="1"/>
    <xf numFmtId="0" fontId="14" fillId="7" borderId="16" xfId="0" applyFont="1" applyFill="1" applyBorder="1"/>
    <xf numFmtId="0" fontId="14" fillId="7" borderId="17" xfId="0" applyFont="1" applyFill="1" applyBorder="1"/>
    <xf numFmtId="44" fontId="15" fillId="7" borderId="18" xfId="2" applyFont="1" applyFill="1" applyBorder="1"/>
    <xf numFmtId="44" fontId="0" fillId="0" borderId="6" xfId="0" applyNumberFormat="1" applyBorder="1"/>
    <xf numFmtId="8" fontId="16" fillId="0" borderId="0" xfId="0" applyNumberFormat="1" applyFont="1" applyAlignment="1">
      <alignment vertical="center" wrapText="1"/>
    </xf>
    <xf numFmtId="0" fontId="13" fillId="0" borderId="3" xfId="0" applyFont="1" applyBorder="1"/>
    <xf numFmtId="0" fontId="0" fillId="0" borderId="6" xfId="0" applyBorder="1"/>
    <xf numFmtId="44" fontId="2" fillId="8" borderId="6" xfId="0" applyNumberFormat="1" applyFont="1" applyFill="1" applyBorder="1"/>
    <xf numFmtId="44" fontId="2" fillId="9" borderId="6" xfId="0" applyNumberFormat="1" applyFont="1" applyFill="1" applyBorder="1"/>
    <xf numFmtId="164" fontId="2" fillId="10" borderId="6" xfId="3" applyNumberFormat="1" applyFont="1" applyFill="1" applyBorder="1"/>
    <xf numFmtId="0" fontId="0" fillId="0" borderId="19" xfId="0" applyBorder="1"/>
    <xf numFmtId="164" fontId="2" fillId="10" borderId="20" xfId="3" applyNumberFormat="1" applyFont="1" applyFill="1" applyBorder="1"/>
    <xf numFmtId="10" fontId="14" fillId="11" borderId="0" xfId="0" applyNumberFormat="1" applyFont="1" applyFill="1"/>
    <xf numFmtId="44" fontId="15" fillId="0" borderId="4" xfId="0" applyNumberFormat="1" applyFont="1" applyBorder="1"/>
    <xf numFmtId="10" fontId="2" fillId="0" borderId="6" xfId="0" applyNumberFormat="1" applyFont="1" applyBorder="1"/>
    <xf numFmtId="44" fontId="15" fillId="7" borderId="18" xfId="0" applyNumberFormat="1" applyFont="1" applyFill="1" applyBorder="1"/>
    <xf numFmtId="10" fontId="0" fillId="0" borderId="4" xfId="0" applyNumberFormat="1" applyBorder="1"/>
    <xf numFmtId="0" fontId="0" fillId="0" borderId="23" xfId="0" applyBorder="1"/>
    <xf numFmtId="44" fontId="2" fillId="9" borderId="13" xfId="0" applyNumberFormat="1" applyFont="1" applyFill="1" applyBorder="1"/>
    <xf numFmtId="0" fontId="10" fillId="0" borderId="0" xfId="0" applyFont="1" applyAlignment="1">
      <alignment horizontal="center"/>
    </xf>
    <xf numFmtId="44" fontId="17" fillId="0" borderId="0" xfId="0" applyNumberFormat="1" applyFont="1"/>
    <xf numFmtId="0" fontId="10" fillId="0" borderId="0" xfId="0" applyFont="1"/>
    <xf numFmtId="0" fontId="0" fillId="0" borderId="0" xfId="0" applyFill="1" applyBorder="1"/>
    <xf numFmtId="10" fontId="2" fillId="0" borderId="0" xfId="0" applyNumberFormat="1" applyFont="1" applyFill="1" applyBorder="1"/>
    <xf numFmtId="44" fontId="2" fillId="0" borderId="0" xfId="0" applyNumberFormat="1" applyFont="1" applyFill="1" applyBorder="1" applyAlignment="1">
      <alignment horizontal="center"/>
    </xf>
    <xf numFmtId="44" fontId="2" fillId="0" borderId="0" xfId="0" applyNumberFormat="1" applyFont="1" applyFill="1" applyBorder="1"/>
    <xf numFmtId="164" fontId="2" fillId="0" borderId="0" xfId="3" applyNumberFormat="1" applyFont="1" applyFill="1" applyBorder="1"/>
    <xf numFmtId="0" fontId="0" fillId="0" borderId="8" xfId="0" applyBorder="1"/>
    <xf numFmtId="44" fontId="20" fillId="5" borderId="4" xfId="0" applyNumberFormat="1" applyFont="1" applyFill="1" applyBorder="1"/>
    <xf numFmtId="44" fontId="20" fillId="5" borderId="9" xfId="0" applyNumberFormat="1" applyFont="1" applyFill="1" applyBorder="1"/>
    <xf numFmtId="0" fontId="0" fillId="3" borderId="0" xfId="0" applyFill="1" applyBorder="1" applyAlignment="1">
      <alignment vertical="top"/>
    </xf>
    <xf numFmtId="0" fontId="0" fillId="3" borderId="0" xfId="0" applyFill="1" applyBorder="1"/>
    <xf numFmtId="164" fontId="2" fillId="10" borderId="6" xfId="3" applyNumberFormat="1" applyFont="1" applyFill="1" applyBorder="1" applyAlignment="1">
      <alignment horizontal="center"/>
    </xf>
    <xf numFmtId="164" fontId="2" fillId="10" borderId="6" xfId="3" applyNumberFormat="1" applyFont="1" applyFill="1" applyBorder="1" applyAlignment="1">
      <alignment horizontal="right"/>
    </xf>
    <xf numFmtId="164" fontId="2" fillId="10" borderId="20" xfId="3" applyNumberFormat="1" applyFont="1" applyFill="1" applyBorder="1" applyAlignment="1">
      <alignment horizontal="center"/>
    </xf>
    <xf numFmtId="164" fontId="2" fillId="10" borderId="20" xfId="3" applyNumberFormat="1" applyFont="1" applyFill="1" applyBorder="1" applyAlignment="1">
      <alignment horizontal="right"/>
    </xf>
    <xf numFmtId="0" fontId="11" fillId="2" borderId="1" xfId="0" applyFont="1" applyFill="1" applyBorder="1" applyAlignment="1">
      <alignment horizontal="center"/>
    </xf>
    <xf numFmtId="0" fontId="11" fillId="2" borderId="12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0" fillId="0" borderId="0" xfId="0" applyAlignment="1">
      <alignment horizontal="center" vertical="top" wrapText="1"/>
    </xf>
    <xf numFmtId="0" fontId="11" fillId="0" borderId="0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85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/>
        </patternFill>
      </fill>
    </dxf>
    <dxf>
      <font>
        <color rgb="FF9C5700"/>
      </font>
      <fill>
        <patternFill>
          <bgColor theme="2"/>
        </patternFill>
      </fill>
    </dxf>
    <dxf>
      <font>
        <color rgb="FF00610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customXml" Target="../customXml/item3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styles" Target="styles.xml"/><Relationship Id="rId245" Type="http://schemas.openxmlformats.org/officeDocument/2006/relationships/customXml" Target="../customXml/item1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sharedStrings" Target="sharedStrings.xml"/><Relationship Id="rId246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sheetMetadata" Target="metadata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3271A6-29C1-4AA2-9503-4DBC2C737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8DA2-1BC8-45F5-898B-8FB72262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A094DA-38EB-41CD-97FF-BE1365EE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0AD510-DC13-42CF-81B0-1BED45D6E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3A4B55-7985-4204-B7FD-CC3FF1CAB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F6796B-69EA-4263-99D9-F8356DAD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A3C1FE-2295-48A0-BDF2-D183ED8F6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C9F10-F7BD-4E2F-9DC1-1F26E847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67BD20-8722-4057-AF58-938DF21DB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373A68-9F3F-4A1B-B6F0-01458093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E9A9F6-7A20-4519-9090-83BF1012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0706A6-A554-4753-B9C9-356C236E7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D7D14-1D65-4A9C-98B4-C3A2C338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5C127-2AE1-40F9-924C-46E352FF2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EB0CD-9F2C-4A76-91E4-2B079A8BA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E4CD2-9A53-41DB-B26D-BEE474135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3BC2CC-4163-43A0-862D-D5B06B1C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32075D-3269-4337-8332-522FC2EAE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E9DC77-43E3-414F-95B6-0979B77C8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3D6030-E92B-4FE8-B82C-3277A458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9549DD-FE8C-41CA-8A99-9FFED3F9E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2DE65-0DCB-4991-8C4A-23FB5A9AA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DFF554-F76F-47A6-AA91-25F00433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8AC615-DFA6-4D6D-9AB1-76C2584B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E43ECC-7D34-4094-A62B-944366903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7EFA5F-A776-40D6-91AE-C00DE1DDC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3474A-F645-4F83-A579-DED3D4D4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64FAAA-9717-43B7-A01E-E676B220C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4805A-FF7E-4944-A498-45289DB05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C27E3F-CC7F-40D6-8F09-BE8184EA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B0A391-C516-4886-B6A7-929F71E60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F6B4A6-7AB6-4414-B85E-B9431D6A8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45F5C-72E2-4C75-AAB6-561FE13D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5DE7F-4D9C-4050-8086-CD9F1C1B9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C11BA-8430-44BF-81AE-39BFEC45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99217-A7CC-4CD8-81D6-3949F8839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5B0912-5D80-44D1-8C4E-E57B3AFA1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752E1D-BBEA-4EA4-B793-A0E3D65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69D181-FF5F-4C39-AF8B-A43FBC24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F266AB-BB7B-478B-B325-9EED11452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E611A-BA95-4A89-93F7-0CAB0212F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36A0C-8102-492C-B16E-A9420684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C842D7-AA45-4627-9C89-72D782F5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C0A5C-39BB-4900-809C-38174AFA4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C68496-4386-4434-8DA8-E793DEE3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EF32E0-50CB-487A-BCCA-96F618C9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3AE2D4-F15D-4865-8119-D7859C7B9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072F2A-A398-4ED4-8F07-DC9F10FBD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2B489-31CC-4C10-A86D-39E8D7B9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58DA12-6965-4D90-8AEF-69ADCD215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C3B255-F6D1-4AC3-B623-25B462A94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A8FD37-2B57-4B76-B36D-AF545C5C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65FDC7-1259-431E-962C-EAACC865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63916-379E-41FB-AA61-6A050494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76599F-A0C1-47E5-B59B-DCC3D46B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0F9C-AA8A-46BB-9712-964CCBFE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02119B-E54F-4E50-8C15-B5AD14BE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B49384-AA75-407F-870A-C7A8982A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9E5DEB-FA07-4CF8-B317-44D8E1F7F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5C8DF7-8CCB-45D1-B4AB-C9427599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8046B-A904-4FC3-A61C-E4DA334C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7BC7B3-77C6-4B8D-B51C-312D52618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76833A-6C1F-4C4F-BC20-E7DBEEC05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B7E444-F49F-4148-9DC0-FBB767112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AA8AE0-FE69-4633-9ACA-A385C97A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C2F4E-C8DC-4E28-A0A4-620AE68E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E83A0-264C-4DB3-923F-539AF7FE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4FC4AC-11DD-4346-82BA-516C4DB74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D0789F-A17F-4F2E-99DC-ABEA0B93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C97FB-4FC7-4BE1-A947-A06E696F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BA2BF-1BB3-4C04-AB38-BB22CE7C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068D97-FB5E-455E-BC5C-AB5E0C4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6254E-9699-488F-A480-850B71DE3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710847-C3F5-4588-8B55-8B42B9C4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2</xdr:row>
      <xdr:rowOff>47625</xdr:rowOff>
    </xdr:from>
    <xdr:to>
      <xdr:col>4</xdr:col>
      <xdr:colOff>325603</xdr:colOff>
      <xdr:row>15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1DB00-1E63-4201-8043-380634193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742950"/>
          <a:ext cx="2887828" cy="2658044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164849</xdr:colOff>
      <xdr:row>3</xdr:row>
      <xdr:rowOff>114300</xdr:rowOff>
    </xdr:from>
    <xdr:to>
      <xdr:col>4</xdr:col>
      <xdr:colOff>534090</xdr:colOff>
      <xdr:row>14</xdr:row>
      <xdr:rowOff>76655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EA2139-8F99-4262-A7A1-3AC97457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0299" y="1000125"/>
          <a:ext cx="3455341" cy="227693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3</xdr:row>
      <xdr:rowOff>104775</xdr:rowOff>
    </xdr:from>
    <xdr:to>
      <xdr:col>4</xdr:col>
      <xdr:colOff>515041</xdr:colOff>
      <xdr:row>13</xdr:row>
      <xdr:rowOff>152855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752ED-459E-4653-8E3C-B70D6E401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1" y="990600"/>
          <a:ext cx="3296340" cy="2172155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143124</xdr:colOff>
      <xdr:row>3</xdr:row>
      <xdr:rowOff>171450</xdr:rowOff>
    </xdr:from>
    <xdr:to>
      <xdr:col>4</xdr:col>
      <xdr:colOff>743639</xdr:colOff>
      <xdr:row>15</xdr:row>
      <xdr:rowOff>95705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73C82-74B7-4E62-9F5A-5849CD72C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8574" y="1057275"/>
          <a:ext cx="3686615" cy="242933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247649</xdr:colOff>
      <xdr:row>3</xdr:row>
      <xdr:rowOff>153502</xdr:rowOff>
    </xdr:from>
    <xdr:to>
      <xdr:col>4</xdr:col>
      <xdr:colOff>600764</xdr:colOff>
      <xdr:row>14</xdr:row>
      <xdr:rowOff>105231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BC108D-BE3C-43AF-AE6C-26451B0E1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099" y="1039327"/>
          <a:ext cx="3439215" cy="2266304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38DA4-837B-43EC-8ABD-DD9C6893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C944CF-D4F3-4B6B-A16D-9974D44E5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CE177-7923-4EFA-934F-B4E92C6DA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F420D-E6A9-4E5B-B6C2-3E60C519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E66883-BC2C-4903-933A-8EC49A81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12AF1F-4F62-4339-BF73-0A7E196FF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62DD1-C21A-4171-9F3B-D45A632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796E20-AB67-42FB-ADA6-AB374552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526936-C3EF-4289-889F-D0EDD11B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B4A87-2FE4-4473-8DC1-EE06AF44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63205-8E42-47CB-B614-45E1DA5D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EEBCBC-11E4-4959-B61F-999B06110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9CA417-35F8-4219-9D9F-9FF93E6CF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A18505-3FA6-4644-815E-5202AA0B9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05E10-2F0D-442C-9E8A-9F7C6E46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90DDF1-FA3D-4128-892F-E96DA2D7E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984B93-9FFD-4771-85AB-CE2AF08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67F6A7-3F09-48B4-B6D8-A4E080A7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96ADB5-8127-4917-AA37-FAE5DD4D2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18C00-051D-41B8-8DB8-AF5EF893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0F6FD-6B95-4AEF-893B-9EB6391D8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B17EE-7121-46F8-8AA7-B7603FD47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819525-7124-469A-ACF2-66B940AB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6094B-7827-4087-992A-0DC3D086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E3D405-5824-43F9-8D8B-6251C8A6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BA3F5E-BCA6-4408-8921-B7B137A80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5195A8-F457-44C2-B154-5AB05CC3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C59-C657-4884-B739-873B1FC28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818FB4-3F56-41D4-9450-7365BB00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18EEC-7A32-4A04-8477-893A4867F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3B9FD-3C2D-4FA1-8501-F835CE024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E1FE6-D329-48BF-8D89-20EF8D35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A3FA-8B46-4419-8194-525E40AF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E872C-D73C-4C50-9D22-EDBDC7FE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352596-C6DA-4047-B43F-F5F89F16C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6F8FE-BB16-4556-A454-582EC79E6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B63455-79FA-4C79-9497-2B8E51FF7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AA2B11-EF79-4A08-A4F2-2FE9CDC3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1420E-A8F7-4A3E-9C5A-AC763263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417047-C8F2-41A0-9580-2EC4B685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A64F43-4D3E-46CE-826C-E20E8698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E0336-FAAE-498E-9E62-1EA1C21F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7E1271-B993-4690-8137-49D92144A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91722F-5911-46BE-90E0-E15B572A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4B705A-B2C1-4B10-9C7A-547E43D1A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B6A37E-8165-4451-B50C-B90AB5263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22DD3-5FE7-4C88-B81E-BA420569D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1C4523-566D-4E50-886B-D0DD0DD9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695EB-B5D2-411D-83E5-12AA1921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8BDD9-D020-465F-BA27-39F75B7CA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1A77FF-196E-4AA4-AD5C-C73C29724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34ED6-09ED-4570-B937-21FC34CA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FA0A2-30DA-4DEA-9B82-B4F07B85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BDA4F7-E49E-4EA9-B03F-B2324786A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B21E96-B97B-4016-92DB-6DBFABDC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966416-27C6-4C78-B1A9-4B08E1150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8B9DF0-DD38-48CF-AB4F-CD91F54C0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571F-46C3-454F-BEA2-3F0490899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6C28B-31CE-4A30-B66B-69E6F01CE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333856-71BE-482F-A28D-A1FC65AB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7BDBE5-4DFD-41EE-9AE4-5A8C3B72D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99EBC-2294-471A-B02D-64B3BE53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E8763-1C31-4530-8A18-76BD6D9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8B1F23-D813-4F60-B698-DC4BE7CCB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D6BC9-1E36-4F39-90A6-1686D0A2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90E563-A25B-416A-A1D5-9E7755DA3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21EB6C-D353-4D77-BECE-D639A0E92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884E1-D507-4FBF-AE99-D654E038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44D8A-8DF7-45E0-B6DA-ABBCC7BC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C9E1F-7484-4BA3-BBD2-0B7538D5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C8B3E-E989-419F-9128-D3E17171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6DA91-B3F0-42B9-9C35-583F5332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71F5D4-DD10-43B4-9264-943990AF1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BC16E-93FC-4186-9FD0-FF890D22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562BE9-C14A-49CA-94C1-EF05C0E8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4CB84B-83F5-486B-994C-FB2F0F37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D7C544-8D8A-48A7-BB8B-8683210FB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D6E4BB-2764-4548-A663-BC68CABD1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7C505-598F-4C71-A363-0DBB82FEE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79EAA-2BBF-47A1-AB73-F6DC3874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3B43C-3D98-45EE-B2FB-25BBB888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B8752-6963-4D2F-925B-1C4AD38D0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5E2493-1C64-4D5A-BF89-E89525771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389D15-3EC8-4A9F-8FAC-5A1A84036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237123</xdr:colOff>
      <xdr:row>3</xdr:row>
      <xdr:rowOff>171450</xdr:rowOff>
    </xdr:from>
    <xdr:to>
      <xdr:col>4</xdr:col>
      <xdr:colOff>534091</xdr:colOff>
      <xdr:row>14</xdr:row>
      <xdr:rowOff>86180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46B91-0683-4A13-B833-3ABAF47E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2573" y="1057275"/>
          <a:ext cx="3383068" cy="22293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J Smith" id="{7FB89BC3-5449-46D1-9E6D-B2DEFD39A947}" userId="0bf74bef770805f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7161D53-CD6B-4EAF-91A0-0A08FD49E872}">
    <text>Assume $90/unit/mth if paid by Landlord</text>
  </threadedComment>
  <threadedComment ref="I22" dT="2020-08-19T10:46:08.34" personId="{7FB89BC3-5449-46D1-9E6D-B2DEFD39A947}" id="{6F921357-0760-4B95-8A4B-7B31BDFD7679}">
    <text>Assume $70/unit/mth if covered by landlord</text>
  </threadedComment>
  <threadedComment ref="I23" dT="2020-06-14T20:15:08.26" personId="{7FB89BC3-5449-46D1-9E6D-B2DEFD39A947}" id="{236F38D2-783B-40C6-AD9E-D121175741C8}">
    <text>Assume $50/door</text>
  </threadedComment>
  <threadedComment ref="I24" dT="2020-06-14T20:14:14.81" personId="{7FB89BC3-5449-46D1-9E6D-B2DEFD39A947}" id="{A7697F43-B21C-40FE-9740-B60FDC83ED4C}">
    <text>Assume $140 average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3451D56-B251-4A1A-8BED-E9EA8FD4D7EE}">
    <text>Assume $90/unit/mth if paid by Landlord</text>
  </threadedComment>
  <threadedComment ref="I22" dT="2020-08-19T10:46:08.34" personId="{7FB89BC3-5449-46D1-9E6D-B2DEFD39A947}" id="{BAB8DB16-25F7-42E2-9F21-55E405688566}">
    <text>Assume $70/unit/mth if covered by landlord</text>
  </threadedComment>
  <threadedComment ref="I23" dT="2020-06-14T20:15:08.26" personId="{7FB89BC3-5449-46D1-9E6D-B2DEFD39A947}" id="{84FF0910-1701-4528-9303-3E3E72D39C48}">
    <text>Assume $50/door</text>
  </threadedComment>
  <threadedComment ref="I24" dT="2020-06-14T20:14:14.81" personId="{7FB89BC3-5449-46D1-9E6D-B2DEFD39A947}" id="{A4CE876C-B76F-42D5-B41E-312A904535DF}">
    <text>Assume $140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18A4A72-3AF3-44D7-90FA-39BFD7E5AA8D}">
    <text>Assume $90/unit/mth if paid by Landlord</text>
  </threadedComment>
  <threadedComment ref="I22" dT="2020-08-19T10:46:08.34" personId="{7FB89BC3-5449-46D1-9E6D-B2DEFD39A947}" id="{B734BF96-17B0-44A7-97C5-A2271E3746FE}">
    <text>Assume $70/unit/mth if covered by landlord</text>
  </threadedComment>
  <threadedComment ref="I23" dT="2020-06-14T20:15:08.26" personId="{7FB89BC3-5449-46D1-9E6D-B2DEFD39A947}" id="{1D9C1237-D725-46E5-B1E1-06E31B725D66}">
    <text>Assume $50/door</text>
  </threadedComment>
  <threadedComment ref="I24" dT="2020-06-14T20:14:14.81" personId="{7FB89BC3-5449-46D1-9E6D-B2DEFD39A947}" id="{9D909148-2482-415B-9789-D77E0D19EEB6}">
    <text>Assume $140 average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564461C-D3FE-449A-B0EE-1DE7A0354EB2}">
    <text>Assume $90/unit/mth if paid by Landlord</text>
  </threadedComment>
  <threadedComment ref="I22" dT="2020-08-19T10:46:08.34" personId="{7FB89BC3-5449-46D1-9E6D-B2DEFD39A947}" id="{8AADCADC-D4D5-42BF-9A14-3ABC953DE20F}">
    <text>Assume $70/unit/mth if covered by landlord</text>
  </threadedComment>
  <threadedComment ref="I23" dT="2020-06-14T20:15:08.26" personId="{7FB89BC3-5449-46D1-9E6D-B2DEFD39A947}" id="{3A03F172-AEA0-48E9-916D-B4AED3A53DE0}">
    <text>Assume $50/door</text>
  </threadedComment>
  <threadedComment ref="I24" dT="2020-06-14T20:14:14.81" personId="{7FB89BC3-5449-46D1-9E6D-B2DEFD39A947}" id="{BEEEB6C7-0F2E-4805-B3DE-95AC6714D5C3}">
    <text>Assume $140 average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26C6A4D-69EE-411A-BE55-5418411CAFA9}">
    <text>Assume $90/unit/mth if paid by Landlord</text>
  </threadedComment>
  <threadedComment ref="I22" dT="2020-08-19T10:46:08.34" personId="{7FB89BC3-5449-46D1-9E6D-B2DEFD39A947}" id="{3950581A-317A-462E-A259-EEB09162C290}">
    <text>Assume $70/unit/mth if covered by landlord</text>
  </threadedComment>
  <threadedComment ref="I23" dT="2020-06-14T20:15:08.26" personId="{7FB89BC3-5449-46D1-9E6D-B2DEFD39A947}" id="{7639A2A0-8D65-4E94-8F3E-DD50895CA218}">
    <text>Assume $50/door</text>
  </threadedComment>
  <threadedComment ref="I24" dT="2020-06-14T20:14:14.81" personId="{7FB89BC3-5449-46D1-9E6D-B2DEFD39A947}" id="{4E472A09-5ED7-4E0D-BDF3-AF379216281C}">
    <text>Assume $140 average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C870D19-0A9F-48A9-BE1C-F1B6E4F1A981}">
    <text>Assume $90/unit/mth if paid by Landlord</text>
  </threadedComment>
  <threadedComment ref="I22" dT="2020-08-19T10:46:08.34" personId="{7FB89BC3-5449-46D1-9E6D-B2DEFD39A947}" id="{10AD24FA-9805-4F1C-A1A7-445C5B4EB80D}">
    <text>Assume $70/unit/mth if covered by landlord</text>
  </threadedComment>
  <threadedComment ref="I23" dT="2020-06-14T20:15:08.26" personId="{7FB89BC3-5449-46D1-9E6D-B2DEFD39A947}" id="{53CC80A7-0E87-4C1A-8F88-8B52402E550E}">
    <text>Assume $50/door</text>
  </threadedComment>
  <threadedComment ref="I24" dT="2020-06-14T20:14:14.81" personId="{7FB89BC3-5449-46D1-9E6D-B2DEFD39A947}" id="{51A94453-7088-4A42-9249-A8D7C729B4B1}">
    <text>Assume $140 average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FAA2DBB-3646-4D83-8845-3D0B3FEBB08A}">
    <text>Assume $90/unit/mth if paid by Landlord</text>
  </threadedComment>
  <threadedComment ref="I22" dT="2020-08-19T10:46:08.34" personId="{7FB89BC3-5449-46D1-9E6D-B2DEFD39A947}" id="{EA9C1337-2037-4537-AB67-E9F605E5A87E}">
    <text>Assume $70/unit/mth if covered by landlord</text>
  </threadedComment>
  <threadedComment ref="I23" dT="2020-06-14T20:15:08.26" personId="{7FB89BC3-5449-46D1-9E6D-B2DEFD39A947}" id="{787268E9-3545-45EE-B820-50617A041C95}">
    <text>Assume $50/door</text>
  </threadedComment>
  <threadedComment ref="I24" dT="2020-06-14T20:14:14.81" personId="{7FB89BC3-5449-46D1-9E6D-B2DEFD39A947}" id="{D9FF50C1-A166-4CBC-8681-71884AC1C213}">
    <text>Assume $140 average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2DCB1E9-AB9C-477C-9589-0561732ECD6E}">
    <text>Assume $90/unit/mth if paid by Landlord</text>
  </threadedComment>
  <threadedComment ref="I22" dT="2020-08-19T10:46:08.34" personId="{7FB89BC3-5449-46D1-9E6D-B2DEFD39A947}" id="{EBFFF36F-7E43-4E7B-99C2-0243B069AD21}">
    <text>Assume $70/unit/mth if covered by landlord</text>
  </threadedComment>
  <threadedComment ref="I23" dT="2020-06-14T20:15:08.26" personId="{7FB89BC3-5449-46D1-9E6D-B2DEFD39A947}" id="{CDBEC519-CF50-47D0-9A64-DBCDD1FA6192}">
    <text>Assume $50/door</text>
  </threadedComment>
  <threadedComment ref="I24" dT="2020-06-14T20:14:14.81" personId="{7FB89BC3-5449-46D1-9E6D-B2DEFD39A947}" id="{45806E1A-537F-447D-AFDA-5AA1D6D4C47D}">
    <text>Assume $140 average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A400969-412B-432C-BB98-C9409E3F6C2B}">
    <text>Assume $90/unit/mth if paid by Landlord</text>
  </threadedComment>
  <threadedComment ref="I22" dT="2020-08-19T10:46:08.34" personId="{7FB89BC3-5449-46D1-9E6D-B2DEFD39A947}" id="{B12A0126-6D46-4754-B060-22D9C149F0D0}">
    <text>Assume $70/unit/mth if covered by landlord</text>
  </threadedComment>
  <threadedComment ref="I23" dT="2020-06-14T20:15:08.26" personId="{7FB89BC3-5449-46D1-9E6D-B2DEFD39A947}" id="{97B5CA5F-0E89-41D5-AA2D-1D824ED26511}">
    <text>Assume $50/door</text>
  </threadedComment>
  <threadedComment ref="I24" dT="2020-06-14T20:14:14.81" personId="{7FB89BC3-5449-46D1-9E6D-B2DEFD39A947}" id="{5AFB4CE6-9001-464E-A79D-9C57B3245CFC}">
    <text>Assume $140 average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15B60C0-3285-4E8F-9D2F-D1355F88B77E}">
    <text>Assume $90/unit/mth if paid by Landlord</text>
  </threadedComment>
  <threadedComment ref="I22" dT="2020-08-19T10:46:08.34" personId="{7FB89BC3-5449-46D1-9E6D-B2DEFD39A947}" id="{62E783A7-860C-4354-94CC-1D9A1D477EB9}">
    <text>Assume $70/unit/mth if covered by landlord</text>
  </threadedComment>
  <threadedComment ref="I23" dT="2020-06-14T20:15:08.26" personId="{7FB89BC3-5449-46D1-9E6D-B2DEFD39A947}" id="{A15BD4ED-E569-431E-8E1A-1E9453E1C786}">
    <text>Assume $50/door</text>
  </threadedComment>
  <threadedComment ref="I24" dT="2020-06-14T20:14:14.81" personId="{7FB89BC3-5449-46D1-9E6D-B2DEFD39A947}" id="{0B11D8DC-6E9C-4A92-B6C2-BBEA35B724EC}">
    <text>Assume $140 average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5A959BB-8898-41A3-A785-0754A75F9C83}">
    <text>Assume $90/unit/mth if paid by Landlord</text>
  </threadedComment>
  <threadedComment ref="I22" dT="2020-08-19T10:46:08.34" personId="{7FB89BC3-5449-46D1-9E6D-B2DEFD39A947}" id="{31110027-1552-4EE3-9385-171F2FE92F77}">
    <text>Assume $70/unit/mth if covered by landlord</text>
  </threadedComment>
  <threadedComment ref="I23" dT="2020-06-14T20:15:08.26" personId="{7FB89BC3-5449-46D1-9E6D-B2DEFD39A947}" id="{6C34CA57-572D-4182-8B63-56AC3BB81DF8}">
    <text>Assume $50/door</text>
  </threadedComment>
  <threadedComment ref="I24" dT="2020-06-14T20:14:14.81" personId="{7FB89BC3-5449-46D1-9E6D-B2DEFD39A947}" id="{365C8C43-5C9F-46A7-A86A-1EB0C641C78D}">
    <text>Assume $140 average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D1108B7-F783-4FF1-8A5F-1782A423E994}">
    <text>Assume $90/unit/mth if paid by Landlord</text>
  </threadedComment>
  <threadedComment ref="I22" dT="2020-08-19T10:46:08.34" personId="{7FB89BC3-5449-46D1-9E6D-B2DEFD39A947}" id="{0230DD00-F8CF-41A1-B0E9-B53F29C7A18F}">
    <text>Assume $70/unit/mth if covered by landlord</text>
  </threadedComment>
  <threadedComment ref="I23" dT="2020-06-14T20:15:08.26" personId="{7FB89BC3-5449-46D1-9E6D-B2DEFD39A947}" id="{C2CC35B0-6DE9-47A9-824F-2391FDE9BC59}">
    <text>Assume $50/door</text>
  </threadedComment>
  <threadedComment ref="I24" dT="2020-06-14T20:14:14.81" personId="{7FB89BC3-5449-46D1-9E6D-B2DEFD39A947}" id="{62BFCE36-445B-4648-B091-5F836E87217A}">
    <text>Assume $140 average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43586BA-A8C2-4B30-9C73-73C1EE31F3BB}">
    <text>Assume $90/unit/mth if paid by Landlord</text>
  </threadedComment>
  <threadedComment ref="I22" dT="2020-08-19T10:46:08.34" personId="{7FB89BC3-5449-46D1-9E6D-B2DEFD39A947}" id="{E9A2A103-A5F4-4BA4-951D-1EF24986CDE9}">
    <text>Assume $70/unit/mth if covered by landlord</text>
  </threadedComment>
  <threadedComment ref="I23" dT="2020-06-14T20:15:08.26" personId="{7FB89BC3-5449-46D1-9E6D-B2DEFD39A947}" id="{78A60BD5-1A5C-4E06-816C-9106F76BEAF2}">
    <text>Assume $50/door</text>
  </threadedComment>
  <threadedComment ref="I24" dT="2020-06-14T20:14:14.81" personId="{7FB89BC3-5449-46D1-9E6D-B2DEFD39A947}" id="{60E59B1D-04B5-46E3-B191-A1837980A659}">
    <text>Assume $140 average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1BFA786-AD9C-46EA-994D-51E0840750CC}">
    <text>Assume $90/unit/mth if paid by Landlord</text>
  </threadedComment>
  <threadedComment ref="I22" dT="2020-08-19T10:46:08.34" personId="{7FB89BC3-5449-46D1-9E6D-B2DEFD39A947}" id="{008F5B5E-2ABA-47CC-B6EB-5910020B46C2}">
    <text>Assume $70/unit/mth if covered by landlord</text>
  </threadedComment>
  <threadedComment ref="I23" dT="2020-06-14T20:15:08.26" personId="{7FB89BC3-5449-46D1-9E6D-B2DEFD39A947}" id="{A2B01E84-1B3A-47FB-88FC-942E5C57C2CA}">
    <text>Assume $50/door</text>
  </threadedComment>
  <threadedComment ref="I24" dT="2020-06-14T20:14:14.81" personId="{7FB89BC3-5449-46D1-9E6D-B2DEFD39A947}" id="{12B1D147-B981-48BC-83AE-13A0B64F1AA9}">
    <text>Assume $140 average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FFEC456-714B-494D-8905-48C0AA4ECD17}">
    <text>Assume $90/unit/mth if paid by Landlord</text>
  </threadedComment>
  <threadedComment ref="I22" dT="2020-08-19T10:46:08.34" personId="{7FB89BC3-5449-46D1-9E6D-B2DEFD39A947}" id="{CFF7A5E4-BCB5-4DBF-A5F1-D117F803980D}">
    <text>Assume $70/unit/mth if covered by landlord</text>
  </threadedComment>
  <threadedComment ref="I23" dT="2020-06-14T20:15:08.26" personId="{7FB89BC3-5449-46D1-9E6D-B2DEFD39A947}" id="{FF3AD4DD-45BF-4C59-B5D4-2081936E4376}">
    <text>Assume $50/door</text>
  </threadedComment>
  <threadedComment ref="I24" dT="2020-06-14T20:14:14.81" personId="{7FB89BC3-5449-46D1-9E6D-B2DEFD39A947}" id="{0D718C44-CB57-43EB-A4A5-6EEDAE78D60D}">
    <text>Assume $140 average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ACB0354B-3768-42FB-BC5D-6EE47EB60E57}">
    <text>Assume $90/unit/mth if paid by Landlord</text>
  </threadedComment>
  <threadedComment ref="I22" dT="2020-08-19T10:46:08.34" personId="{7FB89BC3-5449-46D1-9E6D-B2DEFD39A947}" id="{4BA52F30-2C9D-47CD-8BD8-869611C5FF8F}">
    <text>Assume $70/unit/mth if covered by landlord</text>
  </threadedComment>
  <threadedComment ref="I23" dT="2020-06-14T20:15:08.26" personId="{7FB89BC3-5449-46D1-9E6D-B2DEFD39A947}" id="{6724C6CA-23FC-4159-807D-605F9090C2B8}">
    <text>Assume $50/door</text>
  </threadedComment>
  <threadedComment ref="I24" dT="2020-06-14T20:14:14.81" personId="{7FB89BC3-5449-46D1-9E6D-B2DEFD39A947}" id="{3665E30F-2063-4F3A-A41B-2C969ED0BE88}">
    <text>Assume $140 average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B76DAEB-227B-49C6-A8A5-7DFA268FE650}">
    <text>Assume $90/unit/mth if paid by Landlord</text>
  </threadedComment>
  <threadedComment ref="I22" dT="2020-08-19T10:46:08.34" personId="{7FB89BC3-5449-46D1-9E6D-B2DEFD39A947}" id="{FB24F52D-E9F5-4AD1-9257-B1674CB276B9}">
    <text>Assume $70/unit/mth if covered by landlord</text>
  </threadedComment>
  <threadedComment ref="I23" dT="2020-06-14T20:15:08.26" personId="{7FB89BC3-5449-46D1-9E6D-B2DEFD39A947}" id="{98081398-8207-4568-9D08-43D935302BFD}">
    <text>Assume $50/door</text>
  </threadedComment>
  <threadedComment ref="I24" dT="2020-06-14T20:14:14.81" personId="{7FB89BC3-5449-46D1-9E6D-B2DEFD39A947}" id="{DA806767-9B9A-4646-B365-D8B747AFA8FB}">
    <text>Assume $140 average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1446B85-7714-4824-AE0F-5977B65D40AF}">
    <text>Assume $90/unit/mth if paid by Landlord</text>
  </threadedComment>
  <threadedComment ref="I22" dT="2020-08-19T10:46:08.34" personId="{7FB89BC3-5449-46D1-9E6D-B2DEFD39A947}" id="{294E6A98-7FBD-4BC5-8DE9-63545F3900D0}">
    <text>Assume $70/unit/mth if covered by landlord</text>
  </threadedComment>
  <threadedComment ref="I23" dT="2020-06-14T20:15:08.26" personId="{7FB89BC3-5449-46D1-9E6D-B2DEFD39A947}" id="{FA262E53-66FF-4C3C-A313-289394830948}">
    <text>Assume $50/door</text>
  </threadedComment>
  <threadedComment ref="I24" dT="2020-06-14T20:14:14.81" personId="{7FB89BC3-5449-46D1-9E6D-B2DEFD39A947}" id="{E5F2FAF8-3212-46A4-A4EA-020B87DDE198}">
    <text>Assume $140 average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82C3ACB-D19D-4675-818A-A92EE4619E8D}">
    <text>Assume $90/unit/mth if paid by Landlord</text>
  </threadedComment>
  <threadedComment ref="I22" dT="2020-08-19T10:46:08.34" personId="{7FB89BC3-5449-46D1-9E6D-B2DEFD39A947}" id="{C0DEECB0-142E-4B72-8443-47F6FEAC42D7}">
    <text>Assume $70/unit/mth if covered by landlord</text>
  </threadedComment>
  <threadedComment ref="I23" dT="2020-06-14T20:15:08.26" personId="{7FB89BC3-5449-46D1-9E6D-B2DEFD39A947}" id="{BEDCFCFB-DD88-4C4A-9CC9-5C54EF2E8E40}">
    <text>Assume $50/door</text>
  </threadedComment>
  <threadedComment ref="I24" dT="2020-06-14T20:14:14.81" personId="{7FB89BC3-5449-46D1-9E6D-B2DEFD39A947}" id="{E271F43E-D489-4FCA-B0BE-DE380AEFCE36}">
    <text>Assume $140 average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5C1DCFB-0D57-4334-BDD1-522B4DEEF595}">
    <text>Assume $90/unit/mth if paid by Landlord</text>
  </threadedComment>
  <threadedComment ref="I22" dT="2020-08-19T10:46:08.34" personId="{7FB89BC3-5449-46D1-9E6D-B2DEFD39A947}" id="{AF1F4D5F-0B2F-4026-BB6C-C30386416B38}">
    <text>Assume $70/unit/mth if covered by landlord</text>
  </threadedComment>
  <threadedComment ref="I23" dT="2020-06-14T20:15:08.26" personId="{7FB89BC3-5449-46D1-9E6D-B2DEFD39A947}" id="{7005DB36-E395-499B-A82B-E0771C6FCBF9}">
    <text>Assume $50/door</text>
  </threadedComment>
  <threadedComment ref="I24" dT="2020-06-14T20:14:14.81" personId="{7FB89BC3-5449-46D1-9E6D-B2DEFD39A947}" id="{026D3E5F-DFCB-4443-866A-68E5281A4BA6}">
    <text>Assume $140 average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AAC4B6F-00A2-41C2-9905-5DC0C2D05DA9}">
    <text>Assume $90/unit/mth if paid by Landlord</text>
  </threadedComment>
  <threadedComment ref="I22" dT="2020-08-19T10:46:08.34" personId="{7FB89BC3-5449-46D1-9E6D-B2DEFD39A947}" id="{E665447A-6DB0-42F8-BE73-AE3FB9A1BC7B}">
    <text>Assume $70/unit/mth if covered by landlord</text>
  </threadedComment>
  <threadedComment ref="I23" dT="2020-06-14T20:15:08.26" personId="{7FB89BC3-5449-46D1-9E6D-B2DEFD39A947}" id="{139AF3DB-9BD8-4018-B840-5859BB495D98}">
    <text>Assume $50/door</text>
  </threadedComment>
  <threadedComment ref="I24" dT="2020-06-14T20:14:14.81" personId="{7FB89BC3-5449-46D1-9E6D-B2DEFD39A947}" id="{D4355C42-A2DD-41AF-865A-C0673767BD0E}">
    <text>Assume $140 average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B31D1E0-1420-4D24-9147-B37F23FB5D95}">
    <text>Assume $90/unit/mth if paid by Landlord</text>
  </threadedComment>
  <threadedComment ref="I22" dT="2020-08-19T10:46:08.34" personId="{7FB89BC3-5449-46D1-9E6D-B2DEFD39A947}" id="{AFDDEF95-57A3-46D9-930B-98F5B139BEC5}">
    <text>Assume $70/unit/mth if covered by landlord</text>
  </threadedComment>
  <threadedComment ref="I23" dT="2020-06-14T20:15:08.26" personId="{7FB89BC3-5449-46D1-9E6D-B2DEFD39A947}" id="{6B43061F-6477-44CB-BDBB-B2622F472990}">
    <text>Assume $50/door</text>
  </threadedComment>
  <threadedComment ref="I24" dT="2020-06-14T20:14:14.81" personId="{7FB89BC3-5449-46D1-9E6D-B2DEFD39A947}" id="{BD2AD604-028F-49EC-9780-EFF7F49EC83F}">
    <text>Assume $140 average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7E2C6A0-36CA-4441-AE27-1E3095FACB92}">
    <text>Assume $90/unit/mth if paid by Landlord</text>
  </threadedComment>
  <threadedComment ref="I22" dT="2020-08-19T10:46:08.34" personId="{7FB89BC3-5449-46D1-9E6D-B2DEFD39A947}" id="{3FB43989-F973-4B52-BEFA-F7B0B074BA4E}">
    <text>Assume $70/unit/mth if covered by landlord</text>
  </threadedComment>
  <threadedComment ref="I23" dT="2020-06-14T20:15:08.26" personId="{7FB89BC3-5449-46D1-9E6D-B2DEFD39A947}" id="{72D9E206-B2DD-4657-9567-84157882937C}">
    <text>Assume $50/door</text>
  </threadedComment>
  <threadedComment ref="I24" dT="2020-06-14T20:14:14.81" personId="{7FB89BC3-5449-46D1-9E6D-B2DEFD39A947}" id="{A88960AB-36A6-47D1-AAB8-24A7BB1ABBA0}">
    <text>Assume $140 average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3B18CAC-B73F-4F72-AEF7-A0DB7BBA7EDA}">
    <text>Assume $90/unit/mth if paid by Landlord</text>
  </threadedComment>
  <threadedComment ref="I22" dT="2020-08-19T10:46:08.34" personId="{7FB89BC3-5449-46D1-9E6D-B2DEFD39A947}" id="{8DC87901-A23E-46AF-B479-8087896F9C53}">
    <text>Assume $70/unit/mth if covered by landlord</text>
  </threadedComment>
  <threadedComment ref="I23" dT="2020-06-14T20:15:08.26" personId="{7FB89BC3-5449-46D1-9E6D-B2DEFD39A947}" id="{2E129063-FC73-4E87-AA73-EB934081902E}">
    <text>Assume $50/door</text>
  </threadedComment>
  <threadedComment ref="I24" dT="2020-06-14T20:14:14.81" personId="{7FB89BC3-5449-46D1-9E6D-B2DEFD39A947}" id="{A1DC3863-D405-4F2B-AF7B-C608860FA4FE}">
    <text>Assume $140 average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A1572080-791E-4CD2-BFC4-BC4A7E7791AC}">
    <text>Assume $90/unit/mth if paid by Landlord</text>
  </threadedComment>
  <threadedComment ref="I22" dT="2020-08-19T10:46:08.34" personId="{7FB89BC3-5449-46D1-9E6D-B2DEFD39A947}" id="{BC492330-1128-40CF-B488-36CDD38A0BBD}">
    <text>Assume $70/unit/mth if covered by landlord</text>
  </threadedComment>
  <threadedComment ref="I23" dT="2020-06-14T20:15:08.26" personId="{7FB89BC3-5449-46D1-9E6D-B2DEFD39A947}" id="{9FC11F7B-26C7-42BA-8A19-70064A9CB4D8}">
    <text>Assume $50/door</text>
  </threadedComment>
  <threadedComment ref="I24" dT="2020-06-14T20:14:14.81" personId="{7FB89BC3-5449-46D1-9E6D-B2DEFD39A947}" id="{9ED69F48-2ACF-45C1-A5AD-B07A77854D68}">
    <text>Assume $140 average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49F97D4-68F7-40AC-82A1-2EC6034F52D5}">
    <text>Assume $90/unit/mth if paid by Landlord</text>
  </threadedComment>
  <threadedComment ref="I22" dT="2020-08-19T10:46:08.34" personId="{7FB89BC3-5449-46D1-9E6D-B2DEFD39A947}" id="{1B20FE0E-3650-4E8E-8789-1E075ADA71E7}">
    <text>Assume $70/unit/mth if covered by landlord</text>
  </threadedComment>
  <threadedComment ref="I23" dT="2020-06-14T20:15:08.26" personId="{7FB89BC3-5449-46D1-9E6D-B2DEFD39A947}" id="{ED231848-7FD2-4477-96E2-10D067B5A9B2}">
    <text>Assume $50/door</text>
  </threadedComment>
  <threadedComment ref="I24" dT="2020-06-14T20:14:14.81" personId="{7FB89BC3-5449-46D1-9E6D-B2DEFD39A947}" id="{A1C05CBE-5462-4AC7-82FC-41DC6B23CDAC}">
    <text>Assume $140 average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EC91F01-BC60-44D1-B42C-0D535ED38A94}">
    <text>Assume $90/unit/mth if paid by Landlord</text>
  </threadedComment>
  <threadedComment ref="I22" dT="2020-08-19T10:46:08.34" personId="{7FB89BC3-5449-46D1-9E6D-B2DEFD39A947}" id="{DB23AD6B-EE00-4CDC-95B2-866173E670BD}">
    <text>Assume $70/unit/mth if covered by landlord</text>
  </threadedComment>
  <threadedComment ref="I23" dT="2020-06-14T20:15:08.26" personId="{7FB89BC3-5449-46D1-9E6D-B2DEFD39A947}" id="{9105F57A-98B9-40A3-9859-2FCD5DDEC62F}">
    <text>Assume $50/door</text>
  </threadedComment>
  <threadedComment ref="I24" dT="2020-06-14T20:14:14.81" personId="{7FB89BC3-5449-46D1-9E6D-B2DEFD39A947}" id="{E571BCB2-7F61-4D82-84E2-2813C5049283}">
    <text>Assume $140 average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59CC32E-6051-4BB2-9CC2-852381229DEF}">
    <text>Assume $90/unit/mth if paid by Landlord</text>
  </threadedComment>
  <threadedComment ref="I22" dT="2020-08-19T10:46:08.34" personId="{7FB89BC3-5449-46D1-9E6D-B2DEFD39A947}" id="{C93EB3EF-A674-4088-93F6-BDA3648F4459}">
    <text>Assume $70/unit/mth if covered by landlord</text>
  </threadedComment>
  <threadedComment ref="I23" dT="2020-06-14T20:15:08.26" personId="{7FB89BC3-5449-46D1-9E6D-B2DEFD39A947}" id="{14A69581-D247-4FF5-AEA4-78E7FB5AD42B}">
    <text>Assume $50/door</text>
  </threadedComment>
  <threadedComment ref="I24" dT="2020-06-14T20:14:14.81" personId="{7FB89BC3-5449-46D1-9E6D-B2DEFD39A947}" id="{9A576746-70E5-463B-A65F-5D3CC408BBBD}">
    <text>Assume $140 average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D164D54-9C9C-4BB7-BD37-B243515CA4C6}">
    <text>Assume $90/unit/mth if paid by Landlord</text>
  </threadedComment>
  <threadedComment ref="I22" dT="2020-08-19T10:46:08.34" personId="{7FB89BC3-5449-46D1-9E6D-B2DEFD39A947}" id="{89DA1FC8-851A-4F3C-9638-4908558C94BE}">
    <text>Assume $70/unit/mth if covered by landlord</text>
  </threadedComment>
  <threadedComment ref="I23" dT="2020-06-14T20:15:08.26" personId="{7FB89BC3-5449-46D1-9E6D-B2DEFD39A947}" id="{F9D524EF-C129-4BC7-B503-BEF960ABBF2D}">
    <text>Assume $50/door</text>
  </threadedComment>
  <threadedComment ref="I24" dT="2020-06-14T20:14:14.81" personId="{7FB89BC3-5449-46D1-9E6D-B2DEFD39A947}" id="{74A7BD73-3580-4466-8B97-C00664986729}">
    <text>Assume $140 average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EAF1D07-2854-463F-850A-429F126114C4}">
    <text>Assume $90/unit/mth if paid by Landlord</text>
  </threadedComment>
  <threadedComment ref="I22" dT="2020-08-19T10:46:08.34" personId="{7FB89BC3-5449-46D1-9E6D-B2DEFD39A947}" id="{09EF6C5F-828F-4641-9C5F-CC0E9393395A}">
    <text>Assume $70/unit/mth if covered by landlord</text>
  </threadedComment>
  <threadedComment ref="I23" dT="2020-06-14T20:15:08.26" personId="{7FB89BC3-5449-46D1-9E6D-B2DEFD39A947}" id="{C78474C8-17A0-40DD-9579-09540057D340}">
    <text>Assume $50/door</text>
  </threadedComment>
  <threadedComment ref="I24" dT="2020-06-14T20:14:14.81" personId="{7FB89BC3-5449-46D1-9E6D-B2DEFD39A947}" id="{CB54ECCE-80E5-4D87-A3B7-7372B3A5C54A}">
    <text>Assume $140 average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E8F25F3-AEAB-4934-A169-39A4FC70776F}">
    <text>Assume $90/unit/mth if paid by Landlord</text>
  </threadedComment>
  <threadedComment ref="I22" dT="2020-08-19T10:46:08.34" personId="{7FB89BC3-5449-46D1-9E6D-B2DEFD39A947}" id="{33243C74-BD83-4A6F-A143-C88EE48408E8}">
    <text>Assume $70/unit/mth if covered by landlord</text>
  </threadedComment>
  <threadedComment ref="I23" dT="2020-06-14T20:15:08.26" personId="{7FB89BC3-5449-46D1-9E6D-B2DEFD39A947}" id="{86C7712F-D402-4606-92F8-719DB9E09037}">
    <text>Assume $50/door</text>
  </threadedComment>
  <threadedComment ref="I24" dT="2020-06-14T20:14:14.81" personId="{7FB89BC3-5449-46D1-9E6D-B2DEFD39A947}" id="{2D8E55D1-5352-4B60-954E-FB91E81EC5BC}">
    <text>Assume $140 average</text>
  </threadedComment>
</ThreadedComments>
</file>

<file path=xl/threadedComments/threadedComment3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D432885-47FA-46BA-B6F2-BC2B71208060}">
    <text>Assume $90/unit/mth if paid by Landlord</text>
  </threadedComment>
  <threadedComment ref="I22" dT="2020-08-19T10:46:08.34" personId="{7FB89BC3-5449-46D1-9E6D-B2DEFD39A947}" id="{723A4576-81D4-4806-9A93-66610E452579}">
    <text>Assume $70/unit/mth if covered by landlord</text>
  </threadedComment>
  <threadedComment ref="I23" dT="2020-06-14T20:15:08.26" personId="{7FB89BC3-5449-46D1-9E6D-B2DEFD39A947}" id="{173D3B7F-8581-49C8-B774-7A1A2E9DA9E7}">
    <text>Assume $50/door</text>
  </threadedComment>
  <threadedComment ref="I24" dT="2020-06-14T20:14:14.81" personId="{7FB89BC3-5449-46D1-9E6D-B2DEFD39A947}" id="{5B29B61F-D297-4F1C-BA28-A259331F7BB7}">
    <text>Assume $140 average</text>
  </threadedComment>
</ThreadedComments>
</file>

<file path=xl/threadedComments/threadedComment3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4527B0E-EC07-461B-8903-DD2B633AEFA6}">
    <text>Assume $90/unit/mth if paid by Landlord</text>
  </threadedComment>
  <threadedComment ref="I22" dT="2020-08-19T10:46:08.34" personId="{7FB89BC3-5449-46D1-9E6D-B2DEFD39A947}" id="{BA5B2A69-A93A-4F47-A32C-1BA190A3FD6B}">
    <text>Assume $70/unit/mth if covered by landlord</text>
  </threadedComment>
  <threadedComment ref="I23" dT="2020-06-14T20:15:08.26" personId="{7FB89BC3-5449-46D1-9E6D-B2DEFD39A947}" id="{55E9BE99-9261-4DAD-9568-D7E8ED723CF0}">
    <text>Assume $50/door</text>
  </threadedComment>
  <threadedComment ref="I24" dT="2020-06-14T20:14:14.81" personId="{7FB89BC3-5449-46D1-9E6D-B2DEFD39A947}" id="{A61AB131-C6E7-469B-B128-7FE3A4E64A48}">
    <text>Assume $140 average</text>
  </threadedComment>
</ThreadedComments>
</file>

<file path=xl/threadedComments/threadedComment3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E29B63D-A45E-43EA-8962-255AC0698BBD}">
    <text>Assume $90/unit/mth if paid by Landlord</text>
  </threadedComment>
  <threadedComment ref="I22" dT="2020-08-19T10:46:08.34" personId="{7FB89BC3-5449-46D1-9E6D-B2DEFD39A947}" id="{7920C420-0A8D-4C4E-BD53-E3055DBDF5A3}">
    <text>Assume $70/unit/mth if covered by landlord</text>
  </threadedComment>
  <threadedComment ref="I23" dT="2020-06-14T20:15:08.26" personId="{7FB89BC3-5449-46D1-9E6D-B2DEFD39A947}" id="{CCE18D81-B133-4DB2-98E9-EB91CCFC399F}">
    <text>Assume $50/door</text>
  </threadedComment>
  <threadedComment ref="I24" dT="2020-06-14T20:14:14.81" personId="{7FB89BC3-5449-46D1-9E6D-B2DEFD39A947}" id="{9D83E3E4-E547-4462-9012-CEFCA54C1C91}">
    <text>Assume $140 average</text>
  </threadedComment>
</ThreadedComments>
</file>

<file path=xl/threadedComments/threadedComment3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19FCE08-CC88-42AC-BF0B-3E419F690CC2}">
    <text>Assume $90/unit/mth if paid by Landlord</text>
  </threadedComment>
  <threadedComment ref="I22" dT="2020-08-19T10:46:08.34" personId="{7FB89BC3-5449-46D1-9E6D-B2DEFD39A947}" id="{CB5539CD-F3A6-45FB-8AB8-38A813E2A87B}">
    <text>Assume $70/unit/mth if covered by landlord</text>
  </threadedComment>
  <threadedComment ref="I23" dT="2020-06-14T20:15:08.26" personId="{7FB89BC3-5449-46D1-9E6D-B2DEFD39A947}" id="{1DDC8190-53FB-49D1-B090-5D64E2AB3B80}">
    <text>Assume $50/door</text>
  </threadedComment>
  <threadedComment ref="I24" dT="2020-06-14T20:14:14.81" personId="{7FB89BC3-5449-46D1-9E6D-B2DEFD39A947}" id="{B5BE597B-CFF6-4FBF-B184-6DA81CF1B902}">
    <text>Assume $140 average</text>
  </threadedComment>
</ThreadedComments>
</file>

<file path=xl/threadedComments/threadedComment3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7C156CF-3E66-40CC-8427-A504CC13DBB5}">
    <text>Assume $90/unit/mth if paid by Landlord</text>
  </threadedComment>
  <threadedComment ref="I22" dT="2020-08-19T10:46:08.34" personId="{7FB89BC3-5449-46D1-9E6D-B2DEFD39A947}" id="{79D7A95C-3831-41C2-AD0D-30BFBC7C4574}">
    <text>Assume $70/unit/mth if covered by landlord</text>
  </threadedComment>
  <threadedComment ref="I23" dT="2020-06-14T20:15:08.26" personId="{7FB89BC3-5449-46D1-9E6D-B2DEFD39A947}" id="{E34B5C77-09AC-4333-BCBF-99CE7FACC4BF}">
    <text>Assume $50/door</text>
  </threadedComment>
  <threadedComment ref="I24" dT="2020-06-14T20:14:14.81" personId="{7FB89BC3-5449-46D1-9E6D-B2DEFD39A947}" id="{B7229DD3-F61D-4E3F-BBCE-62B1C299EAE6}">
    <text>Assume $140 average</text>
  </threadedComment>
</ThreadedComments>
</file>

<file path=xl/threadedComments/threadedComment3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859784D-BDC8-436D-8A05-337AC1292C5F}">
    <text>Assume $90/unit/mth if paid by Landlord</text>
  </threadedComment>
  <threadedComment ref="I22" dT="2020-08-19T10:46:08.34" personId="{7FB89BC3-5449-46D1-9E6D-B2DEFD39A947}" id="{56AA181A-123C-40F3-96CA-42EAA9F3AF3D}">
    <text>Assume $70/unit/mth if covered by landlord</text>
  </threadedComment>
  <threadedComment ref="I23" dT="2020-06-14T20:15:08.26" personId="{7FB89BC3-5449-46D1-9E6D-B2DEFD39A947}" id="{AE21B4A3-6A1D-4E1D-AF0E-DE8FE426361D}">
    <text>Assume $50/door</text>
  </threadedComment>
  <threadedComment ref="I24" dT="2020-06-14T20:14:14.81" personId="{7FB89BC3-5449-46D1-9E6D-B2DEFD39A947}" id="{3D92EC01-63D7-405E-9C61-5FB47491EBDD}">
    <text>Assume $140 average</text>
  </threadedComment>
</ThreadedComments>
</file>

<file path=xl/threadedComments/threadedComment3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A5AEB04-FB58-4880-8106-188C32484725}">
    <text>Assume $90/unit/mth if paid by Landlord</text>
  </threadedComment>
  <threadedComment ref="I22" dT="2020-08-19T10:46:08.34" personId="{7FB89BC3-5449-46D1-9E6D-B2DEFD39A947}" id="{B65ED89D-6DD4-401F-BB04-1D5466A3CDC6}">
    <text>Assume $70/unit/mth if covered by landlord</text>
  </threadedComment>
  <threadedComment ref="I23" dT="2020-06-14T20:15:08.26" personId="{7FB89BC3-5449-46D1-9E6D-B2DEFD39A947}" id="{061E4CE4-19C8-4225-9344-C00849A58064}">
    <text>Assume $50/door</text>
  </threadedComment>
  <threadedComment ref="I24" dT="2020-06-14T20:14:14.81" personId="{7FB89BC3-5449-46D1-9E6D-B2DEFD39A947}" id="{ED7F8E61-54B1-4AFA-AA91-EFB75793FC19}">
    <text>Assume $140 average</text>
  </threadedComment>
</ThreadedComments>
</file>

<file path=xl/threadedComments/threadedComment3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BB61300-182A-4E66-9EA4-B0C26C435B01}">
    <text>Assume $90/unit/mth if paid by Landlord</text>
  </threadedComment>
  <threadedComment ref="I22" dT="2020-08-19T10:46:08.34" personId="{7FB89BC3-5449-46D1-9E6D-B2DEFD39A947}" id="{DFA9FA45-EA0F-4D65-AC51-3EB43C87C02D}">
    <text>Assume $70/unit/mth if covered by landlord</text>
  </threadedComment>
  <threadedComment ref="I23" dT="2020-06-14T20:15:08.26" personId="{7FB89BC3-5449-46D1-9E6D-B2DEFD39A947}" id="{946D8393-5175-4C83-B78C-03E3A05B1033}">
    <text>Assume $50/door</text>
  </threadedComment>
  <threadedComment ref="I24" dT="2020-06-14T20:14:14.81" personId="{7FB89BC3-5449-46D1-9E6D-B2DEFD39A947}" id="{01B8FBA8-24C0-4A8A-8A72-FD79E9C6A47C}">
    <text>Assume $140 average</text>
  </threadedComment>
</ThreadedComments>
</file>

<file path=xl/threadedComments/threadedComment4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B2CE423-68CE-4F46-8114-C74F76CD8929}">
    <text>Assume $90/unit/mth if paid by Landlord</text>
  </threadedComment>
  <threadedComment ref="I22" dT="2020-08-19T10:46:08.34" personId="{7FB89BC3-5449-46D1-9E6D-B2DEFD39A947}" id="{DD75A8B3-A995-4568-AEEB-6DB1C68F1A3C}">
    <text>Assume $70/unit/mth if covered by landlord</text>
  </threadedComment>
  <threadedComment ref="I23" dT="2020-06-14T20:15:08.26" personId="{7FB89BC3-5449-46D1-9E6D-B2DEFD39A947}" id="{FA6B48D4-53EB-4F75-8C62-CC4CDD5B01BF}">
    <text>Assume $50/door</text>
  </threadedComment>
  <threadedComment ref="I24" dT="2020-06-14T20:14:14.81" personId="{7FB89BC3-5449-46D1-9E6D-B2DEFD39A947}" id="{30B5C057-4D96-4843-B0D0-2969338AD76B}">
    <text>Assume $140 average</text>
  </threadedComment>
</ThreadedComments>
</file>

<file path=xl/threadedComments/threadedComment4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5AC9114-226D-47D2-A334-84E85F6227C6}">
    <text>Assume $90/unit/mth if paid by Landlord</text>
  </threadedComment>
  <threadedComment ref="I22" dT="2020-08-19T10:46:08.34" personId="{7FB89BC3-5449-46D1-9E6D-B2DEFD39A947}" id="{1CBEE3F0-344B-4FBE-93F2-C578A8BF8A53}">
    <text>Assume $70/unit/mth if covered by landlord</text>
  </threadedComment>
  <threadedComment ref="I23" dT="2020-06-14T20:15:08.26" personId="{7FB89BC3-5449-46D1-9E6D-B2DEFD39A947}" id="{F13457B5-2BCC-4ABF-B157-B5EAF1AD7C73}">
    <text>Assume $50/door</text>
  </threadedComment>
  <threadedComment ref="I24" dT="2020-06-14T20:14:14.81" personId="{7FB89BC3-5449-46D1-9E6D-B2DEFD39A947}" id="{73F21827-6C88-4E3A-A663-A1EE10510665}">
    <text>Assume $140 average</text>
  </threadedComment>
</ThreadedComments>
</file>

<file path=xl/threadedComments/threadedComment4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B5A71B5-1C27-4718-89D7-C0EB0B351CAD}">
    <text>Assume $90/unit/mth if paid by Landlord</text>
  </threadedComment>
  <threadedComment ref="I22" dT="2020-08-19T10:46:08.34" personId="{7FB89BC3-5449-46D1-9E6D-B2DEFD39A947}" id="{1CD1DF8F-CD56-4674-8A5D-62562DA323B6}">
    <text>Assume $70/unit/mth if covered by landlord</text>
  </threadedComment>
  <threadedComment ref="I23" dT="2020-06-14T20:15:08.26" personId="{7FB89BC3-5449-46D1-9E6D-B2DEFD39A947}" id="{1195E0A6-38F0-4968-B917-743A66AA3A66}">
    <text>Assume $50/door</text>
  </threadedComment>
  <threadedComment ref="I24" dT="2020-06-14T20:14:14.81" personId="{7FB89BC3-5449-46D1-9E6D-B2DEFD39A947}" id="{AD3C124A-156C-4461-A421-8A22B8E9B6C2}">
    <text>Assume $140 average</text>
  </threadedComment>
</ThreadedComments>
</file>

<file path=xl/threadedComments/threadedComment4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E1C7EE3-6976-4CFB-97A6-5BB6AA64C8AF}">
    <text>Assume $90/unit/mth if paid by Landlord</text>
  </threadedComment>
  <threadedComment ref="I22" dT="2020-08-19T10:46:08.34" personId="{7FB89BC3-5449-46D1-9E6D-B2DEFD39A947}" id="{891FADB5-C61C-4613-A84F-A0DF6F80C80D}">
    <text>Assume $70/unit/mth if covered by landlord</text>
  </threadedComment>
  <threadedComment ref="I23" dT="2020-06-14T20:15:08.26" personId="{7FB89BC3-5449-46D1-9E6D-B2DEFD39A947}" id="{2F75AF80-40A5-45DD-A2E4-2B8F490B8DEB}">
    <text>Assume $50/door</text>
  </threadedComment>
  <threadedComment ref="I24" dT="2020-06-14T20:14:14.81" personId="{7FB89BC3-5449-46D1-9E6D-B2DEFD39A947}" id="{B95EC32B-6F71-4073-B08E-CDC684466FA4}">
    <text>Assume $140 average</text>
  </threadedComment>
</ThreadedComments>
</file>

<file path=xl/threadedComments/threadedComment4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521D49C-82B7-4625-8BA3-D3C0DAFB9363}">
    <text>Assume $90/unit/mth if paid by Landlord</text>
  </threadedComment>
  <threadedComment ref="I22" dT="2020-08-19T10:46:08.34" personId="{7FB89BC3-5449-46D1-9E6D-B2DEFD39A947}" id="{DA9C9365-7243-4332-A5F4-F2EB1E6CFE60}">
    <text>Assume $70/unit/mth if covered by landlord</text>
  </threadedComment>
  <threadedComment ref="I23" dT="2020-06-14T20:15:08.26" personId="{7FB89BC3-5449-46D1-9E6D-B2DEFD39A947}" id="{10BACBFC-61AF-4840-A5DE-3752A81A35B1}">
    <text>Assume $50/door</text>
  </threadedComment>
  <threadedComment ref="I24" dT="2020-06-14T20:14:14.81" personId="{7FB89BC3-5449-46D1-9E6D-B2DEFD39A947}" id="{E3714D2F-2CB0-466C-8717-802EEB22CD89}">
    <text>Assume $140 average</text>
  </threadedComment>
</ThreadedComments>
</file>

<file path=xl/threadedComments/threadedComment4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EA67F85-C52B-43D1-B881-0E92837BFDAB}">
    <text>Assume $90/unit/mth if paid by Landlord</text>
  </threadedComment>
  <threadedComment ref="I22" dT="2020-08-19T10:46:08.34" personId="{7FB89BC3-5449-46D1-9E6D-B2DEFD39A947}" id="{D5AC4ECC-AA6F-4600-8B17-8383D1F52ABB}">
    <text>Assume $70/unit/mth if covered by landlord</text>
  </threadedComment>
  <threadedComment ref="I23" dT="2020-06-14T20:15:08.26" personId="{7FB89BC3-5449-46D1-9E6D-B2DEFD39A947}" id="{D430CBF8-5841-4F21-ACB3-4CA7531CE178}">
    <text>Assume $50/door</text>
  </threadedComment>
  <threadedComment ref="I24" dT="2020-06-14T20:14:14.81" personId="{7FB89BC3-5449-46D1-9E6D-B2DEFD39A947}" id="{491E993F-BF0F-48B0-A341-FBE1C9DEC8E1}">
    <text>Assume $140 average</text>
  </threadedComment>
</ThreadedComments>
</file>

<file path=xl/threadedComments/threadedComment4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A82A2E0-3744-40CC-AFC7-746C8E73F365}">
    <text>Assume $90/unit/mth if paid by Landlord</text>
  </threadedComment>
  <threadedComment ref="I22" dT="2020-08-19T10:46:08.34" personId="{7FB89BC3-5449-46D1-9E6D-B2DEFD39A947}" id="{35CE4FC0-2674-4E1B-B104-C8C0F7768FC7}">
    <text>Assume $70/unit/mth if covered by landlord</text>
  </threadedComment>
  <threadedComment ref="I23" dT="2020-06-14T20:15:08.26" personId="{7FB89BC3-5449-46D1-9E6D-B2DEFD39A947}" id="{E5197244-635F-4A74-9257-A57FB7B43CD8}">
    <text>Assume $50/door</text>
  </threadedComment>
  <threadedComment ref="I24" dT="2020-06-14T20:14:14.81" personId="{7FB89BC3-5449-46D1-9E6D-B2DEFD39A947}" id="{56751D20-AE5D-4966-A80C-AAB19CC6673E}">
    <text>Assume $140 average</text>
  </threadedComment>
</ThreadedComments>
</file>

<file path=xl/threadedComments/threadedComment4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1EDB7D5-658D-4B3B-80EC-CA1D3D62D6FE}">
    <text>Assume $90/unit/mth if paid by Landlord</text>
  </threadedComment>
  <threadedComment ref="I22" dT="2020-08-19T10:46:08.34" personId="{7FB89BC3-5449-46D1-9E6D-B2DEFD39A947}" id="{69527657-B14B-47E8-B4D3-FC9A9F76C085}">
    <text>Assume $70/unit/mth if covered by landlord</text>
  </threadedComment>
  <threadedComment ref="I23" dT="2020-06-14T20:15:08.26" personId="{7FB89BC3-5449-46D1-9E6D-B2DEFD39A947}" id="{8A8AF738-B0E5-4628-A321-B8AEB648FB99}">
    <text>Assume $50/door</text>
  </threadedComment>
  <threadedComment ref="I24" dT="2020-06-14T20:14:14.81" personId="{7FB89BC3-5449-46D1-9E6D-B2DEFD39A947}" id="{E2B4B393-3A3B-48AC-8177-3A989355421A}">
    <text>Assume $140 average</text>
  </threadedComment>
</ThreadedComments>
</file>

<file path=xl/threadedComments/threadedComment4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D1EF9C0-CF31-4D67-BF57-668B6B2E5558}">
    <text>Assume $90/unit/mth if paid by Landlord</text>
  </threadedComment>
  <threadedComment ref="I22" dT="2020-08-19T10:46:08.34" personId="{7FB89BC3-5449-46D1-9E6D-B2DEFD39A947}" id="{1555BF37-253F-4CA1-A715-46AB0E598DC3}">
    <text>Assume $70/unit/mth if covered by landlord</text>
  </threadedComment>
  <threadedComment ref="I23" dT="2020-06-14T20:15:08.26" personId="{7FB89BC3-5449-46D1-9E6D-B2DEFD39A947}" id="{42F22490-EAAC-4AB3-8DF9-50854E9D1CD8}">
    <text>Assume $50/door</text>
  </threadedComment>
  <threadedComment ref="I24" dT="2020-06-14T20:14:14.81" personId="{7FB89BC3-5449-46D1-9E6D-B2DEFD39A947}" id="{B1E21C03-8592-4663-8C15-946D8434B40D}">
    <text>Assume $140 average</text>
  </threadedComment>
</ThreadedComments>
</file>

<file path=xl/threadedComments/threadedComment4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297B162-EEAB-4CAE-8C7A-960C57780F17}">
    <text>Assume $90/unit/mth if paid by Landlord</text>
  </threadedComment>
  <threadedComment ref="I22" dT="2020-08-19T10:46:08.34" personId="{7FB89BC3-5449-46D1-9E6D-B2DEFD39A947}" id="{9A647E0F-5215-4BEB-B166-416AE69DDE58}">
    <text>Assume $70/unit/mth if covered by landlord</text>
  </threadedComment>
  <threadedComment ref="I23" dT="2020-06-14T20:15:08.26" personId="{7FB89BC3-5449-46D1-9E6D-B2DEFD39A947}" id="{5D1442D6-94B7-4410-A459-D09A2338AD1E}">
    <text>Assume $50/door</text>
  </threadedComment>
  <threadedComment ref="I24" dT="2020-06-14T20:14:14.81" personId="{7FB89BC3-5449-46D1-9E6D-B2DEFD39A947}" id="{10765C4C-8A5A-4ABE-A73A-51E48701BE83}">
    <text>Assume $140 average</text>
  </threadedComment>
</ThreadedComments>
</file>

<file path=xl/threadedComments/threadedComment5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B99BCBC-BB7E-4022-A0D9-A5D1581BBC7F}">
    <text>Assume $90/unit/mth if paid by Landlord</text>
  </threadedComment>
  <threadedComment ref="I22" dT="2020-08-19T10:46:08.34" personId="{7FB89BC3-5449-46D1-9E6D-B2DEFD39A947}" id="{7CB17252-17D9-4027-A389-B1BC04BEFE93}">
    <text>Assume $70/unit/mth if covered by landlord</text>
  </threadedComment>
  <threadedComment ref="I23" dT="2020-06-14T20:15:08.26" personId="{7FB89BC3-5449-46D1-9E6D-B2DEFD39A947}" id="{02596048-71F5-498C-B6E4-DE378494818E}">
    <text>Assume $50/door</text>
  </threadedComment>
  <threadedComment ref="I24" dT="2020-06-14T20:14:14.81" personId="{7FB89BC3-5449-46D1-9E6D-B2DEFD39A947}" id="{898D11EE-86FC-4CAC-9614-D4C596B701B2}">
    <text>Assume $140 average</text>
  </threadedComment>
</ThreadedComments>
</file>

<file path=xl/threadedComments/threadedComment5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0F64768-0314-443B-A467-13DD63B80C23}">
    <text>Assume $90/unit/mth if paid by Landlord</text>
  </threadedComment>
  <threadedComment ref="I22" dT="2020-08-19T10:46:08.34" personId="{7FB89BC3-5449-46D1-9E6D-B2DEFD39A947}" id="{282E994B-0FF8-44A8-9771-C98E8E8D12EC}">
    <text>Assume $70/unit/mth if covered by landlord</text>
  </threadedComment>
  <threadedComment ref="I23" dT="2020-06-14T20:15:08.26" personId="{7FB89BC3-5449-46D1-9E6D-B2DEFD39A947}" id="{317CC833-E71C-4C9A-9C76-C015CBC39F0B}">
    <text>Assume $50/door</text>
  </threadedComment>
  <threadedComment ref="I24" dT="2020-06-14T20:14:14.81" personId="{7FB89BC3-5449-46D1-9E6D-B2DEFD39A947}" id="{5E8D9A6A-D3A4-409A-8F60-D5F2C25728B2}">
    <text>Assume $140 average</text>
  </threadedComment>
</ThreadedComments>
</file>

<file path=xl/threadedComments/threadedComment5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2281D78-BBE0-4C98-84A7-6C13C99AC251}">
    <text>Assume $90/unit/mth if paid by Landlord</text>
  </threadedComment>
  <threadedComment ref="I22" dT="2020-08-19T10:46:08.34" personId="{7FB89BC3-5449-46D1-9E6D-B2DEFD39A947}" id="{11591A1B-955B-4899-8604-A0DB15C2F464}">
    <text>Assume $70/unit/mth if covered by landlord</text>
  </threadedComment>
  <threadedComment ref="I23" dT="2020-06-14T20:15:08.26" personId="{7FB89BC3-5449-46D1-9E6D-B2DEFD39A947}" id="{770394E7-D4FE-4B4C-B70C-F0AD6EF3D446}">
    <text>Assume $50/door</text>
  </threadedComment>
  <threadedComment ref="I24" dT="2020-06-14T20:14:14.81" personId="{7FB89BC3-5449-46D1-9E6D-B2DEFD39A947}" id="{B5F74611-37E0-48DC-A34C-014E7477F26F}">
    <text>Assume $140 average</text>
  </threadedComment>
</ThreadedComments>
</file>

<file path=xl/threadedComments/threadedComment5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712C7D6-841B-4BBA-9EA2-6CD63856F5F0}">
    <text>Assume $90/unit/mth if paid by Landlord</text>
  </threadedComment>
  <threadedComment ref="I22" dT="2020-08-19T10:46:08.34" personId="{7FB89BC3-5449-46D1-9E6D-B2DEFD39A947}" id="{59464243-E2F4-4708-BCC0-A278AF23B5EE}">
    <text>Assume $70/unit/mth if covered by landlord</text>
  </threadedComment>
  <threadedComment ref="I23" dT="2020-06-14T20:15:08.26" personId="{7FB89BC3-5449-46D1-9E6D-B2DEFD39A947}" id="{19944285-5402-495E-BA02-DBB2B0B1B3F6}">
    <text>Assume $50/door</text>
  </threadedComment>
  <threadedComment ref="I24" dT="2020-06-14T20:14:14.81" personId="{7FB89BC3-5449-46D1-9E6D-B2DEFD39A947}" id="{F456D62C-5B00-4460-B2C2-26EFD15CF891}">
    <text>Assume $140 average</text>
  </threadedComment>
</ThreadedComments>
</file>

<file path=xl/threadedComments/threadedComment5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F9AC657-F528-4C52-8B87-FA1FBCAC6D71}">
    <text>Assume $90/unit/mth if paid by Landlord</text>
  </threadedComment>
  <threadedComment ref="I22" dT="2020-08-19T10:46:08.34" personId="{7FB89BC3-5449-46D1-9E6D-B2DEFD39A947}" id="{A3E188F6-EF89-4F70-BA0F-7184D811E4DC}">
    <text>Assume $70/unit/mth if covered by landlord</text>
  </threadedComment>
  <threadedComment ref="I23" dT="2020-06-14T20:15:08.26" personId="{7FB89BC3-5449-46D1-9E6D-B2DEFD39A947}" id="{AE911872-D8AA-4192-BB68-BEE716275C4F}">
    <text>Assume $50/door</text>
  </threadedComment>
  <threadedComment ref="I24" dT="2020-06-14T20:14:14.81" personId="{7FB89BC3-5449-46D1-9E6D-B2DEFD39A947}" id="{D2D28B2C-29DC-4037-AA7D-95B5BB8EA679}">
    <text>Assume $140 average</text>
  </threadedComment>
</ThreadedComments>
</file>

<file path=xl/threadedComments/threadedComment5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CAF33B9-7BF3-4055-A08A-9049A1465244}">
    <text>Assume $90/unit/mth if paid by Landlord</text>
  </threadedComment>
  <threadedComment ref="I22" dT="2020-08-19T10:46:08.34" personId="{7FB89BC3-5449-46D1-9E6D-B2DEFD39A947}" id="{FDE10586-06DD-4BF6-99CC-E86CEAFF1841}">
    <text>Assume $70/unit/mth if covered by landlord</text>
  </threadedComment>
  <threadedComment ref="I23" dT="2020-06-14T20:15:08.26" personId="{7FB89BC3-5449-46D1-9E6D-B2DEFD39A947}" id="{821FFADF-9261-44D3-A8A3-871CDB9CB0BD}">
    <text>Assume $50/door</text>
  </threadedComment>
  <threadedComment ref="I24" dT="2020-06-14T20:14:14.81" personId="{7FB89BC3-5449-46D1-9E6D-B2DEFD39A947}" id="{650B58B0-01D6-462B-826B-EC2720E2DEA6}">
    <text>Assume $140 average</text>
  </threadedComment>
</ThreadedComments>
</file>

<file path=xl/threadedComments/threadedComment5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0B95F57-CF48-49A8-A77A-DD6672EDE9D4}">
    <text>Assume $90/unit/mth if paid by Landlord</text>
  </threadedComment>
  <threadedComment ref="I22" dT="2020-08-19T10:46:08.34" personId="{7FB89BC3-5449-46D1-9E6D-B2DEFD39A947}" id="{8956EAAB-A139-4006-88D7-4E1CB7B57AB1}">
    <text>Assume $70/unit/mth if covered by landlord</text>
  </threadedComment>
  <threadedComment ref="I23" dT="2020-06-14T20:15:08.26" personId="{7FB89BC3-5449-46D1-9E6D-B2DEFD39A947}" id="{9DC6F25A-CF2E-4E70-9165-663982356FB2}">
    <text>Assume $50/door</text>
  </threadedComment>
  <threadedComment ref="I24" dT="2020-06-14T20:14:14.81" personId="{7FB89BC3-5449-46D1-9E6D-B2DEFD39A947}" id="{F11B2530-5D0E-4E9F-A9D4-5ECF5DCF9634}">
    <text>Assume $140 average</text>
  </threadedComment>
</ThreadedComments>
</file>

<file path=xl/threadedComments/threadedComment5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6225546-593E-41A6-B4F9-44D6DA8149CE}">
    <text>Assume $90/unit/mth if paid by Landlord</text>
  </threadedComment>
  <threadedComment ref="I22" dT="2020-08-19T10:46:08.34" personId="{7FB89BC3-5449-46D1-9E6D-B2DEFD39A947}" id="{D21E2E3D-3B48-4B20-A5FA-0DA7F4739AEB}">
    <text>Assume $70/unit/mth if covered by landlord</text>
  </threadedComment>
  <threadedComment ref="I23" dT="2020-06-14T20:15:08.26" personId="{7FB89BC3-5449-46D1-9E6D-B2DEFD39A947}" id="{9C7008B4-30B1-499A-82C5-D03D5F4BEC3E}">
    <text>Assume $50/door</text>
  </threadedComment>
  <threadedComment ref="I24" dT="2020-06-14T20:14:14.81" personId="{7FB89BC3-5449-46D1-9E6D-B2DEFD39A947}" id="{F50B6DD2-0965-44F2-9DA2-C6A284E28A23}">
    <text>Assume $140 average</text>
  </threadedComment>
</ThreadedComments>
</file>

<file path=xl/threadedComments/threadedComment5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3DFA396-2BA4-47FE-B985-AB87D633B892}">
    <text>Assume $90/unit/mth if paid by Landlord</text>
  </threadedComment>
  <threadedComment ref="I22" dT="2020-08-19T10:46:08.34" personId="{7FB89BC3-5449-46D1-9E6D-B2DEFD39A947}" id="{F6E23FF5-E6FC-49B3-A9CD-A71AA18A4CBC}">
    <text>Assume $70/unit/mth if covered by landlord</text>
  </threadedComment>
  <threadedComment ref="I23" dT="2020-06-14T20:15:08.26" personId="{7FB89BC3-5449-46D1-9E6D-B2DEFD39A947}" id="{CACA1805-2717-4B9D-8EA7-AAFFDCDF2818}">
    <text>Assume $50/door</text>
  </threadedComment>
  <threadedComment ref="I24" dT="2020-06-14T20:14:14.81" personId="{7FB89BC3-5449-46D1-9E6D-B2DEFD39A947}" id="{E251662F-3503-4EA1-ADAE-A53A9DADEA2B}">
    <text>Assume $140 average</text>
  </threadedComment>
</ThreadedComments>
</file>

<file path=xl/threadedComments/threadedComment5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7A1F144-2752-4714-9204-3948F48ED185}">
    <text>Assume $90/unit/mth if paid by Landlord</text>
  </threadedComment>
  <threadedComment ref="I22" dT="2020-08-19T10:46:08.34" personId="{7FB89BC3-5449-46D1-9E6D-B2DEFD39A947}" id="{C8EAACA1-3E3C-4699-9801-8724B6E0FCE6}">
    <text>Assume $70/unit/mth if covered by landlord</text>
  </threadedComment>
  <threadedComment ref="I23" dT="2020-06-14T20:15:08.26" personId="{7FB89BC3-5449-46D1-9E6D-B2DEFD39A947}" id="{472A3306-F485-4E6A-BE2D-882F9ECFBF97}">
    <text>Assume $50/door</text>
  </threadedComment>
  <threadedComment ref="I24" dT="2020-06-14T20:14:14.81" personId="{7FB89BC3-5449-46D1-9E6D-B2DEFD39A947}" id="{17B89240-E478-44FB-A67C-A3EE484366FF}">
    <text>Assume $140 average</text>
  </threadedComment>
</ThreadedComments>
</file>

<file path=xl/threadedComments/threadedComment6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83C507D-B585-41F8-ADC3-54CCC0A2A265}">
    <text>Assume $90/unit/mth if paid by Landlord</text>
  </threadedComment>
  <threadedComment ref="I22" dT="2020-08-19T10:46:08.34" personId="{7FB89BC3-5449-46D1-9E6D-B2DEFD39A947}" id="{B8ACF261-576D-4E84-A6A9-EFB40BD60A9D}">
    <text>Assume $70/unit/mth if covered by landlord</text>
  </threadedComment>
  <threadedComment ref="I23" dT="2020-06-14T20:15:08.26" personId="{7FB89BC3-5449-46D1-9E6D-B2DEFD39A947}" id="{EFFAE571-20A0-42F9-A874-60F9F5D975DF}">
    <text>Assume $50/door</text>
  </threadedComment>
  <threadedComment ref="I24" dT="2020-06-14T20:14:14.81" personId="{7FB89BC3-5449-46D1-9E6D-B2DEFD39A947}" id="{858DBAB1-6E1D-4830-8D55-B9CBC52AE8F3}">
    <text>Assume $140 average</text>
  </threadedComment>
</ThreadedComments>
</file>

<file path=xl/threadedComments/threadedComment6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D68B243-B7CA-4749-B88D-9E86E4B6068B}">
    <text>Assume $90/unit/mth if paid by Landlord</text>
  </threadedComment>
  <threadedComment ref="I22" dT="2020-08-19T10:46:08.34" personId="{7FB89BC3-5449-46D1-9E6D-B2DEFD39A947}" id="{C05704B7-CF47-4AD3-A89F-310CF2FC0945}">
    <text>Assume $70/unit/mth if covered by landlord</text>
  </threadedComment>
  <threadedComment ref="I23" dT="2020-06-14T20:15:08.26" personId="{7FB89BC3-5449-46D1-9E6D-B2DEFD39A947}" id="{638E193F-DD28-49F7-A15C-702DE75D40BD}">
    <text>Assume $50/door</text>
  </threadedComment>
  <threadedComment ref="I24" dT="2020-06-14T20:14:14.81" personId="{7FB89BC3-5449-46D1-9E6D-B2DEFD39A947}" id="{D9CBC7A1-C3A1-4FEE-9CD2-369FEC39553F}">
    <text>Assume $140 average</text>
  </threadedComment>
</ThreadedComments>
</file>

<file path=xl/threadedComments/threadedComment6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81E9ACF-7511-4641-B6F6-0A1B478C9E90}">
    <text>Assume $90/unit/mth if paid by Landlord</text>
  </threadedComment>
  <threadedComment ref="I22" dT="2020-08-19T10:46:08.34" personId="{7FB89BC3-5449-46D1-9E6D-B2DEFD39A947}" id="{BE061608-66E2-4241-9183-187EFEF67B0A}">
    <text>Assume $70/unit/mth if covered by landlord</text>
  </threadedComment>
  <threadedComment ref="I23" dT="2020-06-14T20:15:08.26" personId="{7FB89BC3-5449-46D1-9E6D-B2DEFD39A947}" id="{333D53E4-CC74-475C-91DC-83EE2AD1175A}">
    <text>Assume $50/door</text>
  </threadedComment>
  <threadedComment ref="I24" dT="2020-06-14T20:14:14.81" personId="{7FB89BC3-5449-46D1-9E6D-B2DEFD39A947}" id="{48AFDFC2-76E5-4788-9F9B-FEF9591C8FD7}">
    <text>Assume $140 average</text>
  </threadedComment>
</ThreadedComments>
</file>

<file path=xl/threadedComments/threadedComment6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F726C94-8058-4575-A6A8-878B51B8250E}">
    <text>Assume $90/unit/mth if paid by Landlord</text>
  </threadedComment>
  <threadedComment ref="I22" dT="2020-08-19T10:46:08.34" personId="{7FB89BC3-5449-46D1-9E6D-B2DEFD39A947}" id="{F592A1ED-48D9-4568-B0F3-AE21791C8E4B}">
    <text>Assume $70/unit/mth if covered by landlord</text>
  </threadedComment>
  <threadedComment ref="I23" dT="2020-06-14T20:15:08.26" personId="{7FB89BC3-5449-46D1-9E6D-B2DEFD39A947}" id="{839850E0-8065-45B3-BFE7-14E6CFEEEF7A}">
    <text>Assume $50/door</text>
  </threadedComment>
  <threadedComment ref="I24" dT="2020-06-14T20:14:14.81" personId="{7FB89BC3-5449-46D1-9E6D-B2DEFD39A947}" id="{7ED8CA7D-D260-4F65-807B-6DC7B01697F2}">
    <text>Assume $140 average</text>
  </threadedComment>
</ThreadedComments>
</file>

<file path=xl/threadedComments/threadedComment6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38D8BF8-74D7-4476-8D9E-8BDBEDEE1C3C}">
    <text>Assume $90/unit/mth if paid by Landlord</text>
  </threadedComment>
  <threadedComment ref="I22" dT="2020-08-19T10:46:08.34" personId="{7FB89BC3-5449-46D1-9E6D-B2DEFD39A947}" id="{3586A542-550B-4ED9-B4B3-74A2F38AE0D1}">
    <text>Assume $70/unit/mth if covered by landlord</text>
  </threadedComment>
  <threadedComment ref="I23" dT="2020-06-14T20:15:08.26" personId="{7FB89BC3-5449-46D1-9E6D-B2DEFD39A947}" id="{DFA39A4D-D73E-4C98-9246-4ADA13BC0B1A}">
    <text>Assume $50/door</text>
  </threadedComment>
  <threadedComment ref="I24" dT="2020-06-14T20:14:14.81" personId="{7FB89BC3-5449-46D1-9E6D-B2DEFD39A947}" id="{77A414A0-575B-4098-A763-14528D361383}">
    <text>Assume $140 average</text>
  </threadedComment>
</ThreadedComments>
</file>

<file path=xl/threadedComments/threadedComment6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46D6942-3C75-427E-B5DC-9270C38E945D}">
    <text>Assume $90/unit/mth if paid by Landlord</text>
  </threadedComment>
  <threadedComment ref="I22" dT="2020-08-19T10:46:08.34" personId="{7FB89BC3-5449-46D1-9E6D-B2DEFD39A947}" id="{CA26CECF-9DAF-48D1-BD23-F4F019BA4B44}">
    <text>Assume $70/unit/mth if covered by landlord</text>
  </threadedComment>
  <threadedComment ref="I23" dT="2020-06-14T20:15:08.26" personId="{7FB89BC3-5449-46D1-9E6D-B2DEFD39A947}" id="{7F79A31C-37AD-4241-AFA9-B12DAC4103C5}">
    <text>Assume $50/door</text>
  </threadedComment>
  <threadedComment ref="I24" dT="2020-06-14T20:14:14.81" personId="{7FB89BC3-5449-46D1-9E6D-B2DEFD39A947}" id="{AE4A6588-4B83-4918-B462-A2FA6A6CFD75}">
    <text>Assume $140 average</text>
  </threadedComment>
</ThreadedComments>
</file>

<file path=xl/threadedComments/threadedComment6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5F618F9-6F34-4639-9D0A-247F20BA4167}">
    <text>Assume $90/unit/mth if paid by Landlord</text>
  </threadedComment>
  <threadedComment ref="I22" dT="2020-08-19T10:46:08.34" personId="{7FB89BC3-5449-46D1-9E6D-B2DEFD39A947}" id="{E6645337-C481-4B70-95DD-A992D75A21F7}">
    <text>Assume $70/unit/mth if covered by landlord</text>
  </threadedComment>
  <threadedComment ref="I23" dT="2020-06-14T20:15:08.26" personId="{7FB89BC3-5449-46D1-9E6D-B2DEFD39A947}" id="{F7593077-1358-4E48-A090-1DEB9C07AFDA}">
    <text>Assume $50/door</text>
  </threadedComment>
  <threadedComment ref="I24" dT="2020-06-14T20:14:14.81" personId="{7FB89BC3-5449-46D1-9E6D-B2DEFD39A947}" id="{EAE84711-4572-4F65-9D1A-8A078D4EBA4B}">
    <text>Assume $140 average</text>
  </threadedComment>
</ThreadedComments>
</file>

<file path=xl/threadedComments/threadedComment6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A39B292-E1D1-45EF-989B-E7E463501122}">
    <text>Assume $90/unit/mth if paid by Landlord</text>
  </threadedComment>
  <threadedComment ref="I22" dT="2020-08-19T10:46:08.34" personId="{7FB89BC3-5449-46D1-9E6D-B2DEFD39A947}" id="{71C17F39-7F4F-4555-9C06-AA1729ABC16C}">
    <text>Assume $70/unit/mth if covered by landlord</text>
  </threadedComment>
  <threadedComment ref="I23" dT="2020-06-14T20:15:08.26" personId="{7FB89BC3-5449-46D1-9E6D-B2DEFD39A947}" id="{37606DD9-FC86-4346-85F8-3539533F9124}">
    <text>Assume $50/door</text>
  </threadedComment>
  <threadedComment ref="I24" dT="2020-06-14T20:14:14.81" personId="{7FB89BC3-5449-46D1-9E6D-B2DEFD39A947}" id="{394E1D93-9250-43D4-9D7E-432F4DBFECC1}">
    <text>Assume $140 average</text>
  </threadedComment>
</ThreadedComments>
</file>

<file path=xl/threadedComments/threadedComment6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B062C02-8101-4994-B40D-2293E27E4F01}">
    <text>Assume $90/unit/mth if paid by Landlord</text>
  </threadedComment>
  <threadedComment ref="I22" dT="2020-08-19T10:46:08.34" personId="{7FB89BC3-5449-46D1-9E6D-B2DEFD39A947}" id="{141A499A-BF6C-4EF4-943E-DF1771BA878B}">
    <text>Assume $70/unit/mth if covered by landlord</text>
  </threadedComment>
  <threadedComment ref="I23" dT="2020-06-14T20:15:08.26" personId="{7FB89BC3-5449-46D1-9E6D-B2DEFD39A947}" id="{9CC842A9-0B4C-4124-8FB3-4FDA81DCBEA6}">
    <text>Assume $50/door</text>
  </threadedComment>
  <threadedComment ref="I24" dT="2020-06-14T20:14:14.81" personId="{7FB89BC3-5449-46D1-9E6D-B2DEFD39A947}" id="{302E6865-85AF-4E71-BF8E-B76428B1816F}">
    <text>Assume $140 average</text>
  </threadedComment>
</ThreadedComments>
</file>

<file path=xl/threadedComments/threadedComment6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6F973D0-DA5C-4770-A51F-D6960D420CF1}">
    <text>Assume $90/unit/mth if paid by Landlord</text>
  </threadedComment>
  <threadedComment ref="I22" dT="2020-08-19T10:46:08.34" personId="{7FB89BC3-5449-46D1-9E6D-B2DEFD39A947}" id="{73511C94-CECC-4C32-ABE0-481B099199B3}">
    <text>Assume $70/unit/mth if covered by landlord</text>
  </threadedComment>
  <threadedComment ref="I23" dT="2020-06-14T20:15:08.26" personId="{7FB89BC3-5449-46D1-9E6D-B2DEFD39A947}" id="{8F3EDC95-5C8D-4811-AA63-FC9C5C8A1CA4}">
    <text>Assume $50/door</text>
  </threadedComment>
  <threadedComment ref="I24" dT="2020-06-14T20:14:14.81" personId="{7FB89BC3-5449-46D1-9E6D-B2DEFD39A947}" id="{E8528D79-EFAA-4595-85B4-CBF9C0DCD70B}">
    <text>Assume $140 average</text>
  </threadedComment>
</ThreadedComments>
</file>

<file path=xl/threadedComments/threadedComment7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5DCC2EC-CBE5-49E0-9E98-27247B347D64}">
    <text>Assume $90/unit/mth if paid by Landlord</text>
  </threadedComment>
  <threadedComment ref="I22" dT="2020-08-19T10:46:08.34" personId="{7FB89BC3-5449-46D1-9E6D-B2DEFD39A947}" id="{0E3F4F6F-5BE1-45DB-907C-0F735AE9AEAE}">
    <text>Assume $70/unit/mth if covered by landlord</text>
  </threadedComment>
  <threadedComment ref="I23" dT="2020-06-14T20:15:08.26" personId="{7FB89BC3-5449-46D1-9E6D-B2DEFD39A947}" id="{724A825B-CA32-4BB6-9B20-8FC7E38B6435}">
    <text>Assume $50/door</text>
  </threadedComment>
  <threadedComment ref="I24" dT="2020-06-14T20:14:14.81" personId="{7FB89BC3-5449-46D1-9E6D-B2DEFD39A947}" id="{05A33B0A-FE6B-4F1D-8711-47F1BE4E890F}">
    <text>Assume $140 average</text>
  </threadedComment>
</ThreadedComments>
</file>

<file path=xl/threadedComments/threadedComment7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AC63E59-06FB-446C-AFA8-2EB0FEE69825}">
    <text>Assume $90/unit/mth if paid by Landlord</text>
  </threadedComment>
  <threadedComment ref="I22" dT="2020-08-19T10:46:08.34" personId="{7FB89BC3-5449-46D1-9E6D-B2DEFD39A947}" id="{EBC9E74B-DA49-4BE9-969F-74DC9A1AEDCB}">
    <text>Assume $70/unit/mth if covered by landlord</text>
  </threadedComment>
  <threadedComment ref="I23" dT="2020-06-14T20:15:08.26" personId="{7FB89BC3-5449-46D1-9E6D-B2DEFD39A947}" id="{B72AA77F-A616-4852-A889-BD638A8BB5DE}">
    <text>Assume $50/door</text>
  </threadedComment>
  <threadedComment ref="I24" dT="2020-06-14T20:14:14.81" personId="{7FB89BC3-5449-46D1-9E6D-B2DEFD39A947}" id="{D598CD87-A1D7-4C79-9718-3709B63A6F7E}">
    <text>Assume $140 average</text>
  </threadedComment>
</ThreadedComments>
</file>

<file path=xl/threadedComments/threadedComment7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ADA1501-E324-4511-A27E-F14D36A03CD4}">
    <text>Assume $90/unit/mth if paid by Landlord</text>
  </threadedComment>
  <threadedComment ref="I22" dT="2020-08-19T10:46:08.34" personId="{7FB89BC3-5449-46D1-9E6D-B2DEFD39A947}" id="{AE1B7846-9BBA-4CB4-95DD-61362E99C32D}">
    <text>Assume $70/unit/mth if covered by landlord</text>
  </threadedComment>
  <threadedComment ref="I23" dT="2020-06-14T20:15:08.26" personId="{7FB89BC3-5449-46D1-9E6D-B2DEFD39A947}" id="{DD3E855E-062C-46E3-8A43-184266E7A0B9}">
    <text>Assume $50/door</text>
  </threadedComment>
  <threadedComment ref="I24" dT="2020-06-14T20:14:14.81" personId="{7FB89BC3-5449-46D1-9E6D-B2DEFD39A947}" id="{782596C5-C949-4893-A472-3D878C333783}">
    <text>Assume $140 average</text>
  </threadedComment>
</ThreadedComments>
</file>

<file path=xl/threadedComments/threadedComment7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0E1E793-0DA8-4D8C-865C-AF1AC991EB1E}">
    <text>Assume $90/unit/mth if paid by Landlord</text>
  </threadedComment>
  <threadedComment ref="I22" dT="2020-08-19T10:46:08.34" personId="{7FB89BC3-5449-46D1-9E6D-B2DEFD39A947}" id="{75520839-EB38-4314-AE1E-72A2A612F715}">
    <text>Assume $70/unit/mth if covered by landlord</text>
  </threadedComment>
  <threadedComment ref="I23" dT="2020-06-14T20:15:08.26" personId="{7FB89BC3-5449-46D1-9E6D-B2DEFD39A947}" id="{2F1F7833-67B1-4106-921A-672990F0AB98}">
    <text>Assume $50/door</text>
  </threadedComment>
  <threadedComment ref="I24" dT="2020-06-14T20:14:14.81" personId="{7FB89BC3-5449-46D1-9E6D-B2DEFD39A947}" id="{496113A7-E94D-42DE-8BBE-4B1A2C3242D2}">
    <text>Assume $140 average</text>
  </threadedComment>
</ThreadedComments>
</file>

<file path=xl/threadedComments/threadedComment7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E010554-0F59-42AA-B842-9D65BA10941F}">
    <text>Assume $90/unit/mth if paid by Landlord</text>
  </threadedComment>
  <threadedComment ref="I22" dT="2020-08-19T10:46:08.34" personId="{7FB89BC3-5449-46D1-9E6D-B2DEFD39A947}" id="{1F5E6A24-ED9B-453A-B39E-FBF4B7AA35AE}">
    <text>Assume $70/unit/mth if covered by landlord</text>
  </threadedComment>
  <threadedComment ref="I23" dT="2020-06-14T20:15:08.26" personId="{7FB89BC3-5449-46D1-9E6D-B2DEFD39A947}" id="{654D493D-7D7A-4CBA-BEBC-7A7FE2228CA5}">
    <text>Assume $50/door</text>
  </threadedComment>
  <threadedComment ref="I24" dT="2020-06-14T20:14:14.81" personId="{7FB89BC3-5449-46D1-9E6D-B2DEFD39A947}" id="{3281C259-5E52-4DAB-9DF7-62505ABDB13B}">
    <text>Assume $140 average</text>
  </threadedComment>
</ThreadedComments>
</file>

<file path=xl/threadedComments/threadedComment7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071F6D1-F130-481D-99A2-30C0EAD0FDD7}">
    <text>Assume $90/unit/mth if paid by Landlord</text>
  </threadedComment>
  <threadedComment ref="I22" dT="2020-08-19T10:46:08.34" personId="{7FB89BC3-5449-46D1-9E6D-B2DEFD39A947}" id="{BFAFE745-1049-4984-89B5-99F5D2DD476C}">
    <text>Assume $70/unit/mth if covered by landlord</text>
  </threadedComment>
  <threadedComment ref="I23" dT="2020-06-14T20:15:08.26" personId="{7FB89BC3-5449-46D1-9E6D-B2DEFD39A947}" id="{44323A73-6C84-4272-A7CD-5763598D1F38}">
    <text>Assume $50/door</text>
  </threadedComment>
  <threadedComment ref="I24" dT="2020-06-14T20:14:14.81" personId="{7FB89BC3-5449-46D1-9E6D-B2DEFD39A947}" id="{AC4382FB-50A1-4AF6-9109-344553CCB13E}">
    <text>Assume $140 average</text>
  </threadedComment>
</ThreadedComments>
</file>

<file path=xl/threadedComments/threadedComment7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B280B22-EE10-4726-811E-9416F655343D}">
    <text>Assume $90/unit/mth if paid by Landlord</text>
  </threadedComment>
  <threadedComment ref="I22" dT="2020-08-19T10:46:08.34" personId="{7FB89BC3-5449-46D1-9E6D-B2DEFD39A947}" id="{4AF5BE94-5CD9-4038-9AE4-19F46163B333}">
    <text>Assume $70/unit/mth if covered by landlord</text>
  </threadedComment>
  <threadedComment ref="I23" dT="2020-06-14T20:15:08.26" personId="{7FB89BC3-5449-46D1-9E6D-B2DEFD39A947}" id="{FA139AFD-C7AD-45F3-9656-795A72F32E72}">
    <text>Assume $50/door</text>
  </threadedComment>
  <threadedComment ref="I24" dT="2020-06-14T20:14:14.81" personId="{7FB89BC3-5449-46D1-9E6D-B2DEFD39A947}" id="{7C46F77D-D6FD-4D2C-BFCB-8B2BDBA43A6D}">
    <text>Assume $140 average</text>
  </threadedComment>
</ThreadedComments>
</file>

<file path=xl/threadedComments/threadedComment7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48D84AB-5ACA-4535-9ADC-81407F472A8E}">
    <text>Assume $90/unit/mth if paid by Landlord</text>
  </threadedComment>
  <threadedComment ref="I22" dT="2020-08-19T10:46:08.34" personId="{7FB89BC3-5449-46D1-9E6D-B2DEFD39A947}" id="{584A1AE9-B790-4457-8B75-8D6899646364}">
    <text>Assume $70/unit/mth if covered by landlord</text>
  </threadedComment>
  <threadedComment ref="I23" dT="2020-06-14T20:15:08.26" personId="{7FB89BC3-5449-46D1-9E6D-B2DEFD39A947}" id="{7A8DDD2F-0030-41F4-BF3B-AB03D2F8D091}">
    <text>Assume $50/door</text>
  </threadedComment>
  <threadedComment ref="I24" dT="2020-06-14T20:14:14.81" personId="{7FB89BC3-5449-46D1-9E6D-B2DEFD39A947}" id="{41BAEA4F-72DA-4CDA-98F1-C9785ECD4B1B}">
    <text>Assume $140 average</text>
  </threadedComment>
</ThreadedComments>
</file>

<file path=xl/threadedComments/threadedComment7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AE28FB0-E850-449B-AC4F-51DDC9A64EA5}">
    <text>Assume $90/unit/mth if paid by Landlord</text>
  </threadedComment>
  <threadedComment ref="I22" dT="2020-08-19T10:46:08.34" personId="{7FB89BC3-5449-46D1-9E6D-B2DEFD39A947}" id="{E28CA59E-0C83-4AC7-BC51-1D1628FBE398}">
    <text>Assume $70/unit/mth if covered by landlord</text>
  </threadedComment>
  <threadedComment ref="I23" dT="2020-06-14T20:15:08.26" personId="{7FB89BC3-5449-46D1-9E6D-B2DEFD39A947}" id="{C32E8778-45D3-4D02-A2EB-C9BD63B006DB}">
    <text>Assume $50/door</text>
  </threadedComment>
  <threadedComment ref="I24" dT="2020-06-14T20:14:14.81" personId="{7FB89BC3-5449-46D1-9E6D-B2DEFD39A947}" id="{212AF259-4680-417B-88C4-801FD450D236}">
    <text>Assume $140 average</text>
  </threadedComment>
</ThreadedComments>
</file>

<file path=xl/threadedComments/threadedComment7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94050C0-C9F8-46AE-9BF1-58EDE32E55B9}">
    <text>Assume $90/unit/mth if paid by Landlord</text>
  </threadedComment>
  <threadedComment ref="I22" dT="2020-08-19T10:46:08.34" personId="{7FB89BC3-5449-46D1-9E6D-B2DEFD39A947}" id="{33E95352-C9CD-474B-B501-459E4AFDB0F0}">
    <text>Assume $70/unit/mth if covered by landlord</text>
  </threadedComment>
  <threadedComment ref="I23" dT="2020-06-14T20:15:08.26" personId="{7FB89BC3-5449-46D1-9E6D-B2DEFD39A947}" id="{43133987-F4A7-4FD4-BDC1-A5685F58C1F7}">
    <text>Assume $50/door</text>
  </threadedComment>
  <threadedComment ref="I24" dT="2020-06-14T20:14:14.81" personId="{7FB89BC3-5449-46D1-9E6D-B2DEFD39A947}" id="{5FFFE4B2-CFBC-4C68-95B1-216AE16437B6}">
    <text>Assume $140 average</text>
  </threadedComment>
</ThreadedComments>
</file>

<file path=xl/threadedComments/threadedComment8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7C7CDEC-0EAA-4E4B-A49D-9B9503AEBA61}">
    <text>Assume $90/unit/mth if paid by Landlord</text>
  </threadedComment>
  <threadedComment ref="I22" dT="2020-08-19T10:46:08.34" personId="{7FB89BC3-5449-46D1-9E6D-B2DEFD39A947}" id="{FDA21D0B-565A-4C88-81D9-DE920419A485}">
    <text>Assume $70/unit/mth if covered by landlord</text>
  </threadedComment>
  <threadedComment ref="I23" dT="2020-06-14T20:15:08.26" personId="{7FB89BC3-5449-46D1-9E6D-B2DEFD39A947}" id="{C395F14E-7020-4236-B933-EECADF7EB652}">
    <text>Assume $50/door</text>
  </threadedComment>
  <threadedComment ref="I24" dT="2020-06-14T20:14:14.81" personId="{7FB89BC3-5449-46D1-9E6D-B2DEFD39A947}" id="{BBA882E8-5A89-47A0-8E2A-374BD5A7D759}">
    <text>Assume $140 average</text>
  </threadedComment>
</ThreadedComments>
</file>

<file path=xl/threadedComments/threadedComment8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3734934-B6F2-4910-84DE-61966C088670}">
    <text>Assume $90/unit/mth if paid by Landlord</text>
  </threadedComment>
  <threadedComment ref="I22" dT="2020-08-19T10:46:08.34" personId="{7FB89BC3-5449-46D1-9E6D-B2DEFD39A947}" id="{4C63830D-E418-403F-87D3-268D1BE421A4}">
    <text>Assume $70/unit/mth if covered by landlord</text>
  </threadedComment>
  <threadedComment ref="I23" dT="2020-06-14T20:15:08.26" personId="{7FB89BC3-5449-46D1-9E6D-B2DEFD39A947}" id="{6F53F1CD-F238-42A9-9F32-B21898554A5E}">
    <text>Assume $50/door</text>
  </threadedComment>
  <threadedComment ref="I24" dT="2020-06-14T20:14:14.81" personId="{7FB89BC3-5449-46D1-9E6D-B2DEFD39A947}" id="{8CA888CA-7A2D-44E4-945C-F05BB0C5035B}">
    <text>Assume $140 average</text>
  </threadedComment>
</ThreadedComments>
</file>

<file path=xl/threadedComments/threadedComment8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6798178-23E8-47C8-8EC7-BEB19AD78D7C}">
    <text>Assume $90/unit/mth if paid by Landlord</text>
  </threadedComment>
  <threadedComment ref="I22" dT="2020-08-19T10:46:08.34" personId="{7FB89BC3-5449-46D1-9E6D-B2DEFD39A947}" id="{6E391B0D-EC08-473B-B7AC-EFC833CD902E}">
    <text>Assume $70/unit/mth if covered by landlord</text>
  </threadedComment>
  <threadedComment ref="I23" dT="2020-06-14T20:15:08.26" personId="{7FB89BC3-5449-46D1-9E6D-B2DEFD39A947}" id="{A7725CA7-1CE6-4DFE-A030-646D625DAB9D}">
    <text>Assume $50/door</text>
  </threadedComment>
  <threadedComment ref="I24" dT="2020-06-14T20:14:14.81" personId="{7FB89BC3-5449-46D1-9E6D-B2DEFD39A947}" id="{9FC199C7-F287-4756-BED4-BD91A5A86F21}">
    <text>Assume $140 average</text>
  </threadedComment>
</ThreadedComments>
</file>

<file path=xl/threadedComments/threadedComment8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AD662296-9F71-474A-AC75-256D185DED0C}">
    <text>Assume $90/unit/mth if paid by Landlord</text>
  </threadedComment>
  <threadedComment ref="I22" dT="2020-08-19T10:46:08.34" personId="{7FB89BC3-5449-46D1-9E6D-B2DEFD39A947}" id="{AC96E524-9552-4B00-9064-1CAD914868DF}">
    <text>Assume $70/unit/mth if covered by landlord</text>
  </threadedComment>
  <threadedComment ref="I23" dT="2020-06-14T20:15:08.26" personId="{7FB89BC3-5449-46D1-9E6D-B2DEFD39A947}" id="{121F145A-C93E-465C-B81E-AD80F98F824D}">
    <text>Assume $50/door</text>
  </threadedComment>
  <threadedComment ref="I24" dT="2020-06-14T20:14:14.81" personId="{7FB89BC3-5449-46D1-9E6D-B2DEFD39A947}" id="{D64F9CE4-8733-4E32-AB8D-68B7BC3CBB44}">
    <text>Assume $140 average</text>
  </threadedComment>
</ThreadedComments>
</file>

<file path=xl/threadedComments/threadedComment8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265F70C-8E4D-4D64-B6E1-00994E2746E6}">
    <text>Assume $90/unit/mth if paid by Landlord</text>
  </threadedComment>
  <threadedComment ref="I22" dT="2020-08-19T10:46:08.34" personId="{7FB89BC3-5449-46D1-9E6D-B2DEFD39A947}" id="{57C06224-F8C3-4D78-91BC-E7005AC9C836}">
    <text>Assume $70/unit/mth if covered by landlord</text>
  </threadedComment>
  <threadedComment ref="I23" dT="2020-06-14T20:15:08.26" personId="{7FB89BC3-5449-46D1-9E6D-B2DEFD39A947}" id="{9DE0EBCD-063D-4884-B04F-D90D0C834658}">
    <text>Assume $50/door</text>
  </threadedComment>
  <threadedComment ref="I24" dT="2020-06-14T20:14:14.81" personId="{7FB89BC3-5449-46D1-9E6D-B2DEFD39A947}" id="{D12ACA2E-66A0-4770-8265-A2A2F4D1D96E}">
    <text>Assume $140 average</text>
  </threadedComment>
</ThreadedComments>
</file>

<file path=xl/threadedComments/threadedComment8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04BFED5-6659-4C8B-A02F-DE518C650192}">
    <text>Assume $90/unit/mth if paid by Landlord</text>
  </threadedComment>
  <threadedComment ref="I22" dT="2020-08-19T10:46:08.34" personId="{7FB89BC3-5449-46D1-9E6D-B2DEFD39A947}" id="{96AF346E-18DE-46B9-A498-9D69FE39917A}">
    <text>Assume $70/unit/mth if covered by landlord</text>
  </threadedComment>
  <threadedComment ref="I23" dT="2020-06-14T20:15:08.26" personId="{7FB89BC3-5449-46D1-9E6D-B2DEFD39A947}" id="{546A751B-50E8-4052-93E4-33E6414D4D12}">
    <text>Assume $50/door</text>
  </threadedComment>
  <threadedComment ref="I24" dT="2020-06-14T20:14:14.81" personId="{7FB89BC3-5449-46D1-9E6D-B2DEFD39A947}" id="{3FAC5DEB-DDCF-4D3D-829C-54C3DC2C9D03}">
    <text>Assume $140 average</text>
  </threadedComment>
</ThreadedComments>
</file>

<file path=xl/threadedComments/threadedComment8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DD691D2-E4C7-4188-9868-C36810A0919B}">
    <text>Assume $90/unit/mth if paid by Landlord</text>
  </threadedComment>
  <threadedComment ref="I22" dT="2020-08-19T10:46:08.34" personId="{7FB89BC3-5449-46D1-9E6D-B2DEFD39A947}" id="{952628F0-38A0-4FBD-AE38-65BFC7737F3A}">
    <text>Assume $70/unit/mth if covered by landlord</text>
  </threadedComment>
  <threadedComment ref="I23" dT="2020-06-14T20:15:08.26" personId="{7FB89BC3-5449-46D1-9E6D-B2DEFD39A947}" id="{32BA371D-2D4F-478B-8A36-604AD77DD522}">
    <text>Assume $50/door</text>
  </threadedComment>
  <threadedComment ref="I24" dT="2020-06-14T20:14:14.81" personId="{7FB89BC3-5449-46D1-9E6D-B2DEFD39A947}" id="{3D0EC1C2-ABE6-4CF4-A601-2AE883073871}">
    <text>Assume $140 average</text>
  </threadedComment>
</ThreadedComments>
</file>

<file path=xl/threadedComments/threadedComment8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6BA1919-92B2-47FD-9768-AD7659267032}">
    <text>Assume $90/unit/mth if paid by Landlord</text>
  </threadedComment>
  <threadedComment ref="I22" dT="2020-08-19T10:46:08.34" personId="{7FB89BC3-5449-46D1-9E6D-B2DEFD39A947}" id="{80A533A6-F332-4CEC-A9D0-7045B5C1B53A}">
    <text>Assume $70/unit/mth if covered by landlord</text>
  </threadedComment>
  <threadedComment ref="I23" dT="2020-06-14T20:15:08.26" personId="{7FB89BC3-5449-46D1-9E6D-B2DEFD39A947}" id="{C4ACB34E-10E2-450A-B651-CF6B622E5F95}">
    <text>Assume $50/door</text>
  </threadedComment>
  <threadedComment ref="I24" dT="2020-06-14T20:14:14.81" personId="{7FB89BC3-5449-46D1-9E6D-B2DEFD39A947}" id="{AF471988-1F9A-410A-934C-2FC869490F0A}">
    <text>Assume $140 average</text>
  </threadedComment>
</ThreadedComments>
</file>

<file path=xl/threadedComments/threadedComment8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EAAB561-C92C-42AE-A20A-36EA0C356785}">
    <text>Assume $90/unit/mth if paid by Landlord</text>
  </threadedComment>
  <threadedComment ref="I22" dT="2020-08-19T10:46:08.34" personId="{7FB89BC3-5449-46D1-9E6D-B2DEFD39A947}" id="{453C8063-2D68-43C4-AA81-21F61223740F}">
    <text>Assume $70/unit/mth if covered by landlord</text>
  </threadedComment>
  <threadedComment ref="I23" dT="2020-06-14T20:15:08.26" personId="{7FB89BC3-5449-46D1-9E6D-B2DEFD39A947}" id="{199DFE9D-5FE0-43DF-81EE-D213897A2B03}">
    <text>Assume $50/door</text>
  </threadedComment>
  <threadedComment ref="I24" dT="2020-06-14T20:14:14.81" personId="{7FB89BC3-5449-46D1-9E6D-B2DEFD39A947}" id="{CE7CB67C-9D84-4E4F-B5B3-DBEC7061C7E8}">
    <text>Assume $140 average</text>
  </threadedComment>
</ThreadedComments>
</file>

<file path=xl/threadedComments/threadedComment8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73F3092-92C6-4EC2-8D72-0B5CD6927504}">
    <text>Assume $90/unit/mth if paid by Landlord</text>
  </threadedComment>
  <threadedComment ref="I22" dT="2020-08-19T10:46:08.34" personId="{7FB89BC3-5449-46D1-9E6D-B2DEFD39A947}" id="{11AA1911-4F8C-4BE9-A515-2A15A75EB133}">
    <text>Assume $70/unit/mth if covered by landlord</text>
  </threadedComment>
  <threadedComment ref="I23" dT="2020-06-14T20:15:08.26" personId="{7FB89BC3-5449-46D1-9E6D-B2DEFD39A947}" id="{9A9B6A73-A0DA-4244-AB52-F85860495B1E}">
    <text>Assume $50/door</text>
  </threadedComment>
  <threadedComment ref="I24" dT="2020-06-14T20:14:14.81" personId="{7FB89BC3-5449-46D1-9E6D-B2DEFD39A947}" id="{84C66A09-0F43-4F20-B34D-A7EAAC0C3F9C}">
    <text>Assume $140 average</text>
  </threadedComment>
</ThreadedComments>
</file>

<file path=xl/threadedComments/threadedComment9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17A6362-0F9A-4EFE-8C33-E433D6198119}">
    <text>Assume $90/unit/mth if paid by Landlord</text>
  </threadedComment>
  <threadedComment ref="I22" dT="2020-08-19T10:46:08.34" personId="{7FB89BC3-5449-46D1-9E6D-B2DEFD39A947}" id="{5B01F807-F28D-41BB-AB61-5D1FA25542B1}">
    <text>Assume $70/unit/mth if covered by landlord</text>
  </threadedComment>
  <threadedComment ref="I23" dT="2020-06-14T20:15:08.26" personId="{7FB89BC3-5449-46D1-9E6D-B2DEFD39A947}" id="{BEBA4DE3-C1C2-4F58-B7D3-8BBF846EDADA}">
    <text>Assume $50/door</text>
  </threadedComment>
  <threadedComment ref="I24" dT="2020-06-14T20:14:14.81" personId="{7FB89BC3-5449-46D1-9E6D-B2DEFD39A947}" id="{996C7E50-CFD7-47B6-9EDB-CFD1DEE205BF}">
    <text>Assume $140 average</text>
  </threadedComment>
</ThreadedComments>
</file>

<file path=xl/threadedComments/threadedComment9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E8E72C1-3C1D-4077-8DFA-DF83ED1F0044}">
    <text>Assume $90/unit/mth if paid by Landlord</text>
  </threadedComment>
  <threadedComment ref="I22" dT="2020-08-19T10:46:08.34" personId="{7FB89BC3-5449-46D1-9E6D-B2DEFD39A947}" id="{9A3ED146-0CF8-422B-B65A-11A2B5C36E11}">
    <text>Assume $70/unit/mth if covered by landlord</text>
  </threadedComment>
  <threadedComment ref="I23" dT="2020-06-14T20:15:08.26" personId="{7FB89BC3-5449-46D1-9E6D-B2DEFD39A947}" id="{CCAF792F-32B3-4EAC-9E64-8D88169742E8}">
    <text>Assume $50/door</text>
  </threadedComment>
  <threadedComment ref="I24" dT="2020-06-14T20:14:14.81" personId="{7FB89BC3-5449-46D1-9E6D-B2DEFD39A947}" id="{2346EAA3-C632-4963-A4FA-746A3DC1E5C9}">
    <text>Assume $140 average</text>
  </threadedComment>
</ThreadedComments>
</file>

<file path=xl/threadedComments/threadedComment9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2542738-F1B9-4FC9-98FA-1EE9A863EC34}">
    <text>Assume $90/unit/mth if paid by Landlord</text>
  </threadedComment>
  <threadedComment ref="I22" dT="2020-08-19T10:46:08.34" personId="{7FB89BC3-5449-46D1-9E6D-B2DEFD39A947}" id="{465AAEEE-6D4C-4CF7-AD63-DE2A682E1F3F}">
    <text>Assume $70/unit/mth if covered by landlord</text>
  </threadedComment>
  <threadedComment ref="I23" dT="2020-06-14T20:15:08.26" personId="{7FB89BC3-5449-46D1-9E6D-B2DEFD39A947}" id="{21EF96DB-51FE-46DA-984E-C656FD31AB52}">
    <text>Assume $50/door</text>
  </threadedComment>
  <threadedComment ref="I24" dT="2020-06-14T20:14:14.81" personId="{7FB89BC3-5449-46D1-9E6D-B2DEFD39A947}" id="{62A1869B-AD62-4A8C-97DB-A59CFF1478D8}">
    <text>Assume $140 average</text>
  </threadedComment>
</ThreadedComments>
</file>

<file path=xl/threadedComments/threadedComment9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C658CEF-913E-45D6-9033-186EFFF3C86E}">
    <text>Assume $90/unit/mth if paid by Landlord</text>
  </threadedComment>
  <threadedComment ref="I22" dT="2020-08-19T10:46:08.34" personId="{7FB89BC3-5449-46D1-9E6D-B2DEFD39A947}" id="{6C3C38F4-6FA2-444D-9D60-AB73FC0582CE}">
    <text>Assume $70/unit/mth if covered by landlord</text>
  </threadedComment>
  <threadedComment ref="I23" dT="2020-06-14T20:15:08.26" personId="{7FB89BC3-5449-46D1-9E6D-B2DEFD39A947}" id="{FC411494-FEC8-40B5-B346-DCA32B3091EB}">
    <text>Assume $50/door</text>
  </threadedComment>
  <threadedComment ref="I24" dT="2020-06-14T20:14:14.81" personId="{7FB89BC3-5449-46D1-9E6D-B2DEFD39A947}" id="{86BDFC94-6CE0-4690-8E91-BEB48EF3C597}">
    <text>Assume $140 average</text>
  </threadedComment>
</ThreadedComments>
</file>

<file path=xl/threadedComments/threadedComment9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784A398-BC06-4DBE-9647-121EBA2C8968}">
    <text>Assume $90/unit/mth if paid by Landlord</text>
  </threadedComment>
  <threadedComment ref="I22" dT="2020-08-19T10:46:08.34" personId="{7FB89BC3-5449-46D1-9E6D-B2DEFD39A947}" id="{6E63906E-92ED-42CB-B511-F7D80C74DA0A}">
    <text>Assume $70/unit/mth if covered by landlord</text>
  </threadedComment>
  <threadedComment ref="I23" dT="2020-06-14T20:15:08.26" personId="{7FB89BC3-5449-46D1-9E6D-B2DEFD39A947}" id="{C8CBDAFE-5939-4B72-8F44-EE0A382EA6AE}">
    <text>Assume $50/door</text>
  </threadedComment>
  <threadedComment ref="I24" dT="2020-06-14T20:14:14.81" personId="{7FB89BC3-5449-46D1-9E6D-B2DEFD39A947}" id="{24EF7D71-A146-43A3-A869-FF4077676D08}">
    <text>Assume $140 average</text>
  </threadedComment>
</ThreadedComments>
</file>

<file path=xl/threadedComments/threadedComment9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9161066-91DB-4424-A224-DD5E87B0880E}">
    <text>Assume $90/unit/mth if paid by Landlord</text>
  </threadedComment>
  <threadedComment ref="I22" dT="2020-08-19T10:46:08.34" personId="{7FB89BC3-5449-46D1-9E6D-B2DEFD39A947}" id="{2F25EE4E-E1A9-49CB-B2A7-9E5E899F99CF}">
    <text>Assume $70/unit/mth if covered by landlord</text>
  </threadedComment>
  <threadedComment ref="I23" dT="2020-06-14T20:15:08.26" personId="{7FB89BC3-5449-46D1-9E6D-B2DEFD39A947}" id="{F07DDD48-8F73-42E0-862C-6B2ED1785E9E}">
    <text>Assume $50/door</text>
  </threadedComment>
  <threadedComment ref="I24" dT="2020-06-14T20:14:14.81" personId="{7FB89BC3-5449-46D1-9E6D-B2DEFD39A947}" id="{69B647BC-1CB8-40D7-BFBC-7D2BFE24C5AC}">
    <text>Assume $140 average</text>
  </threadedComment>
</ThreadedComments>
</file>

<file path=xl/threadedComments/threadedComment9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2FD4A4E-C847-4143-AB69-64406F17DA36}">
    <text>Assume $90/unit/mth if paid by Landlord</text>
  </threadedComment>
  <threadedComment ref="I22" dT="2020-08-19T10:46:08.34" personId="{7FB89BC3-5449-46D1-9E6D-B2DEFD39A947}" id="{5470888F-1262-4807-BEF3-56D499404D58}">
    <text>Assume $70/unit/mth if covered by landlord</text>
  </threadedComment>
  <threadedComment ref="I23" dT="2020-06-14T20:15:08.26" personId="{7FB89BC3-5449-46D1-9E6D-B2DEFD39A947}" id="{2DD0C146-121D-4460-9483-E891FC441916}">
    <text>Assume $50/door</text>
  </threadedComment>
  <threadedComment ref="I24" dT="2020-06-14T20:14:14.81" personId="{7FB89BC3-5449-46D1-9E6D-B2DEFD39A947}" id="{1CBE3AFB-E882-4E34-BF3F-4DEC62285F98}">
    <text>Assume $140 average</text>
  </threadedComment>
</ThreadedComments>
</file>

<file path=xl/threadedComments/threadedComment9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EFB8DE7-21DF-4209-A60D-3A3FA9367E5B}">
    <text>Assume $90/unit/mth if paid by Landlord</text>
  </threadedComment>
  <threadedComment ref="I22" dT="2020-08-19T10:46:08.34" personId="{7FB89BC3-5449-46D1-9E6D-B2DEFD39A947}" id="{7E4EF8B4-BB8F-46C6-9766-33541D2E2D2E}">
    <text>Assume $70/unit/mth if covered by landlord</text>
  </threadedComment>
  <threadedComment ref="I23" dT="2020-06-14T20:15:08.26" personId="{7FB89BC3-5449-46D1-9E6D-B2DEFD39A947}" id="{3F9213BE-D237-4F1F-A967-A7DFF80FE84F}">
    <text>Assume $50/door</text>
  </threadedComment>
  <threadedComment ref="I24" dT="2020-06-14T20:14:14.81" personId="{7FB89BC3-5449-46D1-9E6D-B2DEFD39A947}" id="{7A6DD25A-4597-439E-B209-3964D126FD6B}">
    <text>Assume $140 average</text>
  </threadedComment>
</ThreadedComments>
</file>

<file path=xl/threadedComments/threadedComment9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AF061DB-AE97-42D7-BAE8-DF27489B8E00}">
    <text>Assume $90/unit/mth if paid by Landlord</text>
  </threadedComment>
  <threadedComment ref="I22" dT="2020-08-19T10:46:08.34" personId="{7FB89BC3-5449-46D1-9E6D-B2DEFD39A947}" id="{509C0249-CD91-4760-95BD-B87FCD1EE943}">
    <text>Assume $70/unit/mth if covered by landlord</text>
  </threadedComment>
  <threadedComment ref="I23" dT="2020-06-14T20:15:08.26" personId="{7FB89BC3-5449-46D1-9E6D-B2DEFD39A947}" id="{4A140EAA-945C-4FB0-A516-A3BF9E60AE78}">
    <text>Assume $50/door</text>
  </threadedComment>
  <threadedComment ref="I24" dT="2020-06-14T20:14:14.81" personId="{7FB89BC3-5449-46D1-9E6D-B2DEFD39A947}" id="{96DAA17E-CB55-4AF0-9578-6ECE42C1C073}">
    <text>Assume $140 average</text>
  </threadedComment>
</ThreadedComments>
</file>

<file path=xl/threadedComments/threadedComment9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FBD2A7F-3E4B-48C6-8201-E8AA4E5E805D}">
    <text>Assume $90/unit/mth if paid by Landlord</text>
  </threadedComment>
  <threadedComment ref="I22" dT="2020-08-19T10:46:08.34" personId="{7FB89BC3-5449-46D1-9E6D-B2DEFD39A947}" id="{80F66BDD-7A1B-46FF-A16F-EAF4DA4A57ED}">
    <text>Assume $70/unit/mth if covered by landlord</text>
  </threadedComment>
  <threadedComment ref="I23" dT="2020-06-14T20:15:08.26" personId="{7FB89BC3-5449-46D1-9E6D-B2DEFD39A947}" id="{53E1B003-CE31-45BB-BA84-A5C33C84CA81}">
    <text>Assume $50/door</text>
  </threadedComment>
  <threadedComment ref="I24" dT="2020-06-14T20:14:14.81" personId="{7FB89BC3-5449-46D1-9E6D-B2DEFD39A947}" id="{9B624E87-F83B-440B-80CD-1AA8DBFBFC4E}">
    <text>Assume $140 average</text>
  </threadedComment>
</ThreadedComments>
</file>

<file path=xl/threadedComments/threadedComment10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AE5B7963-7820-4D2C-AF7C-6779F821D7CA}">
    <text>Assume $90/unit/mth if paid by Landlord</text>
  </threadedComment>
  <threadedComment ref="I22" dT="2020-08-19T10:46:08.34" personId="{7FB89BC3-5449-46D1-9E6D-B2DEFD39A947}" id="{122E0181-547F-4EA2-B60D-D9E30DD50CE6}">
    <text>Assume $70/unit/mth if covered by landlord</text>
  </threadedComment>
  <threadedComment ref="I23" dT="2020-06-14T20:15:08.26" personId="{7FB89BC3-5449-46D1-9E6D-B2DEFD39A947}" id="{050C920A-1A15-4197-BC0A-6B4488E37100}">
    <text>Assume $50/door</text>
  </threadedComment>
  <threadedComment ref="I24" dT="2020-06-14T20:14:14.81" personId="{7FB89BC3-5449-46D1-9E6D-B2DEFD39A947}" id="{745C0EA1-8D08-480D-927D-1A5FBD6B2B02}">
    <text>Assume $140 average</text>
  </threadedComment>
</ThreadedComments>
</file>

<file path=xl/threadedComments/threadedComment10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E23AED6-01E0-4B4C-ADB7-389C8F916428}">
    <text>Assume $90/unit/mth if paid by Landlord</text>
  </threadedComment>
  <threadedComment ref="I22" dT="2020-08-19T10:46:08.34" personId="{7FB89BC3-5449-46D1-9E6D-B2DEFD39A947}" id="{809B5FA9-9B47-4EBE-BEC6-26B754D43B08}">
    <text>Assume $70/unit/mth if covered by landlord</text>
  </threadedComment>
  <threadedComment ref="I23" dT="2020-06-14T20:15:08.26" personId="{7FB89BC3-5449-46D1-9E6D-B2DEFD39A947}" id="{6CEAFE29-64F9-470B-95E8-78BC2F4DCC8B}">
    <text>Assume $50/door</text>
  </threadedComment>
  <threadedComment ref="I24" dT="2020-06-14T20:14:14.81" personId="{7FB89BC3-5449-46D1-9E6D-B2DEFD39A947}" id="{F86B9E18-3F7C-4ED7-A581-29F4E203B593}">
    <text>Assume $140 average</text>
  </threadedComment>
</ThreadedComments>
</file>

<file path=xl/threadedComments/threadedComment10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CDFCD41-5616-485E-BEC0-57E9FBD491C9}">
    <text>Assume $90/unit/mth if paid by Landlord</text>
  </threadedComment>
  <threadedComment ref="I22" dT="2020-08-19T10:46:08.34" personId="{7FB89BC3-5449-46D1-9E6D-B2DEFD39A947}" id="{F79F482B-3958-425B-92F0-E0F403807E5A}">
    <text>Assume $70/unit/mth if covered by landlord</text>
  </threadedComment>
  <threadedComment ref="I23" dT="2020-06-14T20:15:08.26" personId="{7FB89BC3-5449-46D1-9E6D-B2DEFD39A947}" id="{C65C04B2-5239-4F50-8D01-D66D886CA2AB}">
    <text>Assume $50/door</text>
  </threadedComment>
  <threadedComment ref="I24" dT="2020-06-14T20:14:14.81" personId="{7FB89BC3-5449-46D1-9E6D-B2DEFD39A947}" id="{E8B2C60B-7758-4164-82E4-F211DFEDE850}">
    <text>Assume $140 average</text>
  </threadedComment>
</ThreadedComments>
</file>

<file path=xl/threadedComments/threadedComment10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AE6C450E-CB0E-4709-9402-42C60282483A}">
    <text>Assume $90/unit/mth if paid by Landlord</text>
  </threadedComment>
  <threadedComment ref="I22" dT="2020-08-19T10:46:08.34" personId="{7FB89BC3-5449-46D1-9E6D-B2DEFD39A947}" id="{1574E030-6528-480F-A36A-648B0BAA6F3A}">
    <text>Assume $70/unit/mth if covered by landlord</text>
  </threadedComment>
  <threadedComment ref="I23" dT="2020-06-14T20:15:08.26" personId="{7FB89BC3-5449-46D1-9E6D-B2DEFD39A947}" id="{7E314F70-21E5-44D2-B5D6-89616BE45D24}">
    <text>Assume $50/door</text>
  </threadedComment>
  <threadedComment ref="I24" dT="2020-06-14T20:14:14.81" personId="{7FB89BC3-5449-46D1-9E6D-B2DEFD39A947}" id="{515EED3C-D85D-4AFC-A272-41C607DE05B7}">
    <text>Assume $140 average</text>
  </threadedComment>
</ThreadedComments>
</file>

<file path=xl/threadedComments/threadedComment10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FE73668-DDED-4D18-A04F-F72123E15B01}">
    <text>Assume $90/unit/mth if paid by Landlord</text>
  </threadedComment>
  <threadedComment ref="I22" dT="2020-08-19T10:46:08.34" personId="{7FB89BC3-5449-46D1-9E6D-B2DEFD39A947}" id="{E1710DA3-33F4-4A1C-B09E-308E23D01C43}">
    <text>Assume $70/unit/mth if covered by landlord</text>
  </threadedComment>
  <threadedComment ref="I23" dT="2020-06-14T20:15:08.26" personId="{7FB89BC3-5449-46D1-9E6D-B2DEFD39A947}" id="{C066A1BE-1579-4A71-B8F5-5F895B2F5641}">
    <text>Assume $50/door</text>
  </threadedComment>
  <threadedComment ref="I24" dT="2020-06-14T20:14:14.81" personId="{7FB89BC3-5449-46D1-9E6D-B2DEFD39A947}" id="{BAEC9EB9-B153-4FC1-8868-C7FFDEF20816}">
    <text>Assume $140 average</text>
  </threadedComment>
</ThreadedComments>
</file>

<file path=xl/threadedComments/threadedComment10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FD99793-D011-4C96-A8F3-C62A136D7CE3}">
    <text>Assume $90/unit/mth if paid by Landlord</text>
  </threadedComment>
  <threadedComment ref="I22" dT="2020-08-19T10:46:08.34" personId="{7FB89BC3-5449-46D1-9E6D-B2DEFD39A947}" id="{F119BACE-04E8-4CB8-B0F6-69D283B63475}">
    <text>Assume $70/unit/mth if covered by landlord</text>
  </threadedComment>
  <threadedComment ref="I23" dT="2020-06-14T20:15:08.26" personId="{7FB89BC3-5449-46D1-9E6D-B2DEFD39A947}" id="{1885624B-56CA-43AB-A420-AA366086B170}">
    <text>Assume $50/door</text>
  </threadedComment>
  <threadedComment ref="I24" dT="2020-06-14T20:14:14.81" personId="{7FB89BC3-5449-46D1-9E6D-B2DEFD39A947}" id="{BEB84577-1529-4EB5-8008-73E3DE4CDF4D}">
    <text>Assume $140 average</text>
  </threadedComment>
</ThreadedComments>
</file>

<file path=xl/threadedComments/threadedComment10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744DA5C-E180-4304-9E18-DD40CEA216FA}">
    <text>Assume $90/unit/mth if paid by Landlord</text>
  </threadedComment>
  <threadedComment ref="I22" dT="2020-08-19T10:46:08.34" personId="{7FB89BC3-5449-46D1-9E6D-B2DEFD39A947}" id="{9659BB26-3F12-4D18-975A-8C725E59FE65}">
    <text>Assume $70/unit/mth if covered by landlord</text>
  </threadedComment>
  <threadedComment ref="I23" dT="2020-06-14T20:15:08.26" personId="{7FB89BC3-5449-46D1-9E6D-B2DEFD39A947}" id="{9DA720CA-13B3-4852-8DB4-A228FC6D75E3}">
    <text>Assume $50/door</text>
  </threadedComment>
  <threadedComment ref="I24" dT="2020-06-14T20:14:14.81" personId="{7FB89BC3-5449-46D1-9E6D-B2DEFD39A947}" id="{656F5C98-857F-415E-9ACD-A31D97FF5F00}">
    <text>Assume $140 average</text>
  </threadedComment>
</ThreadedComments>
</file>

<file path=xl/threadedComments/threadedComment10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F6212D4-0ABA-42F7-BB6F-94C814411D1D}">
    <text>Assume $90/unit/mth if paid by Landlord</text>
  </threadedComment>
  <threadedComment ref="I22" dT="2020-08-19T10:46:08.34" personId="{7FB89BC3-5449-46D1-9E6D-B2DEFD39A947}" id="{4D0E7B3D-DE2F-4E68-9D9F-E959C78E12A5}">
    <text>Assume $70/unit/mth if covered by landlord</text>
  </threadedComment>
  <threadedComment ref="I23" dT="2020-06-14T20:15:08.26" personId="{7FB89BC3-5449-46D1-9E6D-B2DEFD39A947}" id="{AA557206-664E-40B7-A838-5E78D43D4DA3}">
    <text>Assume $50/door</text>
  </threadedComment>
  <threadedComment ref="I24" dT="2020-06-14T20:14:14.81" personId="{7FB89BC3-5449-46D1-9E6D-B2DEFD39A947}" id="{53050F08-73E2-4159-92EF-3E100C1895BD}">
    <text>Assume $140 average</text>
  </threadedComment>
</ThreadedComments>
</file>

<file path=xl/threadedComments/threadedComment10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8A0C7EA-6B09-4CE3-9272-0A7CC63D0509}">
    <text>Assume $90/unit/mth if paid by Landlord</text>
  </threadedComment>
  <threadedComment ref="I22" dT="2020-08-19T10:46:08.34" personId="{7FB89BC3-5449-46D1-9E6D-B2DEFD39A947}" id="{9036A720-A51E-4E31-B3CC-85D11870447B}">
    <text>Assume $70/unit/mth if covered by landlord</text>
  </threadedComment>
  <threadedComment ref="I23" dT="2020-06-14T20:15:08.26" personId="{7FB89BC3-5449-46D1-9E6D-B2DEFD39A947}" id="{F369FE60-5FE7-4737-B05F-1BEEB24395E8}">
    <text>Assume $50/door</text>
  </threadedComment>
  <threadedComment ref="I24" dT="2020-06-14T20:14:14.81" personId="{7FB89BC3-5449-46D1-9E6D-B2DEFD39A947}" id="{D771130E-AE3A-4152-B126-C7D7759D94A6}">
    <text>Assume $140 average</text>
  </threadedComment>
</ThreadedComments>
</file>

<file path=xl/threadedComments/threadedComment10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372CB1C-FA01-4EB1-9933-F55BD85DA3D7}">
    <text>Assume $90/unit/mth if paid by Landlord</text>
  </threadedComment>
  <threadedComment ref="I22" dT="2020-08-19T10:46:08.34" personId="{7FB89BC3-5449-46D1-9E6D-B2DEFD39A947}" id="{D73D153C-3A3C-4526-B76C-F9B6D461EAC6}">
    <text>Assume $70/unit/mth if covered by landlord</text>
  </threadedComment>
  <threadedComment ref="I23" dT="2020-06-14T20:15:08.26" personId="{7FB89BC3-5449-46D1-9E6D-B2DEFD39A947}" id="{15371DC5-7974-49BD-909B-4953F443ADC8}">
    <text>Assume $50/door</text>
  </threadedComment>
  <threadedComment ref="I24" dT="2020-06-14T20:14:14.81" personId="{7FB89BC3-5449-46D1-9E6D-B2DEFD39A947}" id="{72DED794-6584-4E6C-880D-83A833BAD0BC}">
    <text>Assume $140 average</text>
  </threadedComment>
</ThreadedComments>
</file>

<file path=xl/threadedComments/threadedComment11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2AE105F-9DF0-42FE-9C11-96A322B10A97}">
    <text>Assume $90/unit/mth if paid by Landlord</text>
  </threadedComment>
  <threadedComment ref="I22" dT="2020-08-19T10:46:08.34" personId="{7FB89BC3-5449-46D1-9E6D-B2DEFD39A947}" id="{53BA9E28-7658-449B-B23C-83E2D1AF6071}">
    <text>Assume $70/unit/mth if covered by landlord</text>
  </threadedComment>
  <threadedComment ref="I23" dT="2020-06-14T20:15:08.26" personId="{7FB89BC3-5449-46D1-9E6D-B2DEFD39A947}" id="{9CDDEA1B-008D-4727-811E-AF55F8184128}">
    <text>Assume $50/door</text>
  </threadedComment>
  <threadedComment ref="I24" dT="2020-06-14T20:14:14.81" personId="{7FB89BC3-5449-46D1-9E6D-B2DEFD39A947}" id="{5A1F0A51-1744-4F14-8BEA-DEFE506A6EE9}">
    <text>Assume $140 average</text>
  </threadedComment>
</ThreadedComments>
</file>

<file path=xl/threadedComments/threadedComment11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7FD429B-B7FB-4BEC-8F56-75D6C9BF66C0}">
    <text>Assume $90/unit/mth if paid by Landlord</text>
  </threadedComment>
  <threadedComment ref="I22" dT="2020-08-19T10:46:08.34" personId="{7FB89BC3-5449-46D1-9E6D-B2DEFD39A947}" id="{1E963216-DA47-4B40-B813-10B697A1F28E}">
    <text>Assume $70/unit/mth if covered by landlord</text>
  </threadedComment>
  <threadedComment ref="I23" dT="2020-06-14T20:15:08.26" personId="{7FB89BC3-5449-46D1-9E6D-B2DEFD39A947}" id="{1AD01715-5C40-4D3B-8BD0-EE26CE73FB2F}">
    <text>Assume $50/door</text>
  </threadedComment>
  <threadedComment ref="I24" dT="2020-06-14T20:14:14.81" personId="{7FB89BC3-5449-46D1-9E6D-B2DEFD39A947}" id="{618B7D16-DBD7-43AC-A58D-516AA84B31C4}">
    <text>Assume $140 average</text>
  </threadedComment>
</ThreadedComments>
</file>

<file path=xl/threadedComments/threadedComment11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79B5DE1-44BD-4E67-8F28-FEAA4E3F4BC8}">
    <text>Assume $90/unit/mth if paid by Landlord</text>
  </threadedComment>
  <threadedComment ref="I22" dT="2020-08-19T10:46:08.34" personId="{7FB89BC3-5449-46D1-9E6D-B2DEFD39A947}" id="{C2112DDD-13DB-4883-A6B9-00A33880FB62}">
    <text>Assume $70/unit/mth if covered by landlord</text>
  </threadedComment>
  <threadedComment ref="I23" dT="2020-06-14T20:15:08.26" personId="{7FB89BC3-5449-46D1-9E6D-B2DEFD39A947}" id="{1A5AE140-0FE3-4CD3-AF98-49BA433F6A0C}">
    <text>Assume $50/door</text>
  </threadedComment>
  <threadedComment ref="I24" dT="2020-06-14T20:14:14.81" personId="{7FB89BC3-5449-46D1-9E6D-B2DEFD39A947}" id="{9FFD9309-85D5-4064-8BF0-E116015CACC4}">
    <text>Assume $140 average</text>
  </threadedComment>
</ThreadedComments>
</file>

<file path=xl/threadedComments/threadedComment11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B5C6B20-3603-410E-95DD-47F45FBB8BFC}">
    <text>Assume $90/unit/mth if paid by Landlord</text>
  </threadedComment>
  <threadedComment ref="I22" dT="2020-08-19T10:46:08.34" personId="{7FB89BC3-5449-46D1-9E6D-B2DEFD39A947}" id="{92CC0DFA-B48C-46DF-BB54-14BB0049D6DF}">
    <text>Assume $70/unit/mth if covered by landlord</text>
  </threadedComment>
  <threadedComment ref="I23" dT="2020-06-14T20:15:08.26" personId="{7FB89BC3-5449-46D1-9E6D-B2DEFD39A947}" id="{26C9CDF8-5D5B-4E09-BF67-4E991F5B0547}">
    <text>Assume $50/door</text>
  </threadedComment>
  <threadedComment ref="I24" dT="2020-06-14T20:14:14.81" personId="{7FB89BC3-5449-46D1-9E6D-B2DEFD39A947}" id="{86C8E50B-5BC9-4BF2-9653-6FFD36F8DF6D}">
    <text>Assume $140 average</text>
  </threadedComment>
</ThreadedComments>
</file>

<file path=xl/threadedComments/threadedComment11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E7336CC-6AC0-4C0F-911E-3E26108E0A66}">
    <text>Assume $90/unit/mth if paid by Landlord</text>
  </threadedComment>
  <threadedComment ref="I22" dT="2020-08-19T10:46:08.34" personId="{7FB89BC3-5449-46D1-9E6D-B2DEFD39A947}" id="{768A0ADA-A00B-4B07-9ADA-F2B3D9016555}">
    <text>Assume $70/unit/mth if covered by landlord</text>
  </threadedComment>
  <threadedComment ref="I23" dT="2020-06-14T20:15:08.26" personId="{7FB89BC3-5449-46D1-9E6D-B2DEFD39A947}" id="{C2815CEC-9533-4BDE-9F6E-2C82156EC5E1}">
    <text>Assume $50/door</text>
  </threadedComment>
  <threadedComment ref="I24" dT="2020-06-14T20:14:14.81" personId="{7FB89BC3-5449-46D1-9E6D-B2DEFD39A947}" id="{E2EE400D-67E6-4CDA-BCD9-1DE34D64AA32}">
    <text>Assume $140 average</text>
  </threadedComment>
</ThreadedComments>
</file>

<file path=xl/threadedComments/threadedComment11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31A39C0-ED8B-4C58-961F-3F14852E117E}">
    <text>Assume $90/unit/mth if paid by Landlord</text>
  </threadedComment>
  <threadedComment ref="I22" dT="2020-08-19T10:46:08.34" personId="{7FB89BC3-5449-46D1-9E6D-B2DEFD39A947}" id="{4DE87FDB-2686-426D-8D53-C72BC0FE409A}">
    <text>Assume $70/unit/mth if covered by landlord</text>
  </threadedComment>
  <threadedComment ref="I23" dT="2020-06-14T20:15:08.26" personId="{7FB89BC3-5449-46D1-9E6D-B2DEFD39A947}" id="{BA728017-F474-4A32-8E05-6C23D99C9474}">
    <text>Assume $50/door</text>
  </threadedComment>
  <threadedComment ref="I24" dT="2020-06-14T20:14:14.81" personId="{7FB89BC3-5449-46D1-9E6D-B2DEFD39A947}" id="{AC4397AA-DFBD-4421-9C1F-DA99ABAC59E0}">
    <text>Assume $140 average</text>
  </threadedComment>
</ThreadedComments>
</file>

<file path=xl/threadedComments/threadedComment11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D1955C8-53BD-42CE-BDC7-EE548BBA3441}">
    <text>Assume $90/unit/mth if paid by Landlord</text>
  </threadedComment>
  <threadedComment ref="I22" dT="2020-08-19T10:46:08.34" personId="{7FB89BC3-5449-46D1-9E6D-B2DEFD39A947}" id="{122E4A79-16BE-40C5-A301-9551A117FF4C}">
    <text>Assume $70/unit/mth if covered by landlord</text>
  </threadedComment>
  <threadedComment ref="I23" dT="2020-06-14T20:15:08.26" personId="{7FB89BC3-5449-46D1-9E6D-B2DEFD39A947}" id="{09E325D3-8F8A-4469-9833-60E8FC6599E8}">
    <text>Assume $50/door</text>
  </threadedComment>
  <threadedComment ref="I24" dT="2020-06-14T20:14:14.81" personId="{7FB89BC3-5449-46D1-9E6D-B2DEFD39A947}" id="{818C3140-EF44-4AD8-BB89-05C731AFBFD0}">
    <text>Assume $140 average</text>
  </threadedComment>
</ThreadedComments>
</file>

<file path=xl/threadedComments/threadedComment11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C47C40A-157C-4083-B6C9-DAA665A2862E}">
    <text>Assume $90/unit/mth if paid by Landlord</text>
  </threadedComment>
  <threadedComment ref="I22" dT="2020-08-19T10:46:08.34" personId="{7FB89BC3-5449-46D1-9E6D-B2DEFD39A947}" id="{4BD5B8CC-4D34-4F8D-A8D3-85FA41861F61}">
    <text>Assume $70/unit/mth if covered by landlord</text>
  </threadedComment>
  <threadedComment ref="I23" dT="2020-06-14T20:15:08.26" personId="{7FB89BC3-5449-46D1-9E6D-B2DEFD39A947}" id="{0F766417-2D4A-4578-8C29-CC07AAB2BE9F}">
    <text>Assume $50/door</text>
  </threadedComment>
  <threadedComment ref="I24" dT="2020-06-14T20:14:14.81" personId="{7FB89BC3-5449-46D1-9E6D-B2DEFD39A947}" id="{8B565F59-4382-44E5-B252-FDD70CB69EB2}">
    <text>Assume $140 average</text>
  </threadedComment>
</ThreadedComments>
</file>

<file path=xl/threadedComments/threadedComment11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1F35B81-9D23-44A4-B6CE-4FB467413DC1}">
    <text>Assume $90/unit/mth if paid by Landlord</text>
  </threadedComment>
  <threadedComment ref="I22" dT="2020-08-19T10:46:08.34" personId="{7FB89BC3-5449-46D1-9E6D-B2DEFD39A947}" id="{E28A7492-D2D1-4E6A-84A4-A39357ECB622}">
    <text>Assume $70/unit/mth if covered by landlord</text>
  </threadedComment>
  <threadedComment ref="I23" dT="2020-06-14T20:15:08.26" personId="{7FB89BC3-5449-46D1-9E6D-B2DEFD39A947}" id="{A32B2546-878B-4273-9645-2F6B96CA0FB9}">
    <text>Assume $50/door</text>
  </threadedComment>
  <threadedComment ref="I24" dT="2020-06-14T20:14:14.81" personId="{7FB89BC3-5449-46D1-9E6D-B2DEFD39A947}" id="{08374582-C188-4FFB-8C46-286D1CF5FC4D}">
    <text>Assume $140 average</text>
  </threadedComment>
</ThreadedComments>
</file>

<file path=xl/threadedComments/threadedComment11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669BACFA-E198-41B9-A499-BEE7C2943CFB}">
    <text>Assume $90/unit/mth if paid by Landlord</text>
  </threadedComment>
  <threadedComment ref="I22" dT="2020-08-19T10:46:08.34" personId="{7FB89BC3-5449-46D1-9E6D-B2DEFD39A947}" id="{3B99A19B-69FD-47AD-85CB-7C72A7E10E35}">
    <text>Assume $70/unit/mth if covered by landlord</text>
  </threadedComment>
  <threadedComment ref="I23" dT="2020-06-14T20:15:08.26" personId="{7FB89BC3-5449-46D1-9E6D-B2DEFD39A947}" id="{E6A909D7-A9E5-4F00-A4AC-D9B7D53A7AD8}">
    <text>Assume $50/door</text>
  </threadedComment>
  <threadedComment ref="I24" dT="2020-06-14T20:14:14.81" personId="{7FB89BC3-5449-46D1-9E6D-B2DEFD39A947}" id="{CAF40100-FEDE-472F-9E13-E4837880B2BF}">
    <text>Assume $140 average</text>
  </threadedComment>
</ThreadedComments>
</file>

<file path=xl/threadedComments/threadedComment12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272235C-AFEC-4000-9C46-312B10CBD230}">
    <text>Assume $90/unit/mth if paid by Landlord</text>
  </threadedComment>
  <threadedComment ref="I22" dT="2020-08-19T10:46:08.34" personId="{7FB89BC3-5449-46D1-9E6D-B2DEFD39A947}" id="{722DBC9E-3345-4ADB-AC41-40A54A13D366}">
    <text>Assume $70/unit/mth if covered by landlord</text>
  </threadedComment>
  <threadedComment ref="I23" dT="2020-06-14T20:15:08.26" personId="{7FB89BC3-5449-46D1-9E6D-B2DEFD39A947}" id="{77CD8494-90B7-4AB2-840A-6B6269482497}">
    <text>Assume $50/door</text>
  </threadedComment>
  <threadedComment ref="I24" dT="2020-06-14T20:14:14.81" personId="{7FB89BC3-5449-46D1-9E6D-B2DEFD39A947}" id="{445D1AF0-983A-4EFE-A210-C95AB76FC7B5}">
    <text>Assume $140 average</text>
  </threadedComment>
</ThreadedComments>
</file>

<file path=xl/threadedComments/threadedComment12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3DF5140-B560-49CF-9A54-C6CFDA21B0A9}">
    <text>Assume $90/unit/mth if paid by Landlord</text>
  </threadedComment>
  <threadedComment ref="I22" dT="2020-08-19T10:46:08.34" personId="{7FB89BC3-5449-46D1-9E6D-B2DEFD39A947}" id="{51667F03-8CAF-45CA-A66C-9DFF2E6E3CD7}">
    <text>Assume $70/unit/mth if covered by landlord</text>
  </threadedComment>
  <threadedComment ref="I23" dT="2020-06-14T20:15:08.26" personId="{7FB89BC3-5449-46D1-9E6D-B2DEFD39A947}" id="{E9DBEDBA-85B9-434D-BAB8-3FA18A949536}">
    <text>Assume $50/door</text>
  </threadedComment>
  <threadedComment ref="I24" dT="2020-06-14T20:14:14.81" personId="{7FB89BC3-5449-46D1-9E6D-B2DEFD39A947}" id="{043A6899-7830-4381-8440-A9C0AB64313B}">
    <text>Assume $140 average</text>
  </threadedComment>
</ThreadedComments>
</file>

<file path=xl/threadedComments/threadedComment12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20AD468-8F97-4C1B-936B-F7B1DE0ADEC9}">
    <text>Assume $90/unit/mth if paid by Landlord</text>
  </threadedComment>
  <threadedComment ref="I22" dT="2020-08-19T10:46:08.34" personId="{7FB89BC3-5449-46D1-9E6D-B2DEFD39A947}" id="{158221EF-1FA6-49BC-877D-B6AE3512EACC}">
    <text>Assume $70/unit/mth if covered by landlord</text>
  </threadedComment>
  <threadedComment ref="I23" dT="2020-06-14T20:15:08.26" personId="{7FB89BC3-5449-46D1-9E6D-B2DEFD39A947}" id="{52A1B182-8F20-4A6C-B1D4-5DCCD316CEBF}">
    <text>Assume $50/door</text>
  </threadedComment>
  <threadedComment ref="I24" dT="2020-06-14T20:14:14.81" personId="{7FB89BC3-5449-46D1-9E6D-B2DEFD39A947}" id="{C80A34B5-42C1-42DB-8673-BE79EB25D113}">
    <text>Assume $140 average</text>
  </threadedComment>
</ThreadedComments>
</file>

<file path=xl/threadedComments/threadedComment12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3D119A4-C13C-4950-96E1-37BB9941ADC9}">
    <text>Assume $90/unit/mth if paid by Landlord</text>
  </threadedComment>
  <threadedComment ref="I22" dT="2020-08-19T10:46:08.34" personId="{7FB89BC3-5449-46D1-9E6D-B2DEFD39A947}" id="{0537502F-D362-4480-9787-AF4FB23C7DE0}">
    <text>Assume $70/unit/mth if covered by landlord</text>
  </threadedComment>
  <threadedComment ref="I23" dT="2020-06-14T20:15:08.26" personId="{7FB89BC3-5449-46D1-9E6D-B2DEFD39A947}" id="{4F305285-59B8-45C7-9599-DF3D0763B4D7}">
    <text>Assume $50/door</text>
  </threadedComment>
  <threadedComment ref="I24" dT="2020-06-14T20:14:14.81" personId="{7FB89BC3-5449-46D1-9E6D-B2DEFD39A947}" id="{EBABE0C7-393F-4D63-ABC8-8F6EBBB14E40}">
    <text>Assume $140 average</text>
  </threadedComment>
</ThreadedComments>
</file>

<file path=xl/threadedComments/threadedComment12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6FF895E-C4FB-40B2-BD10-FB424660CA9B}">
    <text>Assume $90/unit/mth if paid by Landlord</text>
  </threadedComment>
  <threadedComment ref="I22" dT="2020-08-19T10:46:08.34" personId="{7FB89BC3-5449-46D1-9E6D-B2DEFD39A947}" id="{28ECCA09-A8B6-4C0A-8E4B-1A7E552A9E54}">
    <text>Assume $70/unit/mth if covered by landlord</text>
  </threadedComment>
  <threadedComment ref="I23" dT="2020-06-14T20:15:08.26" personId="{7FB89BC3-5449-46D1-9E6D-B2DEFD39A947}" id="{EF76586D-E177-4226-BE89-EF8DA36F1D8F}">
    <text>Assume $50/door</text>
  </threadedComment>
  <threadedComment ref="I24" dT="2020-06-14T20:14:14.81" personId="{7FB89BC3-5449-46D1-9E6D-B2DEFD39A947}" id="{2464B8DE-2E4A-4F35-A3F4-BAEE7F494CF7}">
    <text>Assume $140 average</text>
  </threadedComment>
</ThreadedComments>
</file>

<file path=xl/threadedComments/threadedComment12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CAF17C6-1FDA-4848-944B-CF0CD46EBC4D}">
    <text>Assume $90/unit/mth if paid by Landlord</text>
  </threadedComment>
  <threadedComment ref="I22" dT="2020-08-19T10:46:08.34" personId="{7FB89BC3-5449-46D1-9E6D-B2DEFD39A947}" id="{A7FCACD3-F813-4AF9-8DFE-9BDAF439C17D}">
    <text>Assume $70/unit/mth if covered by landlord</text>
  </threadedComment>
  <threadedComment ref="I23" dT="2020-06-14T20:15:08.26" personId="{7FB89BC3-5449-46D1-9E6D-B2DEFD39A947}" id="{3171E075-FAD5-4101-AF7C-9E3542DDE528}">
    <text>Assume $50/door</text>
  </threadedComment>
  <threadedComment ref="I24" dT="2020-06-14T20:14:14.81" personId="{7FB89BC3-5449-46D1-9E6D-B2DEFD39A947}" id="{5CC15D0C-22E6-408B-82CF-3FE92448A887}">
    <text>Assume $140 average</text>
  </threadedComment>
</ThreadedComments>
</file>

<file path=xl/threadedComments/threadedComment12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AA570F8-81C6-4F14-B8E9-1BC6406BC68C}">
    <text>Assume $90/unit/mth if paid by Landlord</text>
  </threadedComment>
  <threadedComment ref="I22" dT="2020-08-19T10:46:08.34" personId="{7FB89BC3-5449-46D1-9E6D-B2DEFD39A947}" id="{DC657CC2-D5B2-420B-B6D1-AF432A860947}">
    <text>Assume $70/unit/mth if covered by landlord</text>
  </threadedComment>
  <threadedComment ref="I23" dT="2020-06-14T20:15:08.26" personId="{7FB89BC3-5449-46D1-9E6D-B2DEFD39A947}" id="{4EB29D3A-B4C3-4D2C-AD24-AE5279666BF6}">
    <text>Assume $50/door</text>
  </threadedComment>
  <threadedComment ref="I24" dT="2020-06-14T20:14:14.81" personId="{7FB89BC3-5449-46D1-9E6D-B2DEFD39A947}" id="{F3391A38-6ABF-490A-A5FE-33495F45FE8B}">
    <text>Assume $140 average</text>
  </threadedComment>
</ThreadedComments>
</file>

<file path=xl/threadedComments/threadedComment12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87C266E-CEF9-40AA-A2FC-7B4BDF0F4E48}">
    <text>Assume $90/unit/mth if paid by Landlord</text>
  </threadedComment>
  <threadedComment ref="I22" dT="2020-08-19T10:46:08.34" personId="{7FB89BC3-5449-46D1-9E6D-B2DEFD39A947}" id="{BD3F8CA3-4459-4C7A-8A89-E611EA6AC6FE}">
    <text>Assume $70/unit/mth if covered by landlord</text>
  </threadedComment>
  <threadedComment ref="I23" dT="2020-06-14T20:15:08.26" personId="{7FB89BC3-5449-46D1-9E6D-B2DEFD39A947}" id="{FDCA149F-D25A-4711-8CDB-F6EF1797AB62}">
    <text>Assume $50/door</text>
  </threadedComment>
  <threadedComment ref="I24" dT="2020-06-14T20:14:14.81" personId="{7FB89BC3-5449-46D1-9E6D-B2DEFD39A947}" id="{4DBAD00C-9A73-4267-9E6A-75E38F55EAFB}">
    <text>Assume $140 average</text>
  </threadedComment>
</ThreadedComments>
</file>

<file path=xl/threadedComments/threadedComment12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55F1A4B-616C-48D0-B80C-AFAF81B309C1}">
    <text>Assume $90/unit/mth if paid by Landlord</text>
  </threadedComment>
  <threadedComment ref="I22" dT="2020-08-19T10:46:08.34" personId="{7FB89BC3-5449-46D1-9E6D-B2DEFD39A947}" id="{47109F8C-C765-44D7-9F37-3B0B28E4204D}">
    <text>Assume $70/unit/mth if covered by landlord</text>
  </threadedComment>
  <threadedComment ref="I23" dT="2020-06-14T20:15:08.26" personId="{7FB89BC3-5449-46D1-9E6D-B2DEFD39A947}" id="{1DF77900-7F00-4C94-9A7E-C9577DA65D6C}">
    <text>Assume $50/door</text>
  </threadedComment>
  <threadedComment ref="I24" dT="2020-06-14T20:14:14.81" personId="{7FB89BC3-5449-46D1-9E6D-B2DEFD39A947}" id="{B91094B3-D4BA-4B8A-ACFC-2A67EFD4FF33}">
    <text>Assume $140 average</text>
  </threadedComment>
</ThreadedComments>
</file>

<file path=xl/threadedComments/threadedComment12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ED0DEB2-6167-430C-9FAC-EAC61AED5D2B}">
    <text>Assume $90/unit/mth if paid by Landlord</text>
  </threadedComment>
  <threadedComment ref="I22" dT="2020-08-19T10:46:08.34" personId="{7FB89BC3-5449-46D1-9E6D-B2DEFD39A947}" id="{6F3D944B-BC65-4443-8916-76BFB4B7C548}">
    <text>Assume $70/unit/mth if covered by landlord</text>
  </threadedComment>
  <threadedComment ref="I23" dT="2020-06-14T20:15:08.26" personId="{7FB89BC3-5449-46D1-9E6D-B2DEFD39A947}" id="{6E752565-3A06-4109-8014-3EC4B823CE2D}">
    <text>Assume $50/door</text>
  </threadedComment>
  <threadedComment ref="I24" dT="2020-06-14T20:14:14.81" personId="{7FB89BC3-5449-46D1-9E6D-B2DEFD39A947}" id="{6A0B29CD-244E-41D7-A7A5-4AFAA05216AC}">
    <text>Assume $140 average</text>
  </threadedComment>
</ThreadedComments>
</file>

<file path=xl/threadedComments/threadedComment13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9B99523-7E11-495C-BB1D-9DC4CB32F9DB}">
    <text>Assume $90/unit/mth if paid by Landlord</text>
  </threadedComment>
  <threadedComment ref="I22" dT="2020-08-19T10:46:08.34" personId="{7FB89BC3-5449-46D1-9E6D-B2DEFD39A947}" id="{394BEA4C-8166-4ECC-B503-79A738F50055}">
    <text>Assume $70/unit/mth if covered by landlord</text>
  </threadedComment>
  <threadedComment ref="I23" dT="2020-06-14T20:15:08.26" personId="{7FB89BC3-5449-46D1-9E6D-B2DEFD39A947}" id="{3862FF62-85F6-4419-BA31-B9B4623C764C}">
    <text>Assume $50/door</text>
  </threadedComment>
  <threadedComment ref="I24" dT="2020-06-14T20:14:14.81" personId="{7FB89BC3-5449-46D1-9E6D-B2DEFD39A947}" id="{D11644BA-536A-4778-A23C-450EB4A48CF7}">
    <text>Assume $140 average</text>
  </threadedComment>
</ThreadedComments>
</file>

<file path=xl/threadedComments/threadedComment13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F6A813E-1D7A-40FE-B32A-0F1BB931619A}">
    <text>Assume $90/unit/mth if paid by Landlord</text>
  </threadedComment>
  <threadedComment ref="I22" dT="2020-08-19T10:46:08.34" personId="{7FB89BC3-5449-46D1-9E6D-B2DEFD39A947}" id="{504CB2C3-2C65-4B7D-A3B2-13FFFB0EAAD0}">
    <text>Assume $70/unit/mth if covered by landlord</text>
  </threadedComment>
  <threadedComment ref="I23" dT="2020-06-14T20:15:08.26" personId="{7FB89BC3-5449-46D1-9E6D-B2DEFD39A947}" id="{FBB333B0-5876-4435-8158-F6845DECD7B6}">
    <text>Assume $50/door</text>
  </threadedComment>
  <threadedComment ref="I24" dT="2020-06-14T20:14:14.81" personId="{7FB89BC3-5449-46D1-9E6D-B2DEFD39A947}" id="{01F93E36-C127-4284-A280-7706074EDBFD}">
    <text>Assume $140 average</text>
  </threadedComment>
</ThreadedComments>
</file>

<file path=xl/threadedComments/threadedComment13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3964473-6069-4E47-8082-62185373FFC3}">
    <text>Assume $90/unit/mth if paid by Landlord</text>
  </threadedComment>
  <threadedComment ref="I22" dT="2020-08-19T10:46:08.34" personId="{7FB89BC3-5449-46D1-9E6D-B2DEFD39A947}" id="{2EE18656-D5CF-4E28-9945-BC126181E192}">
    <text>Assume $70/unit/mth if covered by landlord</text>
  </threadedComment>
  <threadedComment ref="I23" dT="2020-06-14T20:15:08.26" personId="{7FB89BC3-5449-46D1-9E6D-B2DEFD39A947}" id="{4A7E85F2-FE18-4F87-BFDA-8C0D5AF65C63}">
    <text>Assume $50/door</text>
  </threadedComment>
  <threadedComment ref="I24" dT="2020-06-14T20:14:14.81" personId="{7FB89BC3-5449-46D1-9E6D-B2DEFD39A947}" id="{59B0FEDB-FBE2-440F-A6FF-614FF5CC1F35}">
    <text>Assume $140 average</text>
  </threadedComment>
</ThreadedComments>
</file>

<file path=xl/threadedComments/threadedComment13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D51930E-E136-4AD8-AF5E-F44EB3DA8D11}">
    <text>Assume $90/unit/mth if paid by Landlord</text>
  </threadedComment>
  <threadedComment ref="I22" dT="2020-08-19T10:46:08.34" personId="{7FB89BC3-5449-46D1-9E6D-B2DEFD39A947}" id="{F549B367-6401-4DD2-82BA-FC9219E3AE8F}">
    <text>Assume $70/unit/mth if covered by landlord</text>
  </threadedComment>
  <threadedComment ref="I23" dT="2020-06-14T20:15:08.26" personId="{7FB89BC3-5449-46D1-9E6D-B2DEFD39A947}" id="{0DE2240C-5813-46C6-AFAB-148179500ECC}">
    <text>Assume $50/door</text>
  </threadedComment>
  <threadedComment ref="I24" dT="2020-06-14T20:14:14.81" personId="{7FB89BC3-5449-46D1-9E6D-B2DEFD39A947}" id="{03AD0190-0565-4813-B996-E776794DA4BA}">
    <text>Assume $140 average</text>
  </threadedComment>
</ThreadedComments>
</file>

<file path=xl/threadedComments/threadedComment13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A54FE61-1858-485D-8F67-D34D165546BA}">
    <text>Assume $90/unit/mth if paid by Landlord</text>
  </threadedComment>
  <threadedComment ref="I22" dT="2020-08-19T10:46:08.34" personId="{7FB89BC3-5449-46D1-9E6D-B2DEFD39A947}" id="{9C6BD4E1-1F8A-4A3E-8B5D-FDAFB10EB6D5}">
    <text>Assume $70/unit/mth if covered by landlord</text>
  </threadedComment>
  <threadedComment ref="I23" dT="2020-06-14T20:15:08.26" personId="{7FB89BC3-5449-46D1-9E6D-B2DEFD39A947}" id="{4118A33D-07D4-4C62-B156-C78089F84434}">
    <text>Assume $50/door</text>
  </threadedComment>
  <threadedComment ref="I24" dT="2020-06-14T20:14:14.81" personId="{7FB89BC3-5449-46D1-9E6D-B2DEFD39A947}" id="{BE9BD3F2-8B04-4003-A964-68DDAC6F1AB9}">
    <text>Assume $140 average</text>
  </threadedComment>
</ThreadedComments>
</file>

<file path=xl/threadedComments/threadedComment13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414F6CA-DA43-4556-8C8E-83335B3BB7AA}">
    <text>Assume $90/unit/mth if paid by Landlord</text>
  </threadedComment>
  <threadedComment ref="I22" dT="2020-08-19T10:46:08.34" personId="{7FB89BC3-5449-46D1-9E6D-B2DEFD39A947}" id="{B7C93132-CF40-48A9-A41F-2ED650DD58A3}">
    <text>Assume $70/unit/mth if covered by landlord</text>
  </threadedComment>
  <threadedComment ref="I23" dT="2020-06-14T20:15:08.26" personId="{7FB89BC3-5449-46D1-9E6D-B2DEFD39A947}" id="{9BEC347B-BA2B-4776-811F-C734B913A018}">
    <text>Assume $50/door</text>
  </threadedComment>
  <threadedComment ref="I24" dT="2020-06-14T20:14:14.81" personId="{7FB89BC3-5449-46D1-9E6D-B2DEFD39A947}" id="{1314EEFE-A8A9-4E7A-BE6E-086D211AD2AE}">
    <text>Assume $140 average</text>
  </threadedComment>
</ThreadedComments>
</file>

<file path=xl/threadedComments/threadedComment13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6747092-34B8-4B3E-A97B-F37C5B00E6AE}">
    <text>Assume $90/unit/mth if paid by Landlord</text>
  </threadedComment>
  <threadedComment ref="I22" dT="2020-08-19T10:46:08.34" personId="{7FB89BC3-5449-46D1-9E6D-B2DEFD39A947}" id="{77E7CCB5-2295-4236-A43B-BA475127A025}">
    <text>Assume $70/unit/mth if covered by landlord</text>
  </threadedComment>
  <threadedComment ref="I23" dT="2020-06-14T20:15:08.26" personId="{7FB89BC3-5449-46D1-9E6D-B2DEFD39A947}" id="{8A68CB78-BD38-4A24-8ADE-892790511F16}">
    <text>Assume $50/door</text>
  </threadedComment>
  <threadedComment ref="I24" dT="2020-06-14T20:14:14.81" personId="{7FB89BC3-5449-46D1-9E6D-B2DEFD39A947}" id="{28434987-DE3D-42DB-9EB6-F78357D3E9AC}">
    <text>Assume $140 average</text>
  </threadedComment>
</ThreadedComments>
</file>

<file path=xl/threadedComments/threadedComment13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2D0BC72-2225-4E0C-BF8F-01F821896DE8}">
    <text>Assume $90/unit/mth if paid by Landlord</text>
  </threadedComment>
  <threadedComment ref="I22" dT="2020-08-19T10:46:08.34" personId="{7FB89BC3-5449-46D1-9E6D-B2DEFD39A947}" id="{5F625C36-283E-4A51-B9A3-3C97B30A384B}">
    <text>Assume $70/unit/mth if covered by landlord</text>
  </threadedComment>
  <threadedComment ref="I23" dT="2020-06-14T20:15:08.26" personId="{7FB89BC3-5449-46D1-9E6D-B2DEFD39A947}" id="{CA6F5D1C-C831-4A29-A4FD-EB8DB71EDD63}">
    <text>Assume $50/door</text>
  </threadedComment>
  <threadedComment ref="I24" dT="2020-06-14T20:14:14.81" personId="{7FB89BC3-5449-46D1-9E6D-B2DEFD39A947}" id="{4C231106-5A42-4E26-9E7F-922B268B5939}">
    <text>Assume $140 average</text>
  </threadedComment>
</ThreadedComments>
</file>

<file path=xl/threadedComments/threadedComment13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7C9C1B2-2730-435E-A636-1AACD39B2C4C}">
    <text>Assume $90/unit/mth if paid by Landlord</text>
  </threadedComment>
  <threadedComment ref="I22" dT="2020-08-19T10:46:08.34" personId="{7FB89BC3-5449-46D1-9E6D-B2DEFD39A947}" id="{5A65138E-113B-4559-BA40-717EF5998416}">
    <text>Assume $70/unit/mth if covered by landlord</text>
  </threadedComment>
  <threadedComment ref="I23" dT="2020-06-14T20:15:08.26" personId="{7FB89BC3-5449-46D1-9E6D-B2DEFD39A947}" id="{A8EC2F0F-C2F4-4BAA-BAFF-F5E655D316B8}">
    <text>Assume $50/door</text>
  </threadedComment>
  <threadedComment ref="I24" dT="2020-06-14T20:14:14.81" personId="{7FB89BC3-5449-46D1-9E6D-B2DEFD39A947}" id="{7DE6B8D1-12EC-4BF6-B740-B426BC153CC3}">
    <text>Assume $140 average</text>
  </threadedComment>
</ThreadedComments>
</file>

<file path=xl/threadedComments/threadedComment13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4925E38-6AC0-4853-A96E-61E9B2DE6EAD}">
    <text>Assume $90/unit/mth if paid by Landlord</text>
  </threadedComment>
  <threadedComment ref="I22" dT="2020-08-19T10:46:08.34" personId="{7FB89BC3-5449-46D1-9E6D-B2DEFD39A947}" id="{D7A2D35D-515C-4DF3-92E9-01B0C2E745FB}">
    <text>Assume $70/unit/mth if covered by landlord</text>
  </threadedComment>
  <threadedComment ref="I23" dT="2020-06-14T20:15:08.26" personId="{7FB89BC3-5449-46D1-9E6D-B2DEFD39A947}" id="{A05412C4-6306-4572-A982-036CA7BB9290}">
    <text>Assume $50/door</text>
  </threadedComment>
  <threadedComment ref="I24" dT="2020-06-14T20:14:14.81" personId="{7FB89BC3-5449-46D1-9E6D-B2DEFD39A947}" id="{E68A0118-2530-47E8-855F-508B502FB659}">
    <text>Assume $140 average</text>
  </threadedComment>
</ThreadedComments>
</file>

<file path=xl/threadedComments/threadedComment14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1A3E5973-1682-4018-A82F-C1F64DDE2CC8}">
    <text>Assume $90/unit/mth if paid by Landlord</text>
  </threadedComment>
  <threadedComment ref="I22" dT="2020-08-19T10:46:08.34" personId="{7FB89BC3-5449-46D1-9E6D-B2DEFD39A947}" id="{ADB6ADF2-3E0C-4B28-A58E-8BB350011142}">
    <text>Assume $70/unit/mth if covered by landlord</text>
  </threadedComment>
  <threadedComment ref="I23" dT="2020-06-14T20:15:08.26" personId="{7FB89BC3-5449-46D1-9E6D-B2DEFD39A947}" id="{EFB603B8-F350-4609-9A62-8C8514EB90A5}">
    <text>Assume $50/door</text>
  </threadedComment>
  <threadedComment ref="I24" dT="2020-06-14T20:14:14.81" personId="{7FB89BC3-5449-46D1-9E6D-B2DEFD39A947}" id="{BE3038E2-986C-4187-B5CD-DE7210167187}">
    <text>Assume $140 average</text>
  </threadedComment>
</ThreadedComments>
</file>

<file path=xl/threadedComments/threadedComment14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9160F96-2808-4387-951F-142B458F76B6}">
    <text>Assume $90/unit/mth if paid by Landlord</text>
  </threadedComment>
  <threadedComment ref="I22" dT="2020-08-19T10:46:08.34" personId="{7FB89BC3-5449-46D1-9E6D-B2DEFD39A947}" id="{D2F907BA-2C48-4B05-9608-509A3E833E30}">
    <text>Assume $70/unit/mth if covered by landlord</text>
  </threadedComment>
  <threadedComment ref="I23" dT="2020-06-14T20:15:08.26" personId="{7FB89BC3-5449-46D1-9E6D-B2DEFD39A947}" id="{79EDC995-0CA4-474E-A159-374107C9824A}">
    <text>Assume $50/door</text>
  </threadedComment>
  <threadedComment ref="I24" dT="2020-06-14T20:14:14.81" personId="{7FB89BC3-5449-46D1-9E6D-B2DEFD39A947}" id="{77FD2E50-3795-4C4F-A935-2250EBACD387}">
    <text>Assume $140 average</text>
  </threadedComment>
</ThreadedComments>
</file>

<file path=xl/threadedComments/threadedComment14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2F92513-45F5-4AC3-85A6-79AFCBB9C363}">
    <text>Assume $90/unit/mth if paid by Landlord</text>
  </threadedComment>
  <threadedComment ref="I22" dT="2020-08-19T10:46:08.34" personId="{7FB89BC3-5449-46D1-9E6D-B2DEFD39A947}" id="{09E54A66-58FE-494F-8754-B4A8DE43028F}">
    <text>Assume $70/unit/mth if covered by landlord</text>
  </threadedComment>
  <threadedComment ref="I23" dT="2020-06-14T20:15:08.26" personId="{7FB89BC3-5449-46D1-9E6D-B2DEFD39A947}" id="{51027423-5279-4DA4-AC56-3EEEE155D07D}">
    <text>Assume $50/door</text>
  </threadedComment>
  <threadedComment ref="I24" dT="2020-06-14T20:14:14.81" personId="{7FB89BC3-5449-46D1-9E6D-B2DEFD39A947}" id="{56462189-E691-4B4F-8FC6-E507A00787BB}">
    <text>Assume $140 average</text>
  </threadedComment>
</ThreadedComments>
</file>

<file path=xl/threadedComments/threadedComment14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A89DE704-F505-46E4-A816-44E3AFD109D0}">
    <text>Assume $90/unit/mth if paid by Landlord</text>
  </threadedComment>
  <threadedComment ref="I22" dT="2020-08-19T10:46:08.34" personId="{7FB89BC3-5449-46D1-9E6D-B2DEFD39A947}" id="{10671FCD-36D4-410B-B77E-F8A1C08400BF}">
    <text>Assume $70/unit/mth if covered by landlord</text>
  </threadedComment>
  <threadedComment ref="I23" dT="2020-06-14T20:15:08.26" personId="{7FB89BC3-5449-46D1-9E6D-B2DEFD39A947}" id="{694A3BFB-DFDA-4C3E-A375-36E8ED5822D2}">
    <text>Assume $50/door</text>
  </threadedComment>
  <threadedComment ref="I24" dT="2020-06-14T20:14:14.81" personId="{7FB89BC3-5449-46D1-9E6D-B2DEFD39A947}" id="{766527BA-A706-4D56-9BD0-CB313A198340}">
    <text>Assume $140 average</text>
  </threadedComment>
</ThreadedComments>
</file>

<file path=xl/threadedComments/threadedComment14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302E75F-7AC6-44E6-A66D-190AC86F6232}">
    <text>Assume $90/unit/mth if paid by Landlord</text>
  </threadedComment>
  <threadedComment ref="I22" dT="2020-08-19T10:46:08.34" personId="{7FB89BC3-5449-46D1-9E6D-B2DEFD39A947}" id="{7C57D711-3343-46BE-8768-77EF918D2D94}">
    <text>Assume $70/unit/mth if covered by landlord</text>
  </threadedComment>
  <threadedComment ref="I23" dT="2020-06-14T20:15:08.26" personId="{7FB89BC3-5449-46D1-9E6D-B2DEFD39A947}" id="{D7EF7520-8118-46A2-B197-0A9C6C10D2C4}">
    <text>Assume $50/door</text>
  </threadedComment>
  <threadedComment ref="I24" dT="2020-06-14T20:14:14.81" personId="{7FB89BC3-5449-46D1-9E6D-B2DEFD39A947}" id="{A46DF0BB-DD6F-46D8-9C59-9EAB21CC72FD}">
    <text>Assume $140 average</text>
  </threadedComment>
</ThreadedComments>
</file>

<file path=xl/threadedComments/threadedComment14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3D82BC9-B063-4CA8-B666-B081EEE89B32}">
    <text>Assume $90/unit/mth if paid by Landlord</text>
  </threadedComment>
  <threadedComment ref="I22" dT="2020-08-19T10:46:08.34" personId="{7FB89BC3-5449-46D1-9E6D-B2DEFD39A947}" id="{7498E57C-4B07-408A-9285-A22C0B7D8A4F}">
    <text>Assume $70/unit/mth if covered by landlord</text>
  </threadedComment>
  <threadedComment ref="I23" dT="2020-06-14T20:15:08.26" personId="{7FB89BC3-5449-46D1-9E6D-B2DEFD39A947}" id="{BAA629A4-4B4D-476F-B944-0E8974777676}">
    <text>Assume $50/door</text>
  </threadedComment>
  <threadedComment ref="I24" dT="2020-06-14T20:14:14.81" personId="{7FB89BC3-5449-46D1-9E6D-B2DEFD39A947}" id="{932D93BE-D5B3-4B92-A1CE-BD3E126E1F51}">
    <text>Assume $140 average</text>
  </threadedComment>
</ThreadedComments>
</file>

<file path=xl/threadedComments/threadedComment14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572BB81-59B9-444C-A03F-482EEE6DFAED}">
    <text>Assume $90/unit/mth if paid by Landlord</text>
  </threadedComment>
  <threadedComment ref="I22" dT="2020-08-19T10:46:08.34" personId="{7FB89BC3-5449-46D1-9E6D-B2DEFD39A947}" id="{0F53B17E-D489-44C4-8A47-E7AACCE3C215}">
    <text>Assume $70/unit/mth if covered by landlord</text>
  </threadedComment>
  <threadedComment ref="I23" dT="2020-06-14T20:15:08.26" personId="{7FB89BC3-5449-46D1-9E6D-B2DEFD39A947}" id="{FFB5447E-B25C-4273-8504-FC6EE2923E73}">
    <text>Assume $50/door</text>
  </threadedComment>
  <threadedComment ref="I24" dT="2020-06-14T20:14:14.81" personId="{7FB89BC3-5449-46D1-9E6D-B2DEFD39A947}" id="{E3927206-B214-4D33-BA7D-3E8D48BA42C3}">
    <text>Assume $140 average</text>
  </threadedComment>
</ThreadedComments>
</file>

<file path=xl/threadedComments/threadedComment14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BDAA2987-E050-4BA9-AE0C-92B1F803AF25}">
    <text>Assume $90/unit/mth if paid by Landlord</text>
  </threadedComment>
  <threadedComment ref="I22" dT="2020-08-19T10:46:08.34" personId="{7FB89BC3-5449-46D1-9E6D-B2DEFD39A947}" id="{C0D15C48-B555-4E90-B2B7-05C8AA32A92A}">
    <text>Assume $70/unit/mth if covered by landlord</text>
  </threadedComment>
  <threadedComment ref="I23" dT="2020-06-14T20:15:08.26" personId="{7FB89BC3-5449-46D1-9E6D-B2DEFD39A947}" id="{7756F09D-DD46-4167-A0E5-C9E6243E5CEC}">
    <text>Assume $50/door</text>
  </threadedComment>
  <threadedComment ref="I24" dT="2020-06-14T20:14:14.81" personId="{7FB89BC3-5449-46D1-9E6D-B2DEFD39A947}" id="{FECAA976-AF64-4C51-8C9D-4BA223692231}">
    <text>Assume $140 average</text>
  </threadedComment>
</ThreadedComments>
</file>

<file path=xl/threadedComments/threadedComment14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D2D0FD00-B375-480D-BA28-6A472AA7A5AB}">
    <text>Assume $90/unit/mth if paid by Landlord</text>
  </threadedComment>
  <threadedComment ref="I22" dT="2020-08-19T10:46:08.34" personId="{7FB89BC3-5449-46D1-9E6D-B2DEFD39A947}" id="{B56B65C0-7D08-4295-AC20-24C69FDFAB5E}">
    <text>Assume $70/unit/mth if covered by landlord</text>
  </threadedComment>
  <threadedComment ref="I23" dT="2020-06-14T20:15:08.26" personId="{7FB89BC3-5449-46D1-9E6D-B2DEFD39A947}" id="{604CDA6A-7BDD-4628-9069-E3668F470844}">
    <text>Assume $50/door</text>
  </threadedComment>
  <threadedComment ref="I24" dT="2020-06-14T20:14:14.81" personId="{7FB89BC3-5449-46D1-9E6D-B2DEFD39A947}" id="{C6A3B97A-3D13-4DF3-B324-F7F8F709B63A}">
    <text>Assume $140 average</text>
  </threadedComment>
</ThreadedComments>
</file>

<file path=xl/threadedComments/threadedComment14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3F65C34C-A828-469E-8E42-E9CEB7564D2E}">
    <text>Assume $90/unit/mth if paid by Landlord</text>
  </threadedComment>
  <threadedComment ref="I22" dT="2020-08-19T10:46:08.34" personId="{7FB89BC3-5449-46D1-9E6D-B2DEFD39A947}" id="{87A8D419-E794-4C78-9DB4-DA6B5B23D0FD}">
    <text>Assume $70/unit/mth if covered by landlord</text>
  </threadedComment>
  <threadedComment ref="I23" dT="2020-06-14T20:15:08.26" personId="{7FB89BC3-5449-46D1-9E6D-B2DEFD39A947}" id="{617F2DB8-98DB-4D2B-BB5F-62B02BB4FCF4}">
    <text>Assume $50/door</text>
  </threadedComment>
  <threadedComment ref="I24" dT="2020-06-14T20:14:14.81" personId="{7FB89BC3-5449-46D1-9E6D-B2DEFD39A947}" id="{94AB385B-CCD1-4AE7-B6E2-CD4384EDB442}">
    <text>Assume $140 average</text>
  </threadedComment>
</ThreadedComments>
</file>

<file path=xl/threadedComments/threadedComment15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98F10AE-B6F8-49C3-8C2E-278A044ED0E9}">
    <text>Assume $90/unit/mth if paid by Landlord</text>
  </threadedComment>
  <threadedComment ref="I22" dT="2020-08-19T10:46:08.34" personId="{7FB89BC3-5449-46D1-9E6D-B2DEFD39A947}" id="{BD59B5D5-06C0-44C1-9EF0-536904C9DB62}">
    <text>Assume $70/unit/mth if covered by landlord</text>
  </threadedComment>
  <threadedComment ref="I23" dT="2020-06-14T20:15:08.26" personId="{7FB89BC3-5449-46D1-9E6D-B2DEFD39A947}" id="{903538D5-EE4E-4CDF-8C6E-8413A8BFBAF1}">
    <text>Assume $50/door</text>
  </threadedComment>
  <threadedComment ref="I24" dT="2020-06-14T20:14:14.81" personId="{7FB89BC3-5449-46D1-9E6D-B2DEFD39A947}" id="{FDD2C7AC-F481-4CE1-97A0-AD474496BB60}">
    <text>Assume $140 average</text>
  </threadedComment>
</ThreadedComments>
</file>

<file path=xl/threadedComments/threadedComment15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9654ACC3-FEBF-444A-9D6D-876A0FB83F54}">
    <text>Assume $90/unit/mth if paid by Landlord</text>
  </threadedComment>
  <threadedComment ref="I22" dT="2020-08-19T10:46:08.34" personId="{7FB89BC3-5449-46D1-9E6D-B2DEFD39A947}" id="{97F46A49-A6CB-44D1-BB5D-06AD5BEA040B}">
    <text>Assume $70/unit/mth if covered by landlord</text>
  </threadedComment>
  <threadedComment ref="I23" dT="2020-06-14T20:15:08.26" personId="{7FB89BC3-5449-46D1-9E6D-B2DEFD39A947}" id="{0CB5A8AD-15A0-4A17-B374-1A88BBB872F7}">
    <text>Assume $50/door</text>
  </threadedComment>
  <threadedComment ref="I24" dT="2020-06-14T20:14:14.81" personId="{7FB89BC3-5449-46D1-9E6D-B2DEFD39A947}" id="{A566976D-9E90-4883-BDDC-155015813235}">
    <text>Assume $140 average</text>
  </threadedComment>
</ThreadedComments>
</file>

<file path=xl/threadedComments/threadedComment15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A3278A4-A26F-4B61-88B2-3B9E867B1AF1}">
    <text>Assume $90/unit/mth if paid by Landlord</text>
  </threadedComment>
  <threadedComment ref="I22" dT="2020-08-19T10:46:08.34" personId="{7FB89BC3-5449-46D1-9E6D-B2DEFD39A947}" id="{F1A2B0AF-0593-4A09-BAB0-B9A3DD380CE5}">
    <text>Assume $70/unit/mth if covered by landlord</text>
  </threadedComment>
  <threadedComment ref="I23" dT="2020-06-14T20:15:08.26" personId="{7FB89BC3-5449-46D1-9E6D-B2DEFD39A947}" id="{D44282B0-0BDF-4A0E-80F3-084448A3BFC8}">
    <text>Assume $50/door</text>
  </threadedComment>
  <threadedComment ref="I24" dT="2020-06-14T20:14:14.81" personId="{7FB89BC3-5449-46D1-9E6D-B2DEFD39A947}" id="{F801B5ED-609B-4003-8A39-9A767728E85B}">
    <text>Assume $140 average</text>
  </threadedComment>
</ThreadedComments>
</file>

<file path=xl/threadedComments/threadedComment153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8212206A-5ADB-40C0-8F33-C6EF2A8D060D}">
    <text>Assume $90/unit/mth if paid by Landlord</text>
  </threadedComment>
  <threadedComment ref="I22" dT="2020-08-19T10:46:08.34" personId="{7FB89BC3-5449-46D1-9E6D-B2DEFD39A947}" id="{0C0B28BB-2361-45FC-92EF-C5610C3B5A4D}">
    <text>Assume $70/unit/mth if covered by landlord</text>
  </threadedComment>
  <threadedComment ref="I23" dT="2020-06-14T20:15:08.26" personId="{7FB89BC3-5449-46D1-9E6D-B2DEFD39A947}" id="{D82BB75A-3A6D-45FA-B511-665F125D7C71}">
    <text>Assume $50/door</text>
  </threadedComment>
  <threadedComment ref="I24" dT="2020-06-14T20:14:14.81" personId="{7FB89BC3-5449-46D1-9E6D-B2DEFD39A947}" id="{8AAFDB6C-9AF7-48D0-80D0-B2F9DCF1107A}">
    <text>Assume $140 average</text>
  </threadedComment>
</ThreadedComments>
</file>

<file path=xl/threadedComments/threadedComment154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78F6DDB5-E5FF-4101-9516-0402C45E858D}">
    <text>Assume $90/unit/mth if paid by Landlord</text>
  </threadedComment>
  <threadedComment ref="I22" dT="2020-08-19T10:46:08.34" personId="{7FB89BC3-5449-46D1-9E6D-B2DEFD39A947}" id="{E6A27A0A-D099-4474-B7B0-C064075D441E}">
    <text>Assume $70/unit/mth if covered by landlord</text>
  </threadedComment>
  <threadedComment ref="I23" dT="2020-06-14T20:15:08.26" personId="{7FB89BC3-5449-46D1-9E6D-B2DEFD39A947}" id="{2E010C81-A0BF-40D2-A003-3287703266C5}">
    <text>Assume $50/door</text>
  </threadedComment>
  <threadedComment ref="I24" dT="2020-06-14T20:14:14.81" personId="{7FB89BC3-5449-46D1-9E6D-B2DEFD39A947}" id="{7219C79E-279B-4A16-A76E-FA09A00ECBE9}">
    <text>Assume $140 average</text>
  </threadedComment>
</ThreadedComments>
</file>

<file path=xl/threadedComments/threadedComment155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C966ADAA-937E-4947-8359-B3DD973C7673}">
    <text>Assume $90/unit/mth if paid by Landlord</text>
  </threadedComment>
  <threadedComment ref="I22" dT="2020-08-19T10:46:08.34" personId="{7FB89BC3-5449-46D1-9E6D-B2DEFD39A947}" id="{9797742B-A65C-413F-ABE0-7B63E02FCEF9}">
    <text>Assume $70/unit/mth if covered by landlord</text>
  </threadedComment>
  <threadedComment ref="I23" dT="2020-06-14T20:15:08.26" personId="{7FB89BC3-5449-46D1-9E6D-B2DEFD39A947}" id="{0820F996-5F96-45B9-B02C-450B19A658EC}">
    <text>Assume $50/door</text>
  </threadedComment>
  <threadedComment ref="I24" dT="2020-06-14T20:14:14.81" personId="{7FB89BC3-5449-46D1-9E6D-B2DEFD39A947}" id="{BDD2C76F-5028-43D0-A968-CDF938165842}">
    <text>Assume $140 average</text>
  </threadedComment>
</ThreadedComments>
</file>

<file path=xl/threadedComments/threadedComment156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5845FC14-B48F-426B-A737-234CC5ED5EF2}">
    <text>Assume $90/unit/mth if paid by Landlord</text>
  </threadedComment>
  <threadedComment ref="I22" dT="2020-08-19T10:46:08.34" personId="{7FB89BC3-5449-46D1-9E6D-B2DEFD39A947}" id="{2DB1DC97-B3E0-474C-A6F0-FC9C93A26FBF}">
    <text>Assume $70/unit/mth if covered by landlord</text>
  </threadedComment>
  <threadedComment ref="I23" dT="2020-06-14T20:15:08.26" personId="{7FB89BC3-5449-46D1-9E6D-B2DEFD39A947}" id="{8AB95335-F5CC-4D4B-9CA6-8875FAA4B067}">
    <text>Assume $50/door</text>
  </threadedComment>
  <threadedComment ref="I24" dT="2020-06-14T20:14:14.81" personId="{7FB89BC3-5449-46D1-9E6D-B2DEFD39A947}" id="{DF672C13-AC47-488A-AC8A-7DDF7489DD23}">
    <text>Assume $140 average</text>
  </threadedComment>
</ThreadedComments>
</file>

<file path=xl/threadedComments/threadedComment157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FA759FE6-8C5F-4351-A504-F34E2FD75AC8}">
    <text>Assume $90/unit/mth if paid by Landlord</text>
  </threadedComment>
  <threadedComment ref="I22" dT="2020-08-19T10:46:08.34" personId="{7FB89BC3-5449-46D1-9E6D-B2DEFD39A947}" id="{5233E4B4-E3EB-4C7E-A81E-669D0CD8986D}">
    <text>Assume $70/unit/mth if covered by landlord</text>
  </threadedComment>
  <threadedComment ref="I23" dT="2020-06-14T20:15:08.26" personId="{7FB89BC3-5449-46D1-9E6D-B2DEFD39A947}" id="{69A1D095-11F6-4075-A2F9-BBD565087C57}">
    <text>Assume $50/door</text>
  </threadedComment>
  <threadedComment ref="I24" dT="2020-06-14T20:14:14.81" personId="{7FB89BC3-5449-46D1-9E6D-B2DEFD39A947}" id="{758A15D1-5AA7-4DD7-B7C3-731BE2981563}">
    <text>Assume $140 average</text>
  </threadedComment>
</ThreadedComments>
</file>

<file path=xl/threadedComments/threadedComment158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4BDECD40-045E-4873-B6E4-6FF8F1AA0BAE}">
    <text>Assume $90/unit/mth if paid by Landlord</text>
  </threadedComment>
  <threadedComment ref="I22" dT="2020-08-19T10:46:08.34" personId="{7FB89BC3-5449-46D1-9E6D-B2DEFD39A947}" id="{BD789465-8DDD-4A96-A2BA-4BDB6C316D29}">
    <text>Assume $70/unit/mth if covered by landlord</text>
  </threadedComment>
  <threadedComment ref="I23" dT="2020-06-14T20:15:08.26" personId="{7FB89BC3-5449-46D1-9E6D-B2DEFD39A947}" id="{B8268BD7-0443-42E7-8575-3D88FE801162}">
    <text>Assume $50/door</text>
  </threadedComment>
  <threadedComment ref="I24" dT="2020-06-14T20:14:14.81" personId="{7FB89BC3-5449-46D1-9E6D-B2DEFD39A947}" id="{9613517D-6F14-4D67-A676-7B46FEA71A51}">
    <text>Assume $140 average</text>
  </threadedComment>
</ThreadedComments>
</file>

<file path=xl/threadedComments/threadedComment159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0E84AABB-F895-4930-89B8-C8B060F8428E}">
    <text>Assume $90/unit/mth if paid by Landlord</text>
  </threadedComment>
  <threadedComment ref="I22" dT="2020-08-19T10:46:08.34" personId="{7FB89BC3-5449-46D1-9E6D-B2DEFD39A947}" id="{7ACCFC70-9B4F-44FD-A944-DE3BAB0BCEB9}">
    <text>Assume $70/unit/mth if covered by landlord</text>
  </threadedComment>
  <threadedComment ref="I23" dT="2020-06-14T20:15:08.26" personId="{7FB89BC3-5449-46D1-9E6D-B2DEFD39A947}" id="{A2CEBDD3-C1F5-4D2E-B133-AF29B0E4583E}">
    <text>Assume $50/door</text>
  </threadedComment>
  <threadedComment ref="I24" dT="2020-06-14T20:14:14.81" personId="{7FB89BC3-5449-46D1-9E6D-B2DEFD39A947}" id="{0CF52150-F66D-471E-A7E4-C8C2E841F356}">
    <text>Assume $140 average</text>
  </threadedComment>
</ThreadedComments>
</file>

<file path=xl/threadedComments/threadedComment160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FE948FE-C8B1-41ED-88A8-6656ECFDBC5D}">
    <text>Assume $90/unit/mth if paid by Landlord</text>
  </threadedComment>
  <threadedComment ref="I22" dT="2020-08-19T10:46:08.34" personId="{7FB89BC3-5449-46D1-9E6D-B2DEFD39A947}" id="{9D3A51E3-B5B9-4A72-903A-EAF831B18954}">
    <text>Assume $70/unit/mth if covered by landlord</text>
  </threadedComment>
  <threadedComment ref="I23" dT="2020-06-14T20:15:08.26" personId="{7FB89BC3-5449-46D1-9E6D-B2DEFD39A947}" id="{AE591754-96C3-480F-A96B-EF2088C4C90E}">
    <text>Assume $50/door</text>
  </threadedComment>
  <threadedComment ref="I24" dT="2020-06-14T20:14:14.81" personId="{7FB89BC3-5449-46D1-9E6D-B2DEFD39A947}" id="{437B30E3-F86F-4E74-BE0C-6AAA039EE520}">
    <text>Assume $140 average</text>
  </threadedComment>
</ThreadedComments>
</file>

<file path=xl/threadedComments/threadedComment161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EC60A33C-719F-41AC-A91B-1DD1CC150E30}">
    <text>Assume $90/unit/mth if paid by Landlord</text>
  </threadedComment>
  <threadedComment ref="I22" dT="2020-08-19T10:46:08.34" personId="{7FB89BC3-5449-46D1-9E6D-B2DEFD39A947}" id="{34E3F458-6CF3-4E2B-BEBB-ACE3173FE1DE}">
    <text>Assume $70/unit/mth if covered by landlord</text>
  </threadedComment>
  <threadedComment ref="I23" dT="2020-06-14T20:15:08.26" personId="{7FB89BC3-5449-46D1-9E6D-B2DEFD39A947}" id="{E2D34F8E-4283-4BB0-A9FC-7488D697007E}">
    <text>Assume $50/door</text>
  </threadedComment>
  <threadedComment ref="I24" dT="2020-06-14T20:14:14.81" personId="{7FB89BC3-5449-46D1-9E6D-B2DEFD39A947}" id="{A8CFF80A-B0BD-46C0-9864-74258D241E49}">
    <text>Assume $140 average</text>
  </threadedComment>
</ThreadedComments>
</file>

<file path=xl/threadedComments/threadedComment162.xml><?xml version="1.0" encoding="utf-8"?>
<ThreadedComments xmlns="http://schemas.microsoft.com/office/spreadsheetml/2018/threadedcomments" xmlns:x="http://schemas.openxmlformats.org/spreadsheetml/2006/main">
  <threadedComment ref="I21" dT="2020-08-19T10:45:34.61" personId="{7FB89BC3-5449-46D1-9E6D-B2DEFD39A947}" id="{2D90D1B7-052B-47D0-B561-B5457D1FC4A9}">
    <text>Assume $90/unit/mth if paid by Landlord</text>
  </threadedComment>
  <threadedComment ref="I22" dT="2020-08-19T10:46:08.34" personId="{7FB89BC3-5449-46D1-9E6D-B2DEFD39A947}" id="{F72F7E31-521C-42A0-BF82-B49DE8927CD3}">
    <text>Assume $70/unit/mth if covered by landlord</text>
  </threadedComment>
  <threadedComment ref="I23" dT="2020-06-14T20:15:08.26" personId="{7FB89BC3-5449-46D1-9E6D-B2DEFD39A947}" id="{DD3AA153-876B-42D5-88FD-55B6A79C33D7}">
    <text>Assume $50/door</text>
  </threadedComment>
  <threadedComment ref="I24" dT="2020-06-14T20:14:14.81" personId="{7FB89BC3-5449-46D1-9E6D-B2DEFD39A947}" id="{25EADF99-E954-4360-9495-27CCFBC8250E}">
    <text>Assume $140 average</text>
  </threadedComment>
</ThreadedComments>
</file>

<file path=xl/threadedComments/threadedComment16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CD357959-D591-4CDC-A1E3-834A20EEB43F}">
    <text>Assume $90/unit/mth if paid by Landlord</text>
  </threadedComment>
  <threadedComment ref="I24" dT="2020-08-19T10:46:08.34" personId="{7FB89BC3-5449-46D1-9E6D-B2DEFD39A947}" id="{02B851F3-FB9A-4524-B4F8-D13C278B50FE}">
    <text>Assume $70/unit/mth if covered by landlord</text>
  </threadedComment>
  <threadedComment ref="I25" dT="2020-06-14T20:15:08.26" personId="{7FB89BC3-5449-46D1-9E6D-B2DEFD39A947}" id="{FB21F222-B279-4F10-AE0E-4E11E8360B9B}">
    <text>Assume $50/door</text>
  </threadedComment>
  <threadedComment ref="I26" dT="2020-06-14T20:14:14.81" personId="{7FB89BC3-5449-46D1-9E6D-B2DEFD39A947}" id="{51437169-E2FB-470E-BCCF-384D9C6D6AB0}">
    <text>Assume $140 average</text>
  </threadedComment>
</ThreadedComments>
</file>

<file path=xl/threadedComments/threadedComment16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E1D65C8F-E0EE-49CD-B4DF-6B45BE386317}">
    <text>Assume $90/unit/mth if paid by Landlord</text>
  </threadedComment>
  <threadedComment ref="I24" dT="2020-08-19T10:46:08.34" personId="{7FB89BC3-5449-46D1-9E6D-B2DEFD39A947}" id="{2354139D-E31C-4BA5-8118-C8B45D14CDD3}">
    <text>Assume $70/unit/mth if covered by landlord</text>
  </threadedComment>
  <threadedComment ref="I25" dT="2020-06-14T20:15:08.26" personId="{7FB89BC3-5449-46D1-9E6D-B2DEFD39A947}" id="{317A42F2-D379-4A0B-B2DF-2D31EE746005}">
    <text>Assume $50/door</text>
  </threadedComment>
  <threadedComment ref="I26" dT="2020-06-14T20:14:14.81" personId="{7FB89BC3-5449-46D1-9E6D-B2DEFD39A947}" id="{067C4416-46BA-4716-8765-69A1F9C77A9E}">
    <text>Assume $140 average</text>
  </threadedComment>
</ThreadedComments>
</file>

<file path=xl/threadedComments/threadedComment16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A3CC4A6-17A8-4DBF-87DC-33076989A2B0}">
    <text>Assume $90/unit/mth if paid by Landlord</text>
  </threadedComment>
  <threadedComment ref="I24" dT="2020-08-19T10:46:08.34" personId="{7FB89BC3-5449-46D1-9E6D-B2DEFD39A947}" id="{E806B320-176D-45D3-9D08-CC2D2EEBEE90}">
    <text>Assume $70/unit/mth if covered by landlord</text>
  </threadedComment>
  <threadedComment ref="I25" dT="2020-06-14T20:15:08.26" personId="{7FB89BC3-5449-46D1-9E6D-B2DEFD39A947}" id="{29E7C072-FD6B-4CFD-9E39-313A244F9802}">
    <text>Assume $50/door</text>
  </threadedComment>
  <threadedComment ref="I26" dT="2020-06-14T20:14:14.81" personId="{7FB89BC3-5449-46D1-9E6D-B2DEFD39A947}" id="{124CE639-0E10-49EB-AB24-5C0BC4F41BE0}">
    <text>Assume $140 average</text>
  </threadedComment>
</ThreadedComments>
</file>

<file path=xl/threadedComments/threadedComment16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25C7972A-EF92-489A-B76A-653794AEA889}">
    <text>Assume $90/unit/mth if paid by Landlord</text>
  </threadedComment>
  <threadedComment ref="I24" dT="2020-08-19T10:46:08.34" personId="{7FB89BC3-5449-46D1-9E6D-B2DEFD39A947}" id="{713D4F07-FC1E-4BD0-A2A1-0938DB3169F4}">
    <text>Assume $70/unit/mth if covered by landlord</text>
  </threadedComment>
  <threadedComment ref="I25" dT="2020-06-14T20:15:08.26" personId="{7FB89BC3-5449-46D1-9E6D-B2DEFD39A947}" id="{F1DD4777-CF75-4818-B3ED-B6F46F88FE2B}">
    <text>Assume $50/door</text>
  </threadedComment>
  <threadedComment ref="I26" dT="2020-06-14T20:14:14.81" personId="{7FB89BC3-5449-46D1-9E6D-B2DEFD39A947}" id="{EB0ADBB9-52DF-445C-AFED-9AD959AC6881}">
    <text>Assume $140 average</text>
  </threadedComment>
</ThreadedComments>
</file>

<file path=xl/threadedComments/threadedComment16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536FEF6F-1722-43AF-B8A3-904D7E56B2C4}">
    <text>Assume $90/unit/mth if paid by Landlord</text>
  </threadedComment>
  <threadedComment ref="I24" dT="2020-08-19T10:46:08.34" personId="{7FB89BC3-5449-46D1-9E6D-B2DEFD39A947}" id="{9C3F4E6C-F9ED-4CFC-9E7F-BEAB491AE9E3}">
    <text>Assume $70/unit/mth if covered by landlord</text>
  </threadedComment>
  <threadedComment ref="I25" dT="2020-06-14T20:15:08.26" personId="{7FB89BC3-5449-46D1-9E6D-B2DEFD39A947}" id="{98702C0C-C59D-4F96-8505-E87FF69441C6}">
    <text>Assume $50/door</text>
  </threadedComment>
  <threadedComment ref="I26" dT="2020-06-14T20:14:14.81" personId="{7FB89BC3-5449-46D1-9E6D-B2DEFD39A947}" id="{19DDE51A-D9B7-4CA1-AF61-1833365D0EE1}">
    <text>Assume $140 average</text>
  </threadedComment>
</ThreadedComments>
</file>

<file path=xl/threadedComments/threadedComment16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FFC9C57A-4B73-4A0B-A991-354BBF9E4997}">
    <text>Assume $90/unit/mth if paid by Landlord</text>
  </threadedComment>
  <threadedComment ref="I24" dT="2020-08-19T10:46:08.34" personId="{7FB89BC3-5449-46D1-9E6D-B2DEFD39A947}" id="{B80E2092-7F28-4051-827B-347A1A68FBB3}">
    <text>Assume $70/unit/mth if covered by landlord</text>
  </threadedComment>
  <threadedComment ref="I25" dT="2020-06-14T20:15:08.26" personId="{7FB89BC3-5449-46D1-9E6D-B2DEFD39A947}" id="{CBED1F78-682E-49D8-8325-3C3D041D4C97}">
    <text>Assume $50/door</text>
  </threadedComment>
  <threadedComment ref="I26" dT="2020-06-14T20:14:14.81" personId="{7FB89BC3-5449-46D1-9E6D-B2DEFD39A947}" id="{5DCC0035-5F11-42BE-8BB7-C0F07CC17411}">
    <text>Assume $140 average</text>
  </threadedComment>
</ThreadedComments>
</file>

<file path=xl/threadedComments/threadedComment16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5876BB15-BDD5-42D3-BF04-2898C0EC7FA9}">
    <text>Assume $90/unit/mth if paid by Landlord</text>
  </threadedComment>
  <threadedComment ref="I24" dT="2020-08-19T10:46:08.34" personId="{7FB89BC3-5449-46D1-9E6D-B2DEFD39A947}" id="{102C3876-68BF-4CEE-981D-99785DE64A58}">
    <text>Assume $70/unit/mth if covered by landlord</text>
  </threadedComment>
  <threadedComment ref="I25" dT="2020-06-14T20:15:08.26" personId="{7FB89BC3-5449-46D1-9E6D-B2DEFD39A947}" id="{97A0CAE5-BB46-4093-A62B-31F6C2E5AA84}">
    <text>Assume $50/door</text>
  </threadedComment>
  <threadedComment ref="I26" dT="2020-06-14T20:14:14.81" personId="{7FB89BC3-5449-46D1-9E6D-B2DEFD39A947}" id="{8C949E5E-1E88-4FBA-A87D-BE108DD770C4}">
    <text>Assume $140 average</text>
  </threadedComment>
</ThreadedComments>
</file>

<file path=xl/threadedComments/threadedComment17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AD0A9DDB-43C1-461B-B2FB-0B4A74892976}">
    <text>Assume $90/unit/mth if paid by Landlord</text>
  </threadedComment>
  <threadedComment ref="I24" dT="2020-08-19T10:46:08.34" personId="{7FB89BC3-5449-46D1-9E6D-B2DEFD39A947}" id="{5EF5651D-5971-4AFA-8125-52AF6BC874A8}">
    <text>Assume $70/unit/mth if covered by landlord</text>
  </threadedComment>
  <threadedComment ref="I25" dT="2020-06-14T20:15:08.26" personId="{7FB89BC3-5449-46D1-9E6D-B2DEFD39A947}" id="{65500C50-D9A6-41FF-9B39-2B4C235B4CF6}">
    <text>Assume $50/door</text>
  </threadedComment>
  <threadedComment ref="I26" dT="2020-06-14T20:14:14.81" personId="{7FB89BC3-5449-46D1-9E6D-B2DEFD39A947}" id="{BB305C6B-0F7D-4855-9E92-C665997EE876}">
    <text>Assume $140 average</text>
  </threadedComment>
</ThreadedComments>
</file>

<file path=xl/threadedComments/threadedComment17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736A6FFC-6BD2-410D-B7BB-D8AC0AF341E6}">
    <text>Assume $90/unit/mth if paid by Landlord</text>
  </threadedComment>
  <threadedComment ref="I24" dT="2020-08-19T10:46:08.34" personId="{7FB89BC3-5449-46D1-9E6D-B2DEFD39A947}" id="{EA615565-BE92-469D-8269-43F3358ABCBC}">
    <text>Assume $70/unit/mth if covered by landlord</text>
  </threadedComment>
  <threadedComment ref="I25" dT="2020-06-14T20:15:08.26" personId="{7FB89BC3-5449-46D1-9E6D-B2DEFD39A947}" id="{96A5C630-3256-4826-AA65-3D1B35DF1EFD}">
    <text>Assume $50/door</text>
  </threadedComment>
  <threadedComment ref="I26" dT="2020-06-14T20:14:14.81" personId="{7FB89BC3-5449-46D1-9E6D-B2DEFD39A947}" id="{77D9DDC0-6EAF-4E6D-B90F-C5F3C633B5E4}">
    <text>Assume $140 average</text>
  </threadedComment>
</ThreadedComments>
</file>

<file path=xl/threadedComments/threadedComment17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33ABFC2-BA24-4EC0-BA3D-BE1F17971504}">
    <text>Assume $90/unit/mth if paid by Landlord</text>
  </threadedComment>
  <threadedComment ref="I24" dT="2020-08-19T10:46:08.34" personId="{7FB89BC3-5449-46D1-9E6D-B2DEFD39A947}" id="{C5C7DFF7-B89B-4439-A765-B7D80878AE88}">
    <text>Assume $70/unit/mth if covered by landlord</text>
  </threadedComment>
  <threadedComment ref="I25" dT="2020-06-14T20:15:08.26" personId="{7FB89BC3-5449-46D1-9E6D-B2DEFD39A947}" id="{C4AC4D3C-BF83-4E7C-8262-EF3F5B3E8510}">
    <text>Assume $50/door</text>
  </threadedComment>
  <threadedComment ref="I26" dT="2020-06-14T20:14:14.81" personId="{7FB89BC3-5449-46D1-9E6D-B2DEFD39A947}" id="{8E44C0EF-FB25-40D9-8CA1-11089D181840}">
    <text>Assume $140 average</text>
  </threadedComment>
</ThreadedComments>
</file>

<file path=xl/threadedComments/threadedComment17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AB818933-BAA4-4911-9B90-B244BBE6467A}">
    <text>Assume $90/unit/mth if paid by Landlord</text>
  </threadedComment>
  <threadedComment ref="I24" dT="2020-08-19T10:46:08.34" personId="{7FB89BC3-5449-46D1-9E6D-B2DEFD39A947}" id="{263D2B7E-4259-45B8-A15E-4819D2A2A5F0}">
    <text>Assume $70/unit/mth if covered by landlord</text>
  </threadedComment>
  <threadedComment ref="I25" dT="2020-06-14T20:15:08.26" personId="{7FB89BC3-5449-46D1-9E6D-B2DEFD39A947}" id="{286D13A9-8755-4A97-BA9C-A697462E0AB0}">
    <text>Assume $50/door</text>
  </threadedComment>
  <threadedComment ref="I26" dT="2020-06-14T20:14:14.81" personId="{7FB89BC3-5449-46D1-9E6D-B2DEFD39A947}" id="{A81D4AD5-402B-461F-A16A-FB9B212E1497}">
    <text>Assume $140 average</text>
  </threadedComment>
</ThreadedComments>
</file>

<file path=xl/threadedComments/threadedComment17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DF136B0-1A42-48A0-8E85-330F6F356B89}">
    <text>Assume $90/unit/mth if paid by Landlord</text>
  </threadedComment>
  <threadedComment ref="I24" dT="2020-08-19T10:46:08.34" personId="{7FB89BC3-5449-46D1-9E6D-B2DEFD39A947}" id="{14FAC9FA-049C-49B3-B2E0-E37469A12413}">
    <text>Assume $70/unit/mth if covered by landlord</text>
  </threadedComment>
  <threadedComment ref="I25" dT="2020-06-14T20:15:08.26" personId="{7FB89BC3-5449-46D1-9E6D-B2DEFD39A947}" id="{A1621CFD-A2A3-4601-BE1B-AD7238237676}">
    <text>Assume $50/door</text>
  </threadedComment>
  <threadedComment ref="I26" dT="2020-06-14T20:14:14.81" personId="{7FB89BC3-5449-46D1-9E6D-B2DEFD39A947}" id="{69B2CFF2-A804-40D8-83E4-D10E2EE218C0}">
    <text>Assume $140 average</text>
  </threadedComment>
</ThreadedComments>
</file>

<file path=xl/threadedComments/threadedComment17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0BDF8B0-60C1-4DD2-81F9-5F86F5EF6961}">
    <text>Assume $90/unit/mth if paid by Landlord</text>
  </threadedComment>
  <threadedComment ref="I24" dT="2020-08-19T10:46:08.34" personId="{7FB89BC3-5449-46D1-9E6D-B2DEFD39A947}" id="{955C905B-900F-4353-9B83-CEC0E688F27B}">
    <text>Assume $70/unit/mth if covered by landlord</text>
  </threadedComment>
  <threadedComment ref="I25" dT="2020-06-14T20:15:08.26" personId="{7FB89BC3-5449-46D1-9E6D-B2DEFD39A947}" id="{F7D6D99A-8267-4559-8E70-17CB16BC1C75}">
    <text>Assume $50/door</text>
  </threadedComment>
  <threadedComment ref="I26" dT="2020-06-14T20:14:14.81" personId="{7FB89BC3-5449-46D1-9E6D-B2DEFD39A947}" id="{98933A00-8AA3-4180-B65A-51DE23BEA775}">
    <text>Assume $140 average</text>
  </threadedComment>
</ThreadedComments>
</file>

<file path=xl/threadedComments/threadedComment17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09082FA9-2B2A-47C3-8424-1085C593A952}">
    <text>Assume $90/unit/mth if paid by Landlord</text>
  </threadedComment>
  <threadedComment ref="I24" dT="2020-08-19T10:46:08.34" personId="{7FB89BC3-5449-46D1-9E6D-B2DEFD39A947}" id="{1DF43013-C8D7-4E7C-A545-67BC4E8ED96A}">
    <text>Assume $70/unit/mth if covered by landlord</text>
  </threadedComment>
  <threadedComment ref="I25" dT="2020-06-14T20:15:08.26" personId="{7FB89BC3-5449-46D1-9E6D-B2DEFD39A947}" id="{437A3548-D291-4235-8E28-C4CAA641561C}">
    <text>Assume $50/door</text>
  </threadedComment>
  <threadedComment ref="I26" dT="2020-06-14T20:14:14.81" personId="{7FB89BC3-5449-46D1-9E6D-B2DEFD39A947}" id="{53C94341-10E0-490D-B1A5-B80ACEFBE078}">
    <text>Assume $140 average</text>
  </threadedComment>
</ThreadedComments>
</file>

<file path=xl/threadedComments/threadedComment17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6FA60D4-AB6B-422E-A57A-99B9C4C6BC8C}">
    <text>Assume $90/unit/mth if paid by Landlord</text>
  </threadedComment>
  <threadedComment ref="I24" dT="2020-08-19T10:46:08.34" personId="{7FB89BC3-5449-46D1-9E6D-B2DEFD39A947}" id="{847CAF39-9CAE-45EB-8550-D450AEB96364}">
    <text>Assume $70/unit/mth if covered by landlord</text>
  </threadedComment>
  <threadedComment ref="I25" dT="2020-06-14T20:15:08.26" personId="{7FB89BC3-5449-46D1-9E6D-B2DEFD39A947}" id="{3121DE18-46E7-49BB-9D60-F2D4CE37EF2F}">
    <text>Assume $50/door</text>
  </threadedComment>
  <threadedComment ref="I26" dT="2020-06-14T20:14:14.81" personId="{7FB89BC3-5449-46D1-9E6D-B2DEFD39A947}" id="{F9D578A9-CC39-41C7-9260-0078BDF17830}">
    <text>Assume $140 average</text>
  </threadedComment>
</ThreadedComments>
</file>

<file path=xl/threadedComments/threadedComment17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BE899AFE-E361-4E3C-A9FC-9BD87A93663E}">
    <text>Assume $90/unit/mth if paid by Landlord</text>
  </threadedComment>
  <threadedComment ref="I24" dT="2020-08-19T10:46:08.34" personId="{7FB89BC3-5449-46D1-9E6D-B2DEFD39A947}" id="{8D5B7EF0-BB45-47B6-948E-6F17DDA42F45}">
    <text>Assume $70/unit/mth if covered by landlord</text>
  </threadedComment>
  <threadedComment ref="I25" dT="2020-06-14T20:15:08.26" personId="{7FB89BC3-5449-46D1-9E6D-B2DEFD39A947}" id="{1670F29F-35D0-4A47-90B9-3C5633B2873A}">
    <text>Assume $50/door</text>
  </threadedComment>
  <threadedComment ref="I26" dT="2020-06-14T20:14:14.81" personId="{7FB89BC3-5449-46D1-9E6D-B2DEFD39A947}" id="{D915B659-E351-47B9-8AD5-87C53F8A2363}">
    <text>Assume $140 average</text>
  </threadedComment>
</ThreadedComments>
</file>

<file path=xl/threadedComments/threadedComment17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93841B2C-FB60-45AD-8C59-A7D133EA3E39}">
    <text>Assume $90/unit/mth if paid by Landlord</text>
  </threadedComment>
  <threadedComment ref="I24" dT="2020-08-19T10:46:08.34" personId="{7FB89BC3-5449-46D1-9E6D-B2DEFD39A947}" id="{A8A03771-7060-4F70-A01B-2D14939D9197}">
    <text>Assume $70/unit/mth if covered by landlord</text>
  </threadedComment>
  <threadedComment ref="I25" dT="2020-06-14T20:15:08.26" personId="{7FB89BC3-5449-46D1-9E6D-B2DEFD39A947}" id="{D54C0327-A870-4DC4-976E-BF3C06743BF7}">
    <text>Assume $50/door</text>
  </threadedComment>
  <threadedComment ref="I26" dT="2020-06-14T20:14:14.81" personId="{7FB89BC3-5449-46D1-9E6D-B2DEFD39A947}" id="{1AC3F1EB-8D68-4A56-B1D0-B667241543FE}">
    <text>Assume $140 average</text>
  </threadedComment>
</ThreadedComments>
</file>

<file path=xl/threadedComments/threadedComment18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A60826D-F60D-44AF-9C2F-165336BCE294}">
    <text>Assume $90/unit/mth if paid by Landlord</text>
  </threadedComment>
  <threadedComment ref="I24" dT="2020-08-19T10:46:08.34" personId="{7FB89BC3-5449-46D1-9E6D-B2DEFD39A947}" id="{C67BF09A-693E-4707-9E4F-A5713EB36F38}">
    <text>Assume $70/unit/mth if covered by landlord</text>
  </threadedComment>
  <threadedComment ref="I25" dT="2020-06-14T20:15:08.26" personId="{7FB89BC3-5449-46D1-9E6D-B2DEFD39A947}" id="{5C306DE1-2053-45D6-8B87-DF9E3A87978D}">
    <text>Assume $50/door</text>
  </threadedComment>
  <threadedComment ref="I26" dT="2020-06-14T20:14:14.81" personId="{7FB89BC3-5449-46D1-9E6D-B2DEFD39A947}" id="{6C68C667-4395-4F58-883E-25AD9E914BDA}">
    <text>Assume $140 average</text>
  </threadedComment>
</ThreadedComments>
</file>

<file path=xl/threadedComments/threadedComment18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BCF0E688-468E-4E25-8442-EC2057A1E093}">
    <text>Assume $90/unit/mth if paid by Landlord</text>
  </threadedComment>
  <threadedComment ref="I24" dT="2020-08-19T10:46:08.34" personId="{7FB89BC3-5449-46D1-9E6D-B2DEFD39A947}" id="{3F5A282D-69B0-4DA6-9B55-51F4A545125F}">
    <text>Assume $70/unit/mth if covered by landlord</text>
  </threadedComment>
  <threadedComment ref="I25" dT="2020-06-14T20:15:08.26" personId="{7FB89BC3-5449-46D1-9E6D-B2DEFD39A947}" id="{80B58121-D9BE-436F-81E8-3D0025CE04AD}">
    <text>Assume $50/door</text>
  </threadedComment>
  <threadedComment ref="I26" dT="2020-06-14T20:14:14.81" personId="{7FB89BC3-5449-46D1-9E6D-B2DEFD39A947}" id="{BA659C71-BDC0-42D8-9783-5D84690A79CB}">
    <text>Assume $140 average</text>
  </threadedComment>
</ThreadedComments>
</file>

<file path=xl/threadedComments/threadedComment18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6DA2AE6-63A1-46FB-BF29-151D174BE8AD}">
    <text>Assume $90/unit/mth if paid by Landlord</text>
  </threadedComment>
  <threadedComment ref="I24" dT="2020-08-19T10:46:08.34" personId="{7FB89BC3-5449-46D1-9E6D-B2DEFD39A947}" id="{7CFE2BBA-83B3-4587-A6EC-59DAFBCA61BE}">
    <text>Assume $70/unit/mth if covered by landlord</text>
  </threadedComment>
  <threadedComment ref="I25" dT="2020-06-14T20:15:08.26" personId="{7FB89BC3-5449-46D1-9E6D-B2DEFD39A947}" id="{1993FC8E-0353-46FF-9C35-F262220F63B4}">
    <text>Assume $50/door</text>
  </threadedComment>
  <threadedComment ref="I26" dT="2020-06-14T20:14:14.81" personId="{7FB89BC3-5449-46D1-9E6D-B2DEFD39A947}" id="{2037E0D1-769E-4703-9567-15918001BBBF}">
    <text>Assume $140 average</text>
  </threadedComment>
</ThreadedComments>
</file>

<file path=xl/threadedComments/threadedComment18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1722C05C-67A8-47A9-8E34-277008F1DDAE}">
    <text>Assume $90/unit/mth if paid by Landlord</text>
  </threadedComment>
  <threadedComment ref="I24" dT="2020-08-19T10:46:08.34" personId="{7FB89BC3-5449-46D1-9E6D-B2DEFD39A947}" id="{DF7AFD9E-A7FB-4AA1-9DF7-501C7CAC6919}">
    <text>Assume $70/unit/mth if covered by landlord</text>
  </threadedComment>
  <threadedComment ref="I25" dT="2020-06-14T20:15:08.26" personId="{7FB89BC3-5449-46D1-9E6D-B2DEFD39A947}" id="{346A5F47-062B-45DB-9E96-F5B192CFAC87}">
    <text>Assume $50/door</text>
  </threadedComment>
  <threadedComment ref="I26" dT="2020-06-14T20:14:14.81" personId="{7FB89BC3-5449-46D1-9E6D-B2DEFD39A947}" id="{3560D7E8-53B4-43D1-998A-CF36A96614D1}">
    <text>Assume $140 average</text>
  </threadedComment>
</ThreadedComments>
</file>

<file path=xl/threadedComments/threadedComment18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BFA4A81E-3F81-44EB-B118-A745B452780C}">
    <text>Assume $90/unit/mth if paid by Landlord</text>
  </threadedComment>
  <threadedComment ref="I24" dT="2020-08-19T10:46:08.34" personId="{7FB89BC3-5449-46D1-9E6D-B2DEFD39A947}" id="{68054D72-E224-4648-A133-B9D3499BA506}">
    <text>Assume $70/unit/mth if covered by landlord</text>
  </threadedComment>
  <threadedComment ref="I25" dT="2020-06-14T20:15:08.26" personId="{7FB89BC3-5449-46D1-9E6D-B2DEFD39A947}" id="{270169D4-C90C-44F1-920A-42E661699A77}">
    <text>Assume $50/door</text>
  </threadedComment>
  <threadedComment ref="I26" dT="2020-06-14T20:14:14.81" personId="{7FB89BC3-5449-46D1-9E6D-B2DEFD39A947}" id="{64839EE9-A9B7-48C8-9102-05E6C09B9E09}">
    <text>Assume $140 average</text>
  </threadedComment>
</ThreadedComments>
</file>

<file path=xl/threadedComments/threadedComment18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1487EC85-BAA0-41BC-BD58-B45EA911C53C}">
    <text>Assume $90/unit/mth if paid by Landlord</text>
  </threadedComment>
  <threadedComment ref="I24" dT="2020-08-19T10:46:08.34" personId="{7FB89BC3-5449-46D1-9E6D-B2DEFD39A947}" id="{9070D953-D292-4654-90E2-4F1AF6954B2D}">
    <text>Assume $70/unit/mth if covered by landlord</text>
  </threadedComment>
  <threadedComment ref="I25" dT="2020-06-14T20:15:08.26" personId="{7FB89BC3-5449-46D1-9E6D-B2DEFD39A947}" id="{5458BD66-6019-4843-9912-3BB3988DB7D9}">
    <text>Assume $50/door</text>
  </threadedComment>
  <threadedComment ref="I26" dT="2020-06-14T20:14:14.81" personId="{7FB89BC3-5449-46D1-9E6D-B2DEFD39A947}" id="{4DEE1444-04E0-4E50-A584-D62033E434EE}">
    <text>Assume $140 average</text>
  </threadedComment>
</ThreadedComments>
</file>

<file path=xl/threadedComments/threadedComment18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04DBE1DB-49C5-43CC-8185-E55D9A7BB84E}">
    <text>Assume $90/unit/mth if paid by Landlord</text>
  </threadedComment>
  <threadedComment ref="I24" dT="2020-08-19T10:46:08.34" personId="{7FB89BC3-5449-46D1-9E6D-B2DEFD39A947}" id="{734272E1-1FBE-48CC-A1FA-D8F3AD811416}">
    <text>Assume $70/unit/mth if covered by landlord</text>
  </threadedComment>
  <threadedComment ref="I25" dT="2020-06-14T20:15:08.26" personId="{7FB89BC3-5449-46D1-9E6D-B2DEFD39A947}" id="{AA0667C8-BC2D-44BA-A46B-DA6C29E9004A}">
    <text>Assume $50/door</text>
  </threadedComment>
  <threadedComment ref="I26" dT="2020-06-14T20:14:14.81" personId="{7FB89BC3-5449-46D1-9E6D-B2DEFD39A947}" id="{7646575C-130E-43FE-849C-13C7383BDFA5}">
    <text>Assume $140 average</text>
  </threadedComment>
</ThreadedComments>
</file>

<file path=xl/threadedComments/threadedComment18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F8A867E-F4EB-42C4-AB14-88D9D4A091C5}">
    <text>Assume $90/unit/mth if paid by Landlord</text>
  </threadedComment>
  <threadedComment ref="I24" dT="2020-08-19T10:46:08.34" personId="{7FB89BC3-5449-46D1-9E6D-B2DEFD39A947}" id="{FF91065E-BB3A-40DE-952E-1A58BA8995C4}">
    <text>Assume $70/unit/mth if covered by landlord</text>
  </threadedComment>
  <threadedComment ref="I25" dT="2020-06-14T20:15:08.26" personId="{7FB89BC3-5449-46D1-9E6D-B2DEFD39A947}" id="{214F0CEC-6801-4CAC-8F57-6C5A402803A3}">
    <text>Assume $50/door</text>
  </threadedComment>
  <threadedComment ref="I26" dT="2020-06-14T20:14:14.81" personId="{7FB89BC3-5449-46D1-9E6D-B2DEFD39A947}" id="{776138AF-F0E5-48D9-85D4-4F5355121716}">
    <text>Assume $140 average</text>
  </threadedComment>
</ThreadedComments>
</file>

<file path=xl/threadedComments/threadedComment18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BA394E20-E09D-4771-AEDB-349035FCF334}">
    <text>Assume $90/unit/mth if paid by Landlord</text>
  </threadedComment>
  <threadedComment ref="I24" dT="2020-08-19T10:46:08.34" personId="{7FB89BC3-5449-46D1-9E6D-B2DEFD39A947}" id="{1E700D9F-50B5-4157-BA19-0F3ECE3A5848}">
    <text>Assume $70/unit/mth if covered by landlord</text>
  </threadedComment>
  <threadedComment ref="I25" dT="2020-06-14T20:15:08.26" personId="{7FB89BC3-5449-46D1-9E6D-B2DEFD39A947}" id="{A840EFD2-1EE4-4050-B909-A6A43A08C293}">
    <text>Assume $50/door</text>
  </threadedComment>
  <threadedComment ref="I26" dT="2020-06-14T20:14:14.81" personId="{7FB89BC3-5449-46D1-9E6D-B2DEFD39A947}" id="{B7E8A89F-2342-40B7-BF97-C11542C1ADF5}">
    <text>Assume $140 average</text>
  </threadedComment>
</ThreadedComments>
</file>

<file path=xl/threadedComments/threadedComment18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718A267-EDEC-48DD-AF53-0DAEACBB7F9E}">
    <text>Assume $90/unit/mth if paid by Landlord</text>
  </threadedComment>
  <threadedComment ref="I24" dT="2020-08-19T10:46:08.34" personId="{7FB89BC3-5449-46D1-9E6D-B2DEFD39A947}" id="{BD7BE460-0AF3-4CF9-AEA9-3B4815C0388B}">
    <text>Assume $70/unit/mth if covered by landlord</text>
  </threadedComment>
  <threadedComment ref="I25" dT="2020-06-14T20:15:08.26" personId="{7FB89BC3-5449-46D1-9E6D-B2DEFD39A947}" id="{19F6B44F-34F0-4A55-9CE7-BBD003C3803A}">
    <text>Assume $50/door</text>
  </threadedComment>
  <threadedComment ref="I26" dT="2020-06-14T20:14:14.81" personId="{7FB89BC3-5449-46D1-9E6D-B2DEFD39A947}" id="{BCEB0DDD-F405-4BC3-A5B8-BF469A9ACC9C}">
    <text>Assume $140 average</text>
  </threadedComment>
</ThreadedComments>
</file>

<file path=xl/threadedComments/threadedComment19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AC62A4A-EC1E-40FB-A76D-BFF818871C4F}">
    <text>Assume $90/unit/mth if paid by Landlord</text>
  </threadedComment>
  <threadedComment ref="I24" dT="2020-08-19T10:46:08.34" personId="{7FB89BC3-5449-46D1-9E6D-B2DEFD39A947}" id="{2EE89012-A675-4331-98B6-40996F830059}">
    <text>Assume $70/unit/mth if covered by landlord</text>
  </threadedComment>
  <threadedComment ref="I25" dT="2020-06-14T20:15:08.26" personId="{7FB89BC3-5449-46D1-9E6D-B2DEFD39A947}" id="{0782B992-F332-4ABC-B36C-B35020757677}">
    <text>Assume $50/door</text>
  </threadedComment>
  <threadedComment ref="I26" dT="2020-06-14T20:14:14.81" personId="{7FB89BC3-5449-46D1-9E6D-B2DEFD39A947}" id="{E89A2888-13DD-4C8B-AEE1-1F698C460994}">
    <text>Assume $140 average</text>
  </threadedComment>
</ThreadedComments>
</file>

<file path=xl/threadedComments/threadedComment19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631F72FD-B82E-4121-8489-7A74A89D6294}">
    <text>Assume $90/unit/mth if paid by Landlord</text>
  </threadedComment>
  <threadedComment ref="I24" dT="2020-08-19T10:46:08.34" personId="{7FB89BC3-5449-46D1-9E6D-B2DEFD39A947}" id="{F897397C-2471-4AEF-A470-925AAA8187AF}">
    <text>Assume $70/unit/mth if covered by landlord</text>
  </threadedComment>
  <threadedComment ref="I25" dT="2020-06-14T20:15:08.26" personId="{7FB89BC3-5449-46D1-9E6D-B2DEFD39A947}" id="{FE6CD4F5-F491-46CC-B189-AF2F4EA1A8B7}">
    <text>Assume $50/door</text>
  </threadedComment>
  <threadedComment ref="I26" dT="2020-06-14T20:14:14.81" personId="{7FB89BC3-5449-46D1-9E6D-B2DEFD39A947}" id="{15627998-82AE-4079-B97A-22A87BA8E8DE}">
    <text>Assume $140 average</text>
  </threadedComment>
</ThreadedComments>
</file>

<file path=xl/threadedComments/threadedComment19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41BA7A7-7A4F-48A4-A1D7-E8045DA843D1}">
    <text>Assume $90/unit/mth if paid by Landlord</text>
  </threadedComment>
  <threadedComment ref="I24" dT="2020-08-19T10:46:08.34" personId="{7FB89BC3-5449-46D1-9E6D-B2DEFD39A947}" id="{402B93C1-19C6-412F-BA8D-3C182FA80F5C}">
    <text>Assume $70/unit/mth if covered by landlord</text>
  </threadedComment>
  <threadedComment ref="I25" dT="2020-06-14T20:15:08.26" personId="{7FB89BC3-5449-46D1-9E6D-B2DEFD39A947}" id="{8A89AEF9-D0D9-4514-BE69-8D42AE0D8B81}">
    <text>Assume $50/door</text>
  </threadedComment>
  <threadedComment ref="I26" dT="2020-06-14T20:14:14.81" personId="{7FB89BC3-5449-46D1-9E6D-B2DEFD39A947}" id="{48492C02-45A2-45F0-BA63-24C23BDC7A8D}">
    <text>Assume $140 average</text>
  </threadedComment>
</ThreadedComments>
</file>

<file path=xl/threadedComments/threadedComment19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BB9B1D81-258E-4D30-9123-0A037D4C51FD}">
    <text>Assume $90/unit/mth if paid by Landlord</text>
  </threadedComment>
  <threadedComment ref="I24" dT="2020-08-19T10:46:08.34" personId="{7FB89BC3-5449-46D1-9E6D-B2DEFD39A947}" id="{F0077307-6913-4E1B-BC76-45B497DE7B9A}">
    <text>Assume $70/unit/mth if covered by landlord</text>
  </threadedComment>
  <threadedComment ref="I25" dT="2020-06-14T20:15:08.26" personId="{7FB89BC3-5449-46D1-9E6D-B2DEFD39A947}" id="{2AEC0742-2DB8-4962-88BA-D8D39F4472BF}">
    <text>Assume $50/door</text>
  </threadedComment>
  <threadedComment ref="I26" dT="2020-06-14T20:14:14.81" personId="{7FB89BC3-5449-46D1-9E6D-B2DEFD39A947}" id="{2262278A-E5E5-4503-8D14-C9D22C210205}">
    <text>Assume $140 average</text>
  </threadedComment>
</ThreadedComments>
</file>

<file path=xl/threadedComments/threadedComment19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23D1EBFF-03C6-4007-A63A-2C56AD3F7EFE}">
    <text>Assume $90/unit/mth if paid by Landlord</text>
  </threadedComment>
  <threadedComment ref="I24" dT="2020-08-19T10:46:08.34" personId="{7FB89BC3-5449-46D1-9E6D-B2DEFD39A947}" id="{2099EFDB-B1A6-411A-AFF5-8D4444DEF61F}">
    <text>Assume $70/unit/mth if covered by landlord</text>
  </threadedComment>
  <threadedComment ref="I25" dT="2020-06-14T20:15:08.26" personId="{7FB89BC3-5449-46D1-9E6D-B2DEFD39A947}" id="{396195D8-02DC-4656-AFDB-D5CAB358727E}">
    <text>Assume $50/door</text>
  </threadedComment>
  <threadedComment ref="I26" dT="2020-06-14T20:14:14.81" personId="{7FB89BC3-5449-46D1-9E6D-B2DEFD39A947}" id="{ED5E76DA-AB05-4460-B271-040ECE8FF59D}">
    <text>Assume $140 average</text>
  </threadedComment>
</ThreadedComments>
</file>

<file path=xl/threadedComments/threadedComment19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3D6D8E6-4D2F-4C26-A0C5-5A715C7AFDF6}">
    <text>Assume $90/unit/mth if paid by Landlord</text>
  </threadedComment>
  <threadedComment ref="I24" dT="2020-08-19T10:46:08.34" personId="{7FB89BC3-5449-46D1-9E6D-B2DEFD39A947}" id="{88FBFA17-A82E-48E5-A6BE-3CACB7C88D35}">
    <text>Assume $70/unit/mth if covered by landlord</text>
  </threadedComment>
  <threadedComment ref="I25" dT="2020-06-14T20:15:08.26" personId="{7FB89BC3-5449-46D1-9E6D-B2DEFD39A947}" id="{317B16C9-97D9-4C13-8EE4-7DDD782B6EC4}">
    <text>Assume $50/door</text>
  </threadedComment>
  <threadedComment ref="I26" dT="2020-06-14T20:14:14.81" personId="{7FB89BC3-5449-46D1-9E6D-B2DEFD39A947}" id="{F6C583CA-2BF9-4267-80EB-4C669B105276}">
    <text>Assume $140 average</text>
  </threadedComment>
</ThreadedComments>
</file>

<file path=xl/threadedComments/threadedComment19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5E9A42F-A138-4C12-8520-3C05D075A2C3}">
    <text>Assume $90/unit/mth if paid by Landlord</text>
  </threadedComment>
  <threadedComment ref="I24" dT="2020-08-19T10:46:08.34" personId="{7FB89BC3-5449-46D1-9E6D-B2DEFD39A947}" id="{AED51B80-D566-4650-BC49-5715D6250C08}">
    <text>Assume $70/unit/mth if covered by landlord</text>
  </threadedComment>
  <threadedComment ref="I25" dT="2020-06-14T20:15:08.26" personId="{7FB89BC3-5449-46D1-9E6D-B2DEFD39A947}" id="{6E520546-B478-4BCD-AE49-62F8824B81F4}">
    <text>Assume $50/door</text>
  </threadedComment>
  <threadedComment ref="I26" dT="2020-06-14T20:14:14.81" personId="{7FB89BC3-5449-46D1-9E6D-B2DEFD39A947}" id="{0A840E33-0092-45E1-A114-7CE1DD45C403}">
    <text>Assume $140 average</text>
  </threadedComment>
</ThreadedComments>
</file>

<file path=xl/threadedComments/threadedComment19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F2B58755-D853-40BD-9245-6C5D14EC8F11}">
    <text>Assume $90/unit/mth if paid by Landlord</text>
  </threadedComment>
  <threadedComment ref="I24" dT="2020-08-19T10:46:08.34" personId="{7FB89BC3-5449-46D1-9E6D-B2DEFD39A947}" id="{9E95DCCD-01E2-4547-AE65-817312AE265A}">
    <text>Assume $70/unit/mth if covered by landlord</text>
  </threadedComment>
  <threadedComment ref="I25" dT="2020-06-14T20:15:08.26" personId="{7FB89BC3-5449-46D1-9E6D-B2DEFD39A947}" id="{D355F6ED-58C4-440E-831F-A2D56DD13485}">
    <text>Assume $50/door</text>
  </threadedComment>
  <threadedComment ref="I26" dT="2020-06-14T20:14:14.81" personId="{7FB89BC3-5449-46D1-9E6D-B2DEFD39A947}" id="{0011B664-1D83-451D-B86D-53D9717A9417}">
    <text>Assume $140 average</text>
  </threadedComment>
</ThreadedComments>
</file>

<file path=xl/threadedComments/threadedComment19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BC11B43-91C4-4642-8919-52F5FA4F6EBC}">
    <text>Assume $90/unit/mth if paid by Landlord</text>
  </threadedComment>
  <threadedComment ref="I24" dT="2020-08-19T10:46:08.34" personId="{7FB89BC3-5449-46D1-9E6D-B2DEFD39A947}" id="{4EE96C6C-543A-46BB-8C37-0F6E00078181}">
    <text>Assume $70/unit/mth if covered by landlord</text>
  </threadedComment>
  <threadedComment ref="I25" dT="2020-06-14T20:15:08.26" personId="{7FB89BC3-5449-46D1-9E6D-B2DEFD39A947}" id="{96039E52-0A0A-4D1C-AE43-E8EE96B38307}">
    <text>Assume $50/door</text>
  </threadedComment>
  <threadedComment ref="I26" dT="2020-06-14T20:14:14.81" personId="{7FB89BC3-5449-46D1-9E6D-B2DEFD39A947}" id="{8194EE1B-CAF9-405D-AF5D-FCD3883871ED}">
    <text>Assume $140 average</text>
  </threadedComment>
</ThreadedComments>
</file>

<file path=xl/threadedComments/threadedComment19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CC13ACD8-45D4-4B2C-9D7B-BF3ADC3FDE90}">
    <text>Assume $90/unit/mth if paid by Landlord</text>
  </threadedComment>
  <threadedComment ref="I24" dT="2020-08-19T10:46:08.34" personId="{7FB89BC3-5449-46D1-9E6D-B2DEFD39A947}" id="{9951781E-904F-4748-96F8-853FD384AA7D}">
    <text>Assume $70/unit/mth if covered by landlord</text>
  </threadedComment>
  <threadedComment ref="I25" dT="2020-06-14T20:15:08.26" personId="{7FB89BC3-5449-46D1-9E6D-B2DEFD39A947}" id="{923C47D5-1836-4B1E-9805-97E2B4E1D7A7}">
    <text>Assume $50/door</text>
  </threadedComment>
  <threadedComment ref="I26" dT="2020-06-14T20:14:14.81" personId="{7FB89BC3-5449-46D1-9E6D-B2DEFD39A947}" id="{ECA67E62-B345-4CF7-ABC7-03F247EB0CD4}">
    <text>Assume $140 average</text>
  </threadedComment>
</ThreadedComments>
</file>

<file path=xl/threadedComments/threadedComment20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7DD48045-716E-46DF-B2A6-3510071B89B7}">
    <text>Assume $90/unit/mth if paid by Landlord</text>
  </threadedComment>
  <threadedComment ref="I24" dT="2020-08-19T10:46:08.34" personId="{7FB89BC3-5449-46D1-9E6D-B2DEFD39A947}" id="{DD398D47-DEDA-4D7B-9087-9679C2C94A55}">
    <text>Assume $70/unit/mth if covered by landlord</text>
  </threadedComment>
  <threadedComment ref="I25" dT="2020-06-14T20:15:08.26" personId="{7FB89BC3-5449-46D1-9E6D-B2DEFD39A947}" id="{B9C743F7-62BA-480A-AD9D-92E974516871}">
    <text>Assume $50/door</text>
  </threadedComment>
  <threadedComment ref="I26" dT="2020-06-14T20:14:14.81" personId="{7FB89BC3-5449-46D1-9E6D-B2DEFD39A947}" id="{4E9305AC-C2D2-43AE-AA82-E667443464CB}">
    <text>Assume $140 average</text>
  </threadedComment>
</ThreadedComments>
</file>

<file path=xl/threadedComments/threadedComment20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5D7A46C-A67B-4267-93FB-FC2D0E56781D}">
    <text>Assume $90/unit/mth if paid by Landlord</text>
  </threadedComment>
  <threadedComment ref="I24" dT="2020-08-19T10:46:08.34" personId="{7FB89BC3-5449-46D1-9E6D-B2DEFD39A947}" id="{B5F9A0E1-B619-48D9-A024-1B8E714E4825}">
    <text>Assume $70/unit/mth if covered by landlord</text>
  </threadedComment>
  <threadedComment ref="I25" dT="2020-06-14T20:15:08.26" personId="{7FB89BC3-5449-46D1-9E6D-B2DEFD39A947}" id="{0CD3760C-BB0B-40C2-95BC-3CDF4E5C3D54}">
    <text>Assume $50/door</text>
  </threadedComment>
  <threadedComment ref="I26" dT="2020-06-14T20:14:14.81" personId="{7FB89BC3-5449-46D1-9E6D-B2DEFD39A947}" id="{9F5810E7-36A3-41D8-AFE5-1AEDCDE7A7ED}">
    <text>Assume $140 average</text>
  </threadedComment>
</ThreadedComments>
</file>

<file path=xl/threadedComments/threadedComment20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F3E67899-D68E-41A2-8FC9-AEA3CCF03828}">
    <text>Assume $90/unit/mth if paid by Landlord</text>
  </threadedComment>
  <threadedComment ref="I24" dT="2020-08-19T10:46:08.34" personId="{7FB89BC3-5449-46D1-9E6D-B2DEFD39A947}" id="{A3C7AAEF-924C-4054-8E78-1BB0871DE043}">
    <text>Assume $70/unit/mth if covered by landlord</text>
  </threadedComment>
  <threadedComment ref="I25" dT="2020-06-14T20:15:08.26" personId="{7FB89BC3-5449-46D1-9E6D-B2DEFD39A947}" id="{E5C72956-EECB-4F42-964A-03352A3FC8B8}">
    <text>Assume $50/door</text>
  </threadedComment>
  <threadedComment ref="I26" dT="2020-06-14T20:14:14.81" personId="{7FB89BC3-5449-46D1-9E6D-B2DEFD39A947}" id="{03FC9DEA-30D6-40A2-9E81-A3EFDA6CCBA4}">
    <text>Assume $140 average</text>
  </threadedComment>
</ThreadedComments>
</file>

<file path=xl/threadedComments/threadedComment20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929B4EE-8CFA-41F2-8C36-E52742ECD068}">
    <text>Assume $90/unit/mth if paid by Landlord</text>
  </threadedComment>
  <threadedComment ref="I24" dT="2020-08-19T10:46:08.34" personId="{7FB89BC3-5449-46D1-9E6D-B2DEFD39A947}" id="{F306D9A5-F0BE-458D-B6AD-850EC451D40B}">
    <text>Assume $70/unit/mth if covered by landlord</text>
  </threadedComment>
  <threadedComment ref="I25" dT="2020-06-14T20:15:08.26" personId="{7FB89BC3-5449-46D1-9E6D-B2DEFD39A947}" id="{07EC5E65-0103-4384-A171-32BAE658ED1C}">
    <text>Assume $50/door</text>
  </threadedComment>
  <threadedComment ref="I26" dT="2020-06-14T20:14:14.81" personId="{7FB89BC3-5449-46D1-9E6D-B2DEFD39A947}" id="{2B227751-1891-4602-A4DA-CF550D385CDF}">
    <text>Assume $140 average</text>
  </threadedComment>
</ThreadedComments>
</file>

<file path=xl/threadedComments/threadedComment20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49C91B9-1ECB-4E43-B034-A4D7F033EF81}">
    <text>Assume $90/unit/mth if paid by Landlord</text>
  </threadedComment>
  <threadedComment ref="I24" dT="2020-08-19T10:46:08.34" personId="{7FB89BC3-5449-46D1-9E6D-B2DEFD39A947}" id="{9E27B796-3106-4B26-B4B8-674841AEF3A8}">
    <text>Assume $70/unit/mth if covered by landlord</text>
  </threadedComment>
  <threadedComment ref="I25" dT="2020-06-14T20:15:08.26" personId="{7FB89BC3-5449-46D1-9E6D-B2DEFD39A947}" id="{1770E706-FAA1-4A24-AF74-808FC21D9384}">
    <text>Assume $50/door</text>
  </threadedComment>
  <threadedComment ref="I26" dT="2020-06-14T20:14:14.81" personId="{7FB89BC3-5449-46D1-9E6D-B2DEFD39A947}" id="{9F872FC4-C964-4200-A63E-D625D91F9508}">
    <text>Assume $140 average</text>
  </threadedComment>
</ThreadedComments>
</file>

<file path=xl/threadedComments/threadedComment20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9FBD3EA8-3B23-48E4-88FB-E9A584270645}">
    <text>Assume $90/unit/mth if paid by Landlord</text>
  </threadedComment>
  <threadedComment ref="I24" dT="2020-08-19T10:46:08.34" personId="{7FB89BC3-5449-46D1-9E6D-B2DEFD39A947}" id="{229AB667-B59F-4143-8490-03ED39279E7E}">
    <text>Assume $70/unit/mth if covered by landlord</text>
  </threadedComment>
  <threadedComment ref="I25" dT="2020-06-14T20:15:08.26" personId="{7FB89BC3-5449-46D1-9E6D-B2DEFD39A947}" id="{E1BAA653-3BAD-4EEC-B26E-B6438E0326B2}">
    <text>Assume $50/door</text>
  </threadedComment>
  <threadedComment ref="I26" dT="2020-06-14T20:14:14.81" personId="{7FB89BC3-5449-46D1-9E6D-B2DEFD39A947}" id="{B9C09819-B3BE-4961-BF33-FE800775AAE3}">
    <text>Assume $140 average</text>
  </threadedComment>
</ThreadedComments>
</file>

<file path=xl/threadedComments/threadedComment20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C91E0DD-22E6-4036-AA64-6B30D2C69B9D}">
    <text>Assume $90/unit/mth if paid by Landlord</text>
  </threadedComment>
  <threadedComment ref="I24" dT="2020-08-19T10:46:08.34" personId="{7FB89BC3-5449-46D1-9E6D-B2DEFD39A947}" id="{B267A68A-D447-47D4-8FC2-AF41CD37C308}">
    <text>Assume $70/unit/mth if covered by landlord</text>
  </threadedComment>
  <threadedComment ref="I25" dT="2020-06-14T20:15:08.26" personId="{7FB89BC3-5449-46D1-9E6D-B2DEFD39A947}" id="{A47E86D9-BD64-4378-BFBA-E4C11CAC75FF}">
    <text>Assume $50/door</text>
  </threadedComment>
  <threadedComment ref="I26" dT="2020-06-14T20:14:14.81" personId="{7FB89BC3-5449-46D1-9E6D-B2DEFD39A947}" id="{533D7670-116D-45CE-AC7C-408A01324B31}">
    <text>Assume $140 average</text>
  </threadedComment>
</ThreadedComments>
</file>

<file path=xl/threadedComments/threadedComment20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AEE0BAD7-168F-4129-91EE-25E9AED00A38}">
    <text>Assume $90/unit/mth if paid by Landlord</text>
  </threadedComment>
  <threadedComment ref="I24" dT="2020-08-19T10:46:08.34" personId="{7FB89BC3-5449-46D1-9E6D-B2DEFD39A947}" id="{1528C2C9-2D4D-4467-8797-2F3A815A8481}">
    <text>Assume $70/unit/mth if covered by landlord</text>
  </threadedComment>
  <threadedComment ref="I25" dT="2020-06-14T20:15:08.26" personId="{7FB89BC3-5449-46D1-9E6D-B2DEFD39A947}" id="{4C71DCD0-87C5-46BA-856A-175DEA8FD5E8}">
    <text>Assume $50/door</text>
  </threadedComment>
  <threadedComment ref="I26" dT="2020-06-14T20:14:14.81" personId="{7FB89BC3-5449-46D1-9E6D-B2DEFD39A947}" id="{7DCA27DC-B927-434F-9EDC-46130142A41F}">
    <text>Assume $140 average</text>
  </threadedComment>
</ThreadedComments>
</file>

<file path=xl/threadedComments/threadedComment20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72B9B2FA-6333-4D55-A166-5B0B248F40D5}">
    <text>Assume $90/unit/mth if paid by Landlord</text>
  </threadedComment>
  <threadedComment ref="I24" dT="2020-08-19T10:46:08.34" personId="{7FB89BC3-5449-46D1-9E6D-B2DEFD39A947}" id="{2BC08D13-3477-4479-83C2-8C36E834D37C}">
    <text>Assume $70/unit/mth if covered by landlord</text>
  </threadedComment>
  <threadedComment ref="I25" dT="2020-06-14T20:15:08.26" personId="{7FB89BC3-5449-46D1-9E6D-B2DEFD39A947}" id="{2153E780-AD56-44EB-9102-40E38BC63C89}">
    <text>Assume $50/door</text>
  </threadedComment>
  <threadedComment ref="I26" dT="2020-06-14T20:14:14.81" personId="{7FB89BC3-5449-46D1-9E6D-B2DEFD39A947}" id="{97E97678-2B98-42BA-AC4E-CB6A26FDF1DD}">
    <text>Assume $140 average</text>
  </threadedComment>
</ThreadedComments>
</file>

<file path=xl/threadedComments/threadedComment20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52D84A5A-648C-4B92-991E-B18856612C64}">
    <text>Assume $90/unit/mth if paid by Landlord</text>
  </threadedComment>
  <threadedComment ref="I24" dT="2020-08-19T10:46:08.34" personId="{7FB89BC3-5449-46D1-9E6D-B2DEFD39A947}" id="{3931DB73-5715-411B-A73E-86FEB83A5D89}">
    <text>Assume $70/unit/mth if covered by landlord</text>
  </threadedComment>
  <threadedComment ref="I25" dT="2020-06-14T20:15:08.26" personId="{7FB89BC3-5449-46D1-9E6D-B2DEFD39A947}" id="{196EEB06-76CA-43CC-917A-BC74CFC078ED}">
    <text>Assume $50/door</text>
  </threadedComment>
  <threadedComment ref="I26" dT="2020-06-14T20:14:14.81" personId="{7FB89BC3-5449-46D1-9E6D-B2DEFD39A947}" id="{B647E92C-C07C-4392-B4B6-2525B4A3BBE9}">
    <text>Assume $140 average</text>
  </threadedComment>
</ThreadedComments>
</file>

<file path=xl/threadedComments/threadedComment21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77EFD85D-553A-4F5D-A260-1042367DE5D7}">
    <text>Assume $90/unit/mth if paid by Landlord</text>
  </threadedComment>
  <threadedComment ref="I24" dT="2020-08-19T10:46:08.34" personId="{7FB89BC3-5449-46D1-9E6D-B2DEFD39A947}" id="{975B3A77-01F0-4A3B-8B64-86A2EEDAE26E}">
    <text>Assume $70/unit/mth if covered by landlord</text>
  </threadedComment>
  <threadedComment ref="I25" dT="2020-06-14T20:15:08.26" personId="{7FB89BC3-5449-46D1-9E6D-B2DEFD39A947}" id="{2A7D2967-BFF9-4E99-B9C0-630F07686992}">
    <text>Assume $50/door</text>
  </threadedComment>
  <threadedComment ref="I26" dT="2020-06-14T20:14:14.81" personId="{7FB89BC3-5449-46D1-9E6D-B2DEFD39A947}" id="{8BF50199-24E2-4CFF-9264-BA6A855072A0}">
    <text>Assume $140 average</text>
  </threadedComment>
</ThreadedComments>
</file>

<file path=xl/threadedComments/threadedComment21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60C6BA41-187C-4BA3-8F29-FE8BCF888E6E}">
    <text>Assume $90/unit/mth if paid by Landlord</text>
  </threadedComment>
  <threadedComment ref="I24" dT="2020-08-19T10:46:08.34" personId="{7FB89BC3-5449-46D1-9E6D-B2DEFD39A947}" id="{26177A6B-9825-40B2-BEE0-31FA2565BBCA}">
    <text>Assume $70/unit/mth if covered by landlord</text>
  </threadedComment>
  <threadedComment ref="I25" dT="2020-06-14T20:15:08.26" personId="{7FB89BC3-5449-46D1-9E6D-B2DEFD39A947}" id="{231FC687-C82F-4A7E-ADED-001FF83B8B16}">
    <text>Assume $50/door</text>
  </threadedComment>
  <threadedComment ref="I26" dT="2020-06-14T20:14:14.81" personId="{7FB89BC3-5449-46D1-9E6D-B2DEFD39A947}" id="{254A52C9-542D-4E31-BF46-3687FAA993CD}">
    <text>Assume $140 average</text>
  </threadedComment>
</ThreadedComments>
</file>

<file path=xl/threadedComments/threadedComment21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C8448595-4E74-4861-98F6-BB8DFD6804FD}">
    <text>Assume $90/unit/mth if paid by Landlord</text>
  </threadedComment>
  <threadedComment ref="I24" dT="2020-08-19T10:46:08.34" personId="{7FB89BC3-5449-46D1-9E6D-B2DEFD39A947}" id="{61AC0FC3-4D66-43BA-BD93-1BA32092FEE9}">
    <text>Assume $70/unit/mth if covered by landlord</text>
  </threadedComment>
  <threadedComment ref="I25" dT="2020-06-14T20:15:08.26" personId="{7FB89BC3-5449-46D1-9E6D-B2DEFD39A947}" id="{EFD69EE7-EFB6-451B-91D5-301E3EDD6531}">
    <text>Assume $50/door</text>
  </threadedComment>
  <threadedComment ref="I26" dT="2020-06-14T20:14:14.81" personId="{7FB89BC3-5449-46D1-9E6D-B2DEFD39A947}" id="{8B2C3E2F-7E81-4CEC-803C-7DC5CF3B9239}">
    <text>Assume $140 average</text>
  </threadedComment>
</ThreadedComments>
</file>

<file path=xl/threadedComments/threadedComment21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5708C062-A76E-476A-B4E3-27EFA270F184}">
    <text>Assume $90/unit/mth if paid by Landlord</text>
  </threadedComment>
  <threadedComment ref="I24" dT="2020-08-19T10:46:08.34" personId="{7FB89BC3-5449-46D1-9E6D-B2DEFD39A947}" id="{207C24BD-9788-4AEF-998C-8BAF7BE54B45}">
    <text>Assume $70/unit/mth if covered by landlord</text>
  </threadedComment>
  <threadedComment ref="I25" dT="2020-06-14T20:15:08.26" personId="{7FB89BC3-5449-46D1-9E6D-B2DEFD39A947}" id="{71DC15B1-AF25-424A-A3FF-CECE5C1B6793}">
    <text>Assume $50/door</text>
  </threadedComment>
  <threadedComment ref="I26" dT="2020-06-14T20:14:14.81" personId="{7FB89BC3-5449-46D1-9E6D-B2DEFD39A947}" id="{9B2FA1F4-5D4D-4353-B7AA-955288914809}">
    <text>Assume $140 average</text>
  </threadedComment>
</ThreadedComments>
</file>

<file path=xl/threadedComments/threadedComment21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641F5EC9-21D7-45E6-86D6-059559484EBA}">
    <text>Assume $90/unit/mth if paid by Landlord</text>
  </threadedComment>
  <threadedComment ref="I24" dT="2020-08-19T10:46:08.34" personId="{7FB89BC3-5449-46D1-9E6D-B2DEFD39A947}" id="{F481ED15-01A8-49ED-9398-50C9370B6266}">
    <text>Assume $70/unit/mth if covered by landlord</text>
  </threadedComment>
  <threadedComment ref="I25" dT="2020-06-14T20:15:08.26" personId="{7FB89BC3-5449-46D1-9E6D-B2DEFD39A947}" id="{D44892F0-910F-4D31-8F97-F66EA21004BF}">
    <text>Assume $50/door</text>
  </threadedComment>
  <threadedComment ref="I26" dT="2020-06-14T20:14:14.81" personId="{7FB89BC3-5449-46D1-9E6D-B2DEFD39A947}" id="{C8DC07FA-C306-4511-A2F7-874655AFE475}">
    <text>Assume $140 average</text>
  </threadedComment>
</ThreadedComments>
</file>

<file path=xl/threadedComments/threadedComment21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98A7CE1-917A-4B42-A781-9AF641ED7D98}">
    <text>Assume $90/unit/mth if paid by Landlord</text>
  </threadedComment>
  <threadedComment ref="I24" dT="2020-08-19T10:46:08.34" personId="{7FB89BC3-5449-46D1-9E6D-B2DEFD39A947}" id="{C2F44C5F-B827-4C57-AF73-CC57DAE033CF}">
    <text>Assume $70/unit/mth if covered by landlord</text>
  </threadedComment>
  <threadedComment ref="I25" dT="2020-06-14T20:15:08.26" personId="{7FB89BC3-5449-46D1-9E6D-B2DEFD39A947}" id="{EE65E3A0-89E1-4557-B23E-DC732B950AAC}">
    <text>Assume $50/door</text>
  </threadedComment>
  <threadedComment ref="I26" dT="2020-06-14T20:14:14.81" personId="{7FB89BC3-5449-46D1-9E6D-B2DEFD39A947}" id="{7F1CBB9E-6593-4893-BC53-A6F1767B5911}">
    <text>Assume $140 average</text>
  </threadedComment>
</ThreadedComments>
</file>

<file path=xl/threadedComments/threadedComment21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96B647D4-1281-4561-958D-7467EC72F120}">
    <text>Assume $90/unit/mth if paid by Landlord</text>
  </threadedComment>
  <threadedComment ref="I24" dT="2020-08-19T10:46:08.34" personId="{7FB89BC3-5449-46D1-9E6D-B2DEFD39A947}" id="{6277FAE0-3639-4B3A-A681-5321C4BFBFFA}">
    <text>Assume $70/unit/mth if covered by landlord</text>
  </threadedComment>
  <threadedComment ref="I25" dT="2020-06-14T20:15:08.26" personId="{7FB89BC3-5449-46D1-9E6D-B2DEFD39A947}" id="{22CBA997-85B6-48A4-AFB9-8A49C3F55BBB}">
    <text>Assume $50/door</text>
  </threadedComment>
  <threadedComment ref="I26" dT="2020-06-14T20:14:14.81" personId="{7FB89BC3-5449-46D1-9E6D-B2DEFD39A947}" id="{886325A5-5DE9-4DDF-8B3A-8AC76BD7504D}">
    <text>Assume $140 average</text>
  </threadedComment>
</ThreadedComments>
</file>

<file path=xl/threadedComments/threadedComment21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F0EF2B70-5DF6-46D7-B6C2-82403DC154E2}">
    <text>Assume $90/unit/mth if paid by Landlord</text>
  </threadedComment>
  <threadedComment ref="I24" dT="2020-08-19T10:46:08.34" personId="{7FB89BC3-5449-46D1-9E6D-B2DEFD39A947}" id="{878A76A4-C930-4BBD-9EBD-5B0D489F28DB}">
    <text>Assume $70/unit/mth if covered by landlord</text>
  </threadedComment>
  <threadedComment ref="I25" dT="2020-06-14T20:15:08.26" personId="{7FB89BC3-5449-46D1-9E6D-B2DEFD39A947}" id="{798AB35E-B24F-4C29-B4C8-353F27743F91}">
    <text>Assume $50/door</text>
  </threadedComment>
  <threadedComment ref="I26" dT="2020-06-14T20:14:14.81" personId="{7FB89BC3-5449-46D1-9E6D-B2DEFD39A947}" id="{1AA8F8D3-055D-4ABF-B5A5-6D67836C6F56}">
    <text>Assume $140 average</text>
  </threadedComment>
</ThreadedComments>
</file>

<file path=xl/threadedComments/threadedComment21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4F28A3D-FBBE-403D-A341-4B6AE6328D41}">
    <text>Assume $90/unit/mth if paid by Landlord</text>
  </threadedComment>
  <threadedComment ref="I24" dT="2020-08-19T10:46:08.34" personId="{7FB89BC3-5449-46D1-9E6D-B2DEFD39A947}" id="{DE3015AF-4DA2-4F85-8888-BA9FF2E4D3DB}">
    <text>Assume $70/unit/mth if covered by landlord</text>
  </threadedComment>
  <threadedComment ref="I25" dT="2020-06-14T20:15:08.26" personId="{7FB89BC3-5449-46D1-9E6D-B2DEFD39A947}" id="{878045C2-00F8-4C74-899C-C695E9819CC6}">
    <text>Assume $50/door</text>
  </threadedComment>
  <threadedComment ref="I26" dT="2020-06-14T20:14:14.81" personId="{7FB89BC3-5449-46D1-9E6D-B2DEFD39A947}" id="{3590AF96-F9B0-49EA-96B0-10437F709299}">
    <text>Assume $140 average</text>
  </threadedComment>
</ThreadedComments>
</file>

<file path=xl/threadedComments/threadedComment21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138D0877-B3B0-49BB-87D9-0EFAFC1E52E5}">
    <text>Assume $90/unit/mth if paid by Landlord</text>
  </threadedComment>
  <threadedComment ref="I24" dT="2020-08-19T10:46:08.34" personId="{7FB89BC3-5449-46D1-9E6D-B2DEFD39A947}" id="{97BA67AE-22E0-4E21-AA12-C0E85D76DA8D}">
    <text>Assume $70/unit/mth if covered by landlord</text>
  </threadedComment>
  <threadedComment ref="I25" dT="2020-06-14T20:15:08.26" personId="{7FB89BC3-5449-46D1-9E6D-B2DEFD39A947}" id="{BE3144C6-6EE3-4E59-B1E3-04FD8DEF2F1A}">
    <text>Assume $50/door</text>
  </threadedComment>
  <threadedComment ref="I26" dT="2020-06-14T20:14:14.81" personId="{7FB89BC3-5449-46D1-9E6D-B2DEFD39A947}" id="{E730483B-0449-4679-9736-AB215BFB2C29}">
    <text>Assume $140 average</text>
  </threadedComment>
</ThreadedComments>
</file>

<file path=xl/threadedComments/threadedComment22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3D3B16BA-197F-4238-9A12-C2086F66F6C9}">
    <text>Assume $90/unit/mth if paid by Landlord</text>
  </threadedComment>
  <threadedComment ref="I24" dT="2020-08-19T10:46:08.34" personId="{7FB89BC3-5449-46D1-9E6D-B2DEFD39A947}" id="{E3820808-E4CA-4EE6-94BD-6EABC1243EAB}">
    <text>Assume $70/unit/mth if covered by landlord</text>
  </threadedComment>
  <threadedComment ref="I25" dT="2020-06-14T20:15:08.26" personId="{7FB89BC3-5449-46D1-9E6D-B2DEFD39A947}" id="{05DE8401-2643-4358-A0DF-FC95422AC82F}">
    <text>Assume $50/door</text>
  </threadedComment>
  <threadedComment ref="I26" dT="2020-06-14T20:14:14.81" personId="{7FB89BC3-5449-46D1-9E6D-B2DEFD39A947}" id="{8DE8540B-7913-4929-809A-BF0D20B5A256}">
    <text>Assume $140 average</text>
  </threadedComment>
</ThreadedComments>
</file>

<file path=xl/threadedComments/threadedComment22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B71BDB02-03B7-4A4D-BD5C-CB914D841BC4}">
    <text>Assume $90/unit/mth if paid by Landlord</text>
  </threadedComment>
  <threadedComment ref="I24" dT="2020-08-19T10:46:08.34" personId="{7FB89BC3-5449-46D1-9E6D-B2DEFD39A947}" id="{FF8A9401-F0E5-42D5-89B7-1D2967A976B6}">
    <text>Assume $70/unit/mth if covered by landlord</text>
  </threadedComment>
  <threadedComment ref="I25" dT="2020-06-14T20:15:08.26" personId="{7FB89BC3-5449-46D1-9E6D-B2DEFD39A947}" id="{08D8A156-D190-4934-B129-642A6348027E}">
    <text>Assume $50/door</text>
  </threadedComment>
  <threadedComment ref="I26" dT="2020-06-14T20:14:14.81" personId="{7FB89BC3-5449-46D1-9E6D-B2DEFD39A947}" id="{5C2BC2D1-8360-4D48-B110-43D33FE45E4B}">
    <text>Assume $140 average</text>
  </threadedComment>
</ThreadedComments>
</file>

<file path=xl/threadedComments/threadedComment22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E7568F5-B715-4F08-B9B1-750E0AFF27E3}">
    <text>Assume $90/unit/mth if paid by Landlord</text>
  </threadedComment>
  <threadedComment ref="I24" dT="2020-08-19T10:46:08.34" personId="{7FB89BC3-5449-46D1-9E6D-B2DEFD39A947}" id="{F05BCB95-60D7-4B3D-A2FF-4E73037CCE02}">
    <text>Assume $70/unit/mth if covered by landlord</text>
  </threadedComment>
  <threadedComment ref="I25" dT="2020-06-14T20:15:08.26" personId="{7FB89BC3-5449-46D1-9E6D-B2DEFD39A947}" id="{64C5DAAB-75B4-495B-9473-DC6343DAD6EB}">
    <text>Assume $50/door</text>
  </threadedComment>
  <threadedComment ref="I26" dT="2020-06-14T20:14:14.81" personId="{7FB89BC3-5449-46D1-9E6D-B2DEFD39A947}" id="{ECADA13C-B04B-4AC0-9308-FECC5707552F}">
    <text>Assume $140 average</text>
  </threadedComment>
</ThreadedComments>
</file>

<file path=xl/threadedComments/threadedComment22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ACCAE9DE-D9B2-4A9D-834A-66D217F93BFF}">
    <text>Assume $90/unit/mth if paid by Landlord</text>
  </threadedComment>
  <threadedComment ref="I24" dT="2020-08-19T10:46:08.34" personId="{7FB89BC3-5449-46D1-9E6D-B2DEFD39A947}" id="{15DE6105-C65E-400E-8526-6D3AED2BF0A8}">
    <text>Assume $70/unit/mth if covered by landlord</text>
  </threadedComment>
  <threadedComment ref="I25" dT="2020-06-14T20:15:08.26" personId="{7FB89BC3-5449-46D1-9E6D-B2DEFD39A947}" id="{FC4165F8-1358-45C8-AAB7-B3D500ED3B8A}">
    <text>Assume $50/door</text>
  </threadedComment>
  <threadedComment ref="I26" dT="2020-06-14T20:14:14.81" personId="{7FB89BC3-5449-46D1-9E6D-B2DEFD39A947}" id="{4B08B95D-D8A6-42CA-A062-C5D93C727EBA}">
    <text>Assume $140 average</text>
  </threadedComment>
</ThreadedComments>
</file>

<file path=xl/threadedComments/threadedComment22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8DE5EBFA-C432-46BB-9A87-0B0B6AC52D7F}">
    <text>Assume $90/unit/mth if paid by Landlord</text>
  </threadedComment>
  <threadedComment ref="I24" dT="2020-08-19T10:46:08.34" personId="{7FB89BC3-5449-46D1-9E6D-B2DEFD39A947}" id="{D4681BDE-1328-4793-B044-8765A33B8714}">
    <text>Assume $70/unit/mth if covered by landlord</text>
  </threadedComment>
  <threadedComment ref="I25" dT="2020-06-14T20:15:08.26" personId="{7FB89BC3-5449-46D1-9E6D-B2DEFD39A947}" id="{EAB6EDC4-20AC-4AA3-945F-385247AAE16B}">
    <text>Assume $50/door</text>
  </threadedComment>
  <threadedComment ref="I26" dT="2020-06-14T20:14:14.81" personId="{7FB89BC3-5449-46D1-9E6D-B2DEFD39A947}" id="{B0C81660-2814-4A90-9DD1-820A04F451E1}">
    <text>Assume $140 average</text>
  </threadedComment>
</ThreadedComments>
</file>

<file path=xl/threadedComments/threadedComment22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4255E1B8-D543-4E91-9AC6-96ACD409E119}">
    <text>Assume $90/unit/mth if paid by Landlord</text>
  </threadedComment>
  <threadedComment ref="I24" dT="2020-08-19T10:46:08.34" personId="{7FB89BC3-5449-46D1-9E6D-B2DEFD39A947}" id="{555A4941-7CD1-44F1-B1B7-FB5CF9F8AEDA}">
    <text>Assume $70/unit/mth if covered by landlord</text>
  </threadedComment>
  <threadedComment ref="I25" dT="2020-06-14T20:15:08.26" personId="{7FB89BC3-5449-46D1-9E6D-B2DEFD39A947}" id="{6E37909A-9917-40FE-812F-3DD17AA0F4A5}">
    <text>Assume $50/door</text>
  </threadedComment>
  <threadedComment ref="I26" dT="2020-06-14T20:14:14.81" personId="{7FB89BC3-5449-46D1-9E6D-B2DEFD39A947}" id="{8DBB2566-8994-4ED2-8A7B-754F2241A33F}">
    <text>Assume $140 average</text>
  </threadedComment>
</ThreadedComments>
</file>

<file path=xl/threadedComments/threadedComment22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C74BC4FD-5908-465D-A39E-F9E6E8E68B26}">
    <text>Assume $90/unit/mth if paid by Landlord</text>
  </threadedComment>
  <threadedComment ref="I24" dT="2020-08-19T10:46:08.34" personId="{7FB89BC3-5449-46D1-9E6D-B2DEFD39A947}" id="{8418E015-4B13-49B8-90B1-905FD9E132AD}">
    <text>Assume $70/unit/mth if covered by landlord</text>
  </threadedComment>
  <threadedComment ref="I25" dT="2020-06-14T20:15:08.26" personId="{7FB89BC3-5449-46D1-9E6D-B2DEFD39A947}" id="{4E078081-EE34-4693-BBAB-5DF6A4552DF4}">
    <text>Assume $50/door</text>
  </threadedComment>
  <threadedComment ref="I26" dT="2020-06-14T20:14:14.81" personId="{7FB89BC3-5449-46D1-9E6D-B2DEFD39A947}" id="{78B6765F-EBCE-4798-B57B-B4096105349A}">
    <text>Assume $140 average</text>
  </threadedComment>
</ThreadedComments>
</file>

<file path=xl/threadedComments/threadedComment22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A04C220A-771E-4027-B7DC-9BEB6EC649EE}">
    <text>Assume $90/unit/mth if paid by Landlord</text>
  </threadedComment>
  <threadedComment ref="I24" dT="2020-08-19T10:46:08.34" personId="{7FB89BC3-5449-46D1-9E6D-B2DEFD39A947}" id="{724EC77F-1B08-4BEF-88C2-9D56B951ABB5}">
    <text>Assume $70/unit/mth if covered by landlord</text>
  </threadedComment>
  <threadedComment ref="I25" dT="2020-06-14T20:15:08.26" personId="{7FB89BC3-5449-46D1-9E6D-B2DEFD39A947}" id="{2187C72B-3E04-43D2-9176-A120030BA882}">
    <text>Assume $50/door</text>
  </threadedComment>
  <threadedComment ref="I26" dT="2020-06-14T20:14:14.81" personId="{7FB89BC3-5449-46D1-9E6D-B2DEFD39A947}" id="{1B7ED5EE-0D73-4FE9-B137-1B39C028E3B4}">
    <text>Assume $140 average</text>
  </threadedComment>
</ThreadedComments>
</file>

<file path=xl/threadedComments/threadedComment22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3F82FC8-BD63-4998-9171-80039F48CD4D}">
    <text>Assume $90/unit/mth if paid by Landlord</text>
  </threadedComment>
  <threadedComment ref="I24" dT="2020-08-19T10:46:08.34" personId="{7FB89BC3-5449-46D1-9E6D-B2DEFD39A947}" id="{35C6D91A-A7C3-43A1-83A0-68FA7D2B13E4}">
    <text>Assume $70/unit/mth if covered by landlord</text>
  </threadedComment>
  <threadedComment ref="I25" dT="2020-06-14T20:15:08.26" personId="{7FB89BC3-5449-46D1-9E6D-B2DEFD39A947}" id="{382D06F8-7C76-4B5B-8147-302771E2D510}">
    <text>Assume $50/door</text>
  </threadedComment>
  <threadedComment ref="I26" dT="2020-06-14T20:14:14.81" personId="{7FB89BC3-5449-46D1-9E6D-B2DEFD39A947}" id="{68661285-1B42-4A2A-A350-361EA9410F30}">
    <text>Assume $140 average</text>
  </threadedComment>
</ThreadedComments>
</file>

<file path=xl/threadedComments/threadedComment229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03431236-9240-4720-AC01-0C288143CBA6}">
    <text>Assume $90/unit/mth if paid by Landlord</text>
  </threadedComment>
  <threadedComment ref="I24" dT="2020-08-19T10:46:08.34" personId="{7FB89BC3-5449-46D1-9E6D-B2DEFD39A947}" id="{F84B0698-A009-460E-93BD-AB65D52CB1B9}">
    <text>Assume $70/unit/mth if covered by landlord</text>
  </threadedComment>
  <threadedComment ref="I25" dT="2020-06-14T20:15:08.26" personId="{7FB89BC3-5449-46D1-9E6D-B2DEFD39A947}" id="{268C4598-21FF-40E6-BDDB-3418B115FA66}">
    <text>Assume $50/door</text>
  </threadedComment>
  <threadedComment ref="I26" dT="2020-06-14T20:14:14.81" personId="{7FB89BC3-5449-46D1-9E6D-B2DEFD39A947}" id="{D2D64CD9-041D-40C9-8C31-A286B0BE8E00}">
    <text>Assume $140 average</text>
  </threadedComment>
</ThreadedComments>
</file>

<file path=xl/threadedComments/threadedComment230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1F8FDB6E-3676-4AF2-8529-A82900C0215D}">
    <text>Assume $90/unit/mth if paid by Landlord</text>
  </threadedComment>
  <threadedComment ref="I24" dT="2020-08-19T10:46:08.34" personId="{7FB89BC3-5449-46D1-9E6D-B2DEFD39A947}" id="{DB41DC7A-9EAD-4B83-A1D9-3397A38D6CC2}">
    <text>Assume $70/unit/mth if covered by landlord</text>
  </threadedComment>
  <threadedComment ref="I25" dT="2020-06-14T20:15:08.26" personId="{7FB89BC3-5449-46D1-9E6D-B2DEFD39A947}" id="{A003BF00-146A-419F-B0C7-0A7551B6D571}">
    <text>Assume $50/door</text>
  </threadedComment>
  <threadedComment ref="I26" dT="2020-06-14T20:14:14.81" personId="{7FB89BC3-5449-46D1-9E6D-B2DEFD39A947}" id="{B90D6E2C-A891-4FFF-ACF0-E60791A980E5}">
    <text>Assume $140 average</text>
  </threadedComment>
</ThreadedComments>
</file>

<file path=xl/threadedComments/threadedComment231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88D3C63-CF59-4EE3-8A7C-7C67FDA8FF40}">
    <text>Assume $90/unit/mth if paid by Landlord</text>
  </threadedComment>
  <threadedComment ref="I24" dT="2020-08-19T10:46:08.34" personId="{7FB89BC3-5449-46D1-9E6D-B2DEFD39A947}" id="{4F959211-011F-463F-A42E-384518ED7D80}">
    <text>Assume $70/unit/mth if covered by landlord</text>
  </threadedComment>
  <threadedComment ref="I25" dT="2020-06-14T20:15:08.26" personId="{7FB89BC3-5449-46D1-9E6D-B2DEFD39A947}" id="{6E27A890-7C34-4F53-B3EB-3CA92F5BE936}">
    <text>Assume $50/door</text>
  </threadedComment>
  <threadedComment ref="I26" dT="2020-06-14T20:14:14.81" personId="{7FB89BC3-5449-46D1-9E6D-B2DEFD39A947}" id="{698013B4-3438-434B-985B-FA023E68F4A9}">
    <text>Assume $140 average</text>
  </threadedComment>
</ThreadedComments>
</file>

<file path=xl/threadedComments/threadedComment232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60F1F5CD-A039-4E8D-823E-6425342DF4D4}">
    <text>Assume $90/unit/mth if paid by Landlord</text>
  </threadedComment>
  <threadedComment ref="I24" dT="2020-08-19T10:46:08.34" personId="{7FB89BC3-5449-46D1-9E6D-B2DEFD39A947}" id="{69E2AE67-6FDC-4B99-81A6-7AF9752AECD4}">
    <text>Assume $70/unit/mth if covered by landlord</text>
  </threadedComment>
  <threadedComment ref="I25" dT="2020-06-14T20:15:08.26" personId="{7FB89BC3-5449-46D1-9E6D-B2DEFD39A947}" id="{0142E04E-3FF6-4B28-AEC2-0833DC6E29A9}">
    <text>Assume $50/door</text>
  </threadedComment>
  <threadedComment ref="I26" dT="2020-06-14T20:14:14.81" personId="{7FB89BC3-5449-46D1-9E6D-B2DEFD39A947}" id="{A0E17ABC-72E7-4BA4-B277-3DB86C8A3CE4}">
    <text>Assume $140 average</text>
  </threadedComment>
</ThreadedComments>
</file>

<file path=xl/threadedComments/threadedComment233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9AB40D37-C428-4FBE-B911-EEAEAA572B1F}">
    <text>Assume $90/unit/mth if paid by Landlord</text>
  </threadedComment>
  <threadedComment ref="I24" dT="2020-08-19T10:46:08.34" personId="{7FB89BC3-5449-46D1-9E6D-B2DEFD39A947}" id="{234305FC-A74F-408D-99FF-EBC305ADAAF8}">
    <text>Assume $70/unit/mth if covered by landlord</text>
  </threadedComment>
  <threadedComment ref="I25" dT="2020-06-14T20:15:08.26" personId="{7FB89BC3-5449-46D1-9E6D-B2DEFD39A947}" id="{68718D61-3291-40BF-BBE6-D52A355859E2}">
    <text>Assume $50/door</text>
  </threadedComment>
  <threadedComment ref="I26" dT="2020-06-14T20:14:14.81" personId="{7FB89BC3-5449-46D1-9E6D-B2DEFD39A947}" id="{27BC8AC9-6F56-484D-878A-207DC1241300}">
    <text>Assume $140 average</text>
  </threadedComment>
</ThreadedComments>
</file>

<file path=xl/threadedComments/threadedComment234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FF314E49-977C-4772-9EDF-AC1AC460103C}">
    <text>Assume $90/unit/mth if paid by Landlord</text>
  </threadedComment>
  <threadedComment ref="I24" dT="2020-08-19T10:46:08.34" personId="{7FB89BC3-5449-46D1-9E6D-B2DEFD39A947}" id="{92EC267D-BCD7-4EA8-8437-CF2406AEFF2E}">
    <text>Assume $70/unit/mth if covered by landlord</text>
  </threadedComment>
  <threadedComment ref="I25" dT="2020-06-14T20:15:08.26" personId="{7FB89BC3-5449-46D1-9E6D-B2DEFD39A947}" id="{3E76ECDB-74F9-46EF-94D9-888D0AFD75E4}">
    <text>Assume $50/door</text>
  </threadedComment>
  <threadedComment ref="I26" dT="2020-06-14T20:14:14.81" personId="{7FB89BC3-5449-46D1-9E6D-B2DEFD39A947}" id="{ED7EBAA0-5245-4B84-8BD2-F5AEE429DBBD}">
    <text>Assume $140 average</text>
  </threadedComment>
</ThreadedComments>
</file>

<file path=xl/threadedComments/threadedComment235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DEA2CC3A-52F7-4BE4-A4FB-090A119311B4}">
    <text>Assume $90/unit/mth if paid by Landlord</text>
  </threadedComment>
  <threadedComment ref="I24" dT="2020-08-19T10:46:08.34" personId="{7FB89BC3-5449-46D1-9E6D-B2DEFD39A947}" id="{FA980D15-0BA0-449E-8F23-0740C247BBFF}">
    <text>Assume $70/unit/mth if covered by landlord</text>
  </threadedComment>
  <threadedComment ref="I25" dT="2020-06-14T20:15:08.26" personId="{7FB89BC3-5449-46D1-9E6D-B2DEFD39A947}" id="{4FCFD572-4E69-4B91-8EF7-DC787649746F}">
    <text>Assume $50/door</text>
  </threadedComment>
  <threadedComment ref="I26" dT="2020-06-14T20:14:14.81" personId="{7FB89BC3-5449-46D1-9E6D-B2DEFD39A947}" id="{5E82D513-FC63-4129-A0A1-39E84F9228BE}">
    <text>Assume $140 average</text>
  </threadedComment>
</ThreadedComments>
</file>

<file path=xl/threadedComments/threadedComment236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5B9E7F37-5F92-41A6-9702-AC394EB1622C}">
    <text>Assume $90/unit/mth if paid by Landlord</text>
  </threadedComment>
  <threadedComment ref="I24" dT="2020-08-19T10:46:08.34" personId="{7FB89BC3-5449-46D1-9E6D-B2DEFD39A947}" id="{AFD52B0A-EFA8-45D7-BAF1-0E3C23CD8250}">
    <text>Assume $70/unit/mth if covered by landlord</text>
  </threadedComment>
  <threadedComment ref="I25" dT="2020-06-14T20:15:08.26" personId="{7FB89BC3-5449-46D1-9E6D-B2DEFD39A947}" id="{08EA3244-C05C-4F8A-8609-2427DED220CA}">
    <text>Assume $50/door</text>
  </threadedComment>
  <threadedComment ref="I26" dT="2020-06-14T20:14:14.81" personId="{7FB89BC3-5449-46D1-9E6D-B2DEFD39A947}" id="{6172E231-99E3-4061-A8FE-7C7180DF1F58}">
    <text>Assume $140 average</text>
  </threadedComment>
</ThreadedComments>
</file>

<file path=xl/threadedComments/threadedComment237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70584FA7-BE5B-401D-8D81-9D8820A256E1}">
    <text>Assume $90/unit/mth if paid by Landlord</text>
  </threadedComment>
  <threadedComment ref="I24" dT="2020-08-19T10:46:08.34" personId="{7FB89BC3-5449-46D1-9E6D-B2DEFD39A947}" id="{A4B30AE3-A257-456C-AB28-70402593DDA5}">
    <text>Assume $70/unit/mth if covered by landlord</text>
  </threadedComment>
  <threadedComment ref="I25" dT="2020-06-14T20:15:08.26" personId="{7FB89BC3-5449-46D1-9E6D-B2DEFD39A947}" id="{2DFD0EFF-B283-46E9-94BE-652E211673CE}">
    <text>Assume $50/door</text>
  </threadedComment>
  <threadedComment ref="I26" dT="2020-06-14T20:14:14.81" personId="{7FB89BC3-5449-46D1-9E6D-B2DEFD39A947}" id="{615A08A4-8892-43CC-9E25-4140A257EAEA}">
    <text>Assume $140 average</text>
  </threadedComment>
</ThreadedComments>
</file>

<file path=xl/threadedComments/threadedComment238.xml><?xml version="1.0" encoding="utf-8"?>
<ThreadedComments xmlns="http://schemas.microsoft.com/office/spreadsheetml/2018/threadedcomments" xmlns:x="http://schemas.openxmlformats.org/spreadsheetml/2006/main">
  <threadedComment ref="I23" dT="2020-08-19T10:45:34.61" personId="{7FB89BC3-5449-46D1-9E6D-B2DEFD39A947}" id="{2E10E34A-6560-4526-BEEF-7F0A129835D8}">
    <text>Assume $90/unit/mth if paid by Landlord</text>
  </threadedComment>
  <threadedComment ref="I24" dT="2020-08-19T10:46:08.34" personId="{7FB89BC3-5449-46D1-9E6D-B2DEFD39A947}" id="{1B5A20C0-C1C9-4BE1-9A61-1FD9BCEF46B6}">
    <text>Assume $70/unit/mth if covered by landlord</text>
  </threadedComment>
  <threadedComment ref="I25" dT="2020-06-14T20:15:08.26" personId="{7FB89BC3-5449-46D1-9E6D-B2DEFD39A947}" id="{C71C81D3-70D6-452E-8CCF-AE71823CF94D}">
    <text>Assume $50/door</text>
  </threadedComment>
  <threadedComment ref="I26" dT="2020-06-14T20:14:14.81" personId="{7FB89BC3-5449-46D1-9E6D-B2DEFD39A947}" id="{05EABD73-D329-48C3-B20F-9B8C6F2A2B05}">
    <text>Assume $140 average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hyperlink" Target="https://www.trulia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.vml"/><Relationship Id="rId5" Type="http://schemas.openxmlformats.org/officeDocument/2006/relationships/drawing" Target="../drawings/drawing2.xml"/><Relationship Id="rId4" Type="http://schemas.openxmlformats.org/officeDocument/2006/relationships/hyperlink" Target="https://www.trulia.com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3.xml"/><Relationship Id="rId4" Type="http://schemas.openxmlformats.org/officeDocument/2006/relationships/hyperlink" Target="https://www.trulia.com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hyperlink" Target="https://www.trulia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.vml"/><Relationship Id="rId5" Type="http://schemas.openxmlformats.org/officeDocument/2006/relationships/drawing" Target="../drawings/drawing5.xml"/><Relationship Id="rId4" Type="http://schemas.openxmlformats.org/officeDocument/2006/relationships/hyperlink" Target="https://www.trulia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.vml"/><Relationship Id="rId5" Type="http://schemas.openxmlformats.org/officeDocument/2006/relationships/drawing" Target="../drawings/drawing6.xml"/><Relationship Id="rId4" Type="http://schemas.openxmlformats.org/officeDocument/2006/relationships/hyperlink" Target="https://www.trulia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7.vml"/><Relationship Id="rId5" Type="http://schemas.openxmlformats.org/officeDocument/2006/relationships/drawing" Target="../drawings/drawing7.xml"/><Relationship Id="rId4" Type="http://schemas.openxmlformats.org/officeDocument/2006/relationships/hyperlink" Target="https://www.trulia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8.vml"/><Relationship Id="rId5" Type="http://schemas.openxmlformats.org/officeDocument/2006/relationships/drawing" Target="../drawings/drawing8.xml"/><Relationship Id="rId4" Type="http://schemas.openxmlformats.org/officeDocument/2006/relationships/hyperlink" Target="https://www.trulia.com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9.vml"/><Relationship Id="rId5" Type="http://schemas.openxmlformats.org/officeDocument/2006/relationships/drawing" Target="../drawings/drawing9.xml"/><Relationship Id="rId4" Type="http://schemas.openxmlformats.org/officeDocument/2006/relationships/hyperlink" Target="https://www.trulia.com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s://www.trulia.com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1.vml"/><Relationship Id="rId5" Type="http://schemas.openxmlformats.org/officeDocument/2006/relationships/drawing" Target="../drawings/drawing11.xml"/><Relationship Id="rId4" Type="http://schemas.openxmlformats.org/officeDocument/2006/relationships/hyperlink" Target="https://www.trulia.com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2.vml"/><Relationship Id="rId5" Type="http://schemas.openxmlformats.org/officeDocument/2006/relationships/drawing" Target="../drawings/drawing12.xml"/><Relationship Id="rId4" Type="http://schemas.openxmlformats.org/officeDocument/2006/relationships/hyperlink" Target="https://www.trulia.com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3.vml"/><Relationship Id="rId5" Type="http://schemas.openxmlformats.org/officeDocument/2006/relationships/drawing" Target="../drawings/drawing13.xml"/><Relationship Id="rId4" Type="http://schemas.openxmlformats.org/officeDocument/2006/relationships/hyperlink" Target="https://www.trulia.com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4.vml"/><Relationship Id="rId5" Type="http://schemas.openxmlformats.org/officeDocument/2006/relationships/drawing" Target="../drawings/drawing14.xml"/><Relationship Id="rId4" Type="http://schemas.openxmlformats.org/officeDocument/2006/relationships/hyperlink" Target="https://www.trulia.com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.vml"/><Relationship Id="rId5" Type="http://schemas.openxmlformats.org/officeDocument/2006/relationships/drawing" Target="../drawings/drawing15.xml"/><Relationship Id="rId4" Type="http://schemas.openxmlformats.org/officeDocument/2006/relationships/hyperlink" Target="https://www.trulia.com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.vml"/><Relationship Id="rId5" Type="http://schemas.openxmlformats.org/officeDocument/2006/relationships/drawing" Target="../drawings/drawing16.xml"/><Relationship Id="rId4" Type="http://schemas.openxmlformats.org/officeDocument/2006/relationships/hyperlink" Target="https://www.trulia.com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.vml"/><Relationship Id="rId5" Type="http://schemas.openxmlformats.org/officeDocument/2006/relationships/drawing" Target="../drawings/drawing17.xml"/><Relationship Id="rId4" Type="http://schemas.openxmlformats.org/officeDocument/2006/relationships/hyperlink" Target="https://www.trulia.com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.vml"/><Relationship Id="rId5" Type="http://schemas.openxmlformats.org/officeDocument/2006/relationships/drawing" Target="../drawings/drawing18.xml"/><Relationship Id="rId4" Type="http://schemas.openxmlformats.org/officeDocument/2006/relationships/hyperlink" Target="https://www.trulia.com/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.vml"/><Relationship Id="rId5" Type="http://schemas.openxmlformats.org/officeDocument/2006/relationships/drawing" Target="../drawings/drawing19.xml"/><Relationship Id="rId4" Type="http://schemas.openxmlformats.org/officeDocument/2006/relationships/hyperlink" Target="https://www.trulia.com/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.vml"/><Relationship Id="rId5" Type="http://schemas.openxmlformats.org/officeDocument/2006/relationships/drawing" Target="../drawings/drawing20.xml"/><Relationship Id="rId4" Type="http://schemas.openxmlformats.org/officeDocument/2006/relationships/hyperlink" Target="https://www.trulia.com/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.vml"/><Relationship Id="rId5" Type="http://schemas.openxmlformats.org/officeDocument/2006/relationships/drawing" Target="../drawings/drawing21.xml"/><Relationship Id="rId4" Type="http://schemas.openxmlformats.org/officeDocument/2006/relationships/hyperlink" Target="https://www.trulia.com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.vml"/><Relationship Id="rId5" Type="http://schemas.openxmlformats.org/officeDocument/2006/relationships/drawing" Target="../drawings/drawing22.xml"/><Relationship Id="rId4" Type="http://schemas.openxmlformats.org/officeDocument/2006/relationships/hyperlink" Target="https://www.trulia.com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.vml"/><Relationship Id="rId5" Type="http://schemas.openxmlformats.org/officeDocument/2006/relationships/drawing" Target="../drawings/drawing23.xml"/><Relationship Id="rId4" Type="http://schemas.openxmlformats.org/officeDocument/2006/relationships/hyperlink" Target="https://www.trulia.com/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4.vml"/><Relationship Id="rId5" Type="http://schemas.openxmlformats.org/officeDocument/2006/relationships/drawing" Target="../drawings/drawing24.xml"/><Relationship Id="rId4" Type="http://schemas.openxmlformats.org/officeDocument/2006/relationships/hyperlink" Target="https://www.trulia.com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5.vml"/><Relationship Id="rId5" Type="http://schemas.openxmlformats.org/officeDocument/2006/relationships/drawing" Target="../drawings/drawing25.xml"/><Relationship Id="rId4" Type="http://schemas.openxmlformats.org/officeDocument/2006/relationships/hyperlink" Target="https://www.trulia.com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6.vml"/><Relationship Id="rId5" Type="http://schemas.openxmlformats.org/officeDocument/2006/relationships/drawing" Target="../drawings/drawing26.xml"/><Relationship Id="rId4" Type="http://schemas.openxmlformats.org/officeDocument/2006/relationships/hyperlink" Target="https://www.trulia.com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7.vml"/><Relationship Id="rId5" Type="http://schemas.openxmlformats.org/officeDocument/2006/relationships/drawing" Target="../drawings/drawing27.xml"/><Relationship Id="rId4" Type="http://schemas.openxmlformats.org/officeDocument/2006/relationships/hyperlink" Target="https://www.trulia.com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8.vml"/><Relationship Id="rId5" Type="http://schemas.openxmlformats.org/officeDocument/2006/relationships/drawing" Target="../drawings/drawing28.xml"/><Relationship Id="rId4" Type="http://schemas.openxmlformats.org/officeDocument/2006/relationships/hyperlink" Target="https://www.trulia.com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9.vml"/><Relationship Id="rId5" Type="http://schemas.openxmlformats.org/officeDocument/2006/relationships/drawing" Target="../drawings/drawing29.xml"/><Relationship Id="rId4" Type="http://schemas.openxmlformats.org/officeDocument/2006/relationships/hyperlink" Target="https://www.trulia.com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0.vml"/><Relationship Id="rId5" Type="http://schemas.openxmlformats.org/officeDocument/2006/relationships/drawing" Target="../drawings/drawing30.xml"/><Relationship Id="rId4" Type="http://schemas.openxmlformats.org/officeDocument/2006/relationships/hyperlink" Target="https://www.trulia.com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1.vml"/><Relationship Id="rId5" Type="http://schemas.openxmlformats.org/officeDocument/2006/relationships/drawing" Target="../drawings/drawing31.xml"/><Relationship Id="rId4" Type="http://schemas.openxmlformats.org/officeDocument/2006/relationships/hyperlink" Target="https://www.trulia.com/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2.vml"/><Relationship Id="rId5" Type="http://schemas.openxmlformats.org/officeDocument/2006/relationships/drawing" Target="../drawings/drawing32.xml"/><Relationship Id="rId4" Type="http://schemas.openxmlformats.org/officeDocument/2006/relationships/hyperlink" Target="https://www.trulia.com/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3.vml"/><Relationship Id="rId5" Type="http://schemas.openxmlformats.org/officeDocument/2006/relationships/drawing" Target="../drawings/drawing33.xml"/><Relationship Id="rId4" Type="http://schemas.openxmlformats.org/officeDocument/2006/relationships/hyperlink" Target="https://www.trulia.com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4.vml"/><Relationship Id="rId5" Type="http://schemas.openxmlformats.org/officeDocument/2006/relationships/drawing" Target="../drawings/drawing34.xml"/><Relationship Id="rId4" Type="http://schemas.openxmlformats.org/officeDocument/2006/relationships/hyperlink" Target="https://www.trulia.com/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5.vml"/><Relationship Id="rId5" Type="http://schemas.openxmlformats.org/officeDocument/2006/relationships/drawing" Target="../drawings/drawing35.xml"/><Relationship Id="rId4" Type="http://schemas.openxmlformats.org/officeDocument/2006/relationships/hyperlink" Target="https://www.trulia.com/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6.vml"/><Relationship Id="rId5" Type="http://schemas.openxmlformats.org/officeDocument/2006/relationships/drawing" Target="../drawings/drawing36.xml"/><Relationship Id="rId4" Type="http://schemas.openxmlformats.org/officeDocument/2006/relationships/hyperlink" Target="https://www.trulia.com/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7.vml"/><Relationship Id="rId5" Type="http://schemas.openxmlformats.org/officeDocument/2006/relationships/drawing" Target="../drawings/drawing37.xml"/><Relationship Id="rId4" Type="http://schemas.openxmlformats.org/officeDocument/2006/relationships/hyperlink" Target="https://www.trulia.com/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8.vml"/><Relationship Id="rId5" Type="http://schemas.openxmlformats.org/officeDocument/2006/relationships/drawing" Target="../drawings/drawing38.xml"/><Relationship Id="rId4" Type="http://schemas.openxmlformats.org/officeDocument/2006/relationships/hyperlink" Target="https://www.trulia.com/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3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3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39.vml"/><Relationship Id="rId5" Type="http://schemas.openxmlformats.org/officeDocument/2006/relationships/drawing" Target="../drawings/drawing39.xml"/><Relationship Id="rId4" Type="http://schemas.openxmlformats.org/officeDocument/2006/relationships/hyperlink" Target="https://www.trulia.com/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0.vml"/><Relationship Id="rId5" Type="http://schemas.openxmlformats.org/officeDocument/2006/relationships/drawing" Target="../drawings/drawing40.xml"/><Relationship Id="rId4" Type="http://schemas.openxmlformats.org/officeDocument/2006/relationships/hyperlink" Target="https://www.trulia.com/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1.vml"/><Relationship Id="rId5" Type="http://schemas.openxmlformats.org/officeDocument/2006/relationships/drawing" Target="../drawings/drawing41.xml"/><Relationship Id="rId4" Type="http://schemas.openxmlformats.org/officeDocument/2006/relationships/hyperlink" Target="https://www.trulia.com/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2.vml"/><Relationship Id="rId5" Type="http://schemas.openxmlformats.org/officeDocument/2006/relationships/drawing" Target="../drawings/drawing42.xml"/><Relationship Id="rId4" Type="http://schemas.openxmlformats.org/officeDocument/2006/relationships/hyperlink" Target="https://www.trulia.com/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3.vml"/><Relationship Id="rId5" Type="http://schemas.openxmlformats.org/officeDocument/2006/relationships/drawing" Target="../drawings/drawing43.xml"/><Relationship Id="rId4" Type="http://schemas.openxmlformats.org/officeDocument/2006/relationships/hyperlink" Target="https://www.trulia.com/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4.vml"/><Relationship Id="rId5" Type="http://schemas.openxmlformats.org/officeDocument/2006/relationships/drawing" Target="../drawings/drawing44.xml"/><Relationship Id="rId4" Type="http://schemas.openxmlformats.org/officeDocument/2006/relationships/hyperlink" Target="https://www.trulia.com/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5.vml"/><Relationship Id="rId5" Type="http://schemas.openxmlformats.org/officeDocument/2006/relationships/drawing" Target="../drawings/drawing45.xml"/><Relationship Id="rId4" Type="http://schemas.openxmlformats.org/officeDocument/2006/relationships/hyperlink" Target="https://www.trulia.com/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6.vml"/><Relationship Id="rId5" Type="http://schemas.openxmlformats.org/officeDocument/2006/relationships/drawing" Target="../drawings/drawing46.xml"/><Relationship Id="rId4" Type="http://schemas.openxmlformats.org/officeDocument/2006/relationships/hyperlink" Target="https://www.trulia.com/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7.vml"/><Relationship Id="rId5" Type="http://schemas.openxmlformats.org/officeDocument/2006/relationships/drawing" Target="../drawings/drawing47.xml"/><Relationship Id="rId4" Type="http://schemas.openxmlformats.org/officeDocument/2006/relationships/hyperlink" Target="https://www.trulia.com/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8.vml"/><Relationship Id="rId5" Type="http://schemas.openxmlformats.org/officeDocument/2006/relationships/drawing" Target="../drawings/drawing48.xml"/><Relationship Id="rId4" Type="http://schemas.openxmlformats.org/officeDocument/2006/relationships/hyperlink" Target="https://www.trulia.com/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4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4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49.vml"/><Relationship Id="rId5" Type="http://schemas.openxmlformats.org/officeDocument/2006/relationships/drawing" Target="../drawings/drawing49.xml"/><Relationship Id="rId4" Type="http://schemas.openxmlformats.org/officeDocument/2006/relationships/hyperlink" Target="https://www.trulia.com/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0.vml"/><Relationship Id="rId5" Type="http://schemas.openxmlformats.org/officeDocument/2006/relationships/drawing" Target="../drawings/drawing50.xml"/><Relationship Id="rId4" Type="http://schemas.openxmlformats.org/officeDocument/2006/relationships/hyperlink" Target="https://www.trulia.com/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1.vml"/><Relationship Id="rId5" Type="http://schemas.openxmlformats.org/officeDocument/2006/relationships/drawing" Target="../drawings/drawing51.xml"/><Relationship Id="rId4" Type="http://schemas.openxmlformats.org/officeDocument/2006/relationships/hyperlink" Target="https://www.trulia.com/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2.vml"/><Relationship Id="rId5" Type="http://schemas.openxmlformats.org/officeDocument/2006/relationships/drawing" Target="../drawings/drawing52.xml"/><Relationship Id="rId4" Type="http://schemas.openxmlformats.org/officeDocument/2006/relationships/hyperlink" Target="https://www.trulia.com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3.vml"/><Relationship Id="rId5" Type="http://schemas.openxmlformats.org/officeDocument/2006/relationships/drawing" Target="../drawings/drawing53.xml"/><Relationship Id="rId4" Type="http://schemas.openxmlformats.org/officeDocument/2006/relationships/hyperlink" Target="https://www.trulia.com/" TargetMode="External"/></Relationships>
</file>

<file path=xl/worksheets/_rels/sheet5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4.vml"/><Relationship Id="rId5" Type="http://schemas.openxmlformats.org/officeDocument/2006/relationships/drawing" Target="../drawings/drawing54.xml"/><Relationship Id="rId4" Type="http://schemas.openxmlformats.org/officeDocument/2006/relationships/hyperlink" Target="https://www.trulia.com/" TargetMode="External"/></Relationships>
</file>

<file path=xl/worksheets/_rels/sheet5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5.vml"/><Relationship Id="rId5" Type="http://schemas.openxmlformats.org/officeDocument/2006/relationships/drawing" Target="../drawings/drawing55.xml"/><Relationship Id="rId4" Type="http://schemas.openxmlformats.org/officeDocument/2006/relationships/hyperlink" Target="https://www.trulia.com/" TargetMode="External"/></Relationships>
</file>

<file path=xl/worksheets/_rels/sheet5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6.vml"/><Relationship Id="rId5" Type="http://schemas.openxmlformats.org/officeDocument/2006/relationships/drawing" Target="../drawings/drawing56.xml"/><Relationship Id="rId4" Type="http://schemas.openxmlformats.org/officeDocument/2006/relationships/hyperlink" Target="https://www.trulia.com/" TargetMode="External"/></Relationships>
</file>

<file path=xl/worksheets/_rels/sheet5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7.vml"/><Relationship Id="rId5" Type="http://schemas.openxmlformats.org/officeDocument/2006/relationships/drawing" Target="../drawings/drawing57.xml"/><Relationship Id="rId4" Type="http://schemas.openxmlformats.org/officeDocument/2006/relationships/hyperlink" Target="https://www.trulia.com/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8.vml"/><Relationship Id="rId5" Type="http://schemas.openxmlformats.org/officeDocument/2006/relationships/drawing" Target="../drawings/drawing58.xml"/><Relationship Id="rId4" Type="http://schemas.openxmlformats.org/officeDocument/2006/relationships/hyperlink" Target="https://www.trulia.com/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5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5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59.vml"/><Relationship Id="rId5" Type="http://schemas.openxmlformats.org/officeDocument/2006/relationships/drawing" Target="../drawings/drawing59.xml"/><Relationship Id="rId4" Type="http://schemas.openxmlformats.org/officeDocument/2006/relationships/hyperlink" Target="https://www.trulia.com/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0.vml"/><Relationship Id="rId5" Type="http://schemas.openxmlformats.org/officeDocument/2006/relationships/drawing" Target="../drawings/drawing60.xml"/><Relationship Id="rId4" Type="http://schemas.openxmlformats.org/officeDocument/2006/relationships/hyperlink" Target="https://www.trulia.com/" TargetMode="External"/></Relationships>
</file>

<file path=xl/worksheets/_rels/sheet6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1.vml"/><Relationship Id="rId5" Type="http://schemas.openxmlformats.org/officeDocument/2006/relationships/drawing" Target="../drawings/drawing61.xml"/><Relationship Id="rId4" Type="http://schemas.openxmlformats.org/officeDocument/2006/relationships/hyperlink" Target="https://www.trulia.com/" TargetMode="External"/></Relationships>
</file>

<file path=xl/worksheets/_rels/sheet6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2.vml"/><Relationship Id="rId5" Type="http://schemas.openxmlformats.org/officeDocument/2006/relationships/drawing" Target="../drawings/drawing62.xml"/><Relationship Id="rId4" Type="http://schemas.openxmlformats.org/officeDocument/2006/relationships/hyperlink" Target="https://www.trulia.com/" TargetMode="External"/></Relationships>
</file>

<file path=xl/worksheets/_rels/sheet6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3.vml"/><Relationship Id="rId5" Type="http://schemas.openxmlformats.org/officeDocument/2006/relationships/drawing" Target="../drawings/drawing63.xml"/><Relationship Id="rId4" Type="http://schemas.openxmlformats.org/officeDocument/2006/relationships/hyperlink" Target="https://www.trulia.com/" TargetMode="External"/></Relationships>
</file>

<file path=xl/worksheets/_rels/sheet6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4.vml"/><Relationship Id="rId5" Type="http://schemas.openxmlformats.org/officeDocument/2006/relationships/drawing" Target="../drawings/drawing64.xml"/><Relationship Id="rId4" Type="http://schemas.openxmlformats.org/officeDocument/2006/relationships/hyperlink" Target="https://www.trulia.com/" TargetMode="External"/></Relationships>
</file>

<file path=xl/worksheets/_rels/sheet6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5.vml"/><Relationship Id="rId5" Type="http://schemas.openxmlformats.org/officeDocument/2006/relationships/drawing" Target="../drawings/drawing65.xml"/><Relationship Id="rId4" Type="http://schemas.openxmlformats.org/officeDocument/2006/relationships/hyperlink" Target="https://www.trulia.com/" TargetMode="External"/></Relationships>
</file>

<file path=xl/worksheets/_rels/sheet6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6.vml"/><Relationship Id="rId5" Type="http://schemas.openxmlformats.org/officeDocument/2006/relationships/drawing" Target="../drawings/drawing66.xml"/><Relationship Id="rId4" Type="http://schemas.openxmlformats.org/officeDocument/2006/relationships/hyperlink" Target="https://www.trulia.com/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7.vml"/><Relationship Id="rId5" Type="http://schemas.openxmlformats.org/officeDocument/2006/relationships/drawing" Target="../drawings/drawing67.xml"/><Relationship Id="rId4" Type="http://schemas.openxmlformats.org/officeDocument/2006/relationships/hyperlink" Target="https://www.trulia.com/" TargetMode="External"/></Relationships>
</file>

<file path=xl/worksheets/_rels/sheet6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8.vml"/><Relationship Id="rId5" Type="http://schemas.openxmlformats.org/officeDocument/2006/relationships/drawing" Target="../drawings/drawing68.xml"/><Relationship Id="rId4" Type="http://schemas.openxmlformats.org/officeDocument/2006/relationships/hyperlink" Target="https://www.trulia.com/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6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6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69.vml"/><Relationship Id="rId5" Type="http://schemas.openxmlformats.org/officeDocument/2006/relationships/drawing" Target="../drawings/drawing69.xml"/><Relationship Id="rId4" Type="http://schemas.openxmlformats.org/officeDocument/2006/relationships/hyperlink" Target="https://www.trulia.com/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7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7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70.vml"/><Relationship Id="rId5" Type="http://schemas.openxmlformats.org/officeDocument/2006/relationships/drawing" Target="../drawings/drawing70.xml"/><Relationship Id="rId4" Type="http://schemas.openxmlformats.org/officeDocument/2006/relationships/hyperlink" Target="https://www.trulia.com/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7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7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71.vml"/><Relationship Id="rId5" Type="http://schemas.openxmlformats.org/officeDocument/2006/relationships/drawing" Target="../drawings/drawing71.xml"/><Relationship Id="rId4" Type="http://schemas.openxmlformats.org/officeDocument/2006/relationships/hyperlink" Target="https://www.trulia.com/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7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7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72.vml"/><Relationship Id="rId5" Type="http://schemas.openxmlformats.org/officeDocument/2006/relationships/drawing" Target="../drawings/drawing72.xml"/><Relationship Id="rId4" Type="http://schemas.openxmlformats.org/officeDocument/2006/relationships/hyperlink" Target="https://www.trulia.com/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7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vmlDrawing" Target="../drawings/vmlDrawing73.v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drawing" Target="../drawings/drawing7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trulia.com/" TargetMode="External"/><Relationship Id="rId9" Type="http://schemas.microsoft.com/office/2017/10/relationships/threadedComment" Target="../threadedComments/threadedComment73.xml"/></Relationships>
</file>

<file path=xl/worksheets/_rels/sheet7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7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7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74.vml"/><Relationship Id="rId5" Type="http://schemas.openxmlformats.org/officeDocument/2006/relationships/drawing" Target="../drawings/drawing74.xml"/><Relationship Id="rId4" Type="http://schemas.openxmlformats.org/officeDocument/2006/relationships/hyperlink" Target="https://www.trulia.com/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7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7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75.vml"/><Relationship Id="rId5" Type="http://schemas.openxmlformats.org/officeDocument/2006/relationships/drawing" Target="../drawings/drawing75.xml"/><Relationship Id="rId4" Type="http://schemas.openxmlformats.org/officeDocument/2006/relationships/hyperlink" Target="https://www.trulia.com/" TargetMode="Externa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7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76.xml"/><Relationship Id="rId5" Type="http://schemas.openxmlformats.org/officeDocument/2006/relationships/vmlDrawing" Target="../drawings/vmlDrawing76.vml"/><Relationship Id="rId4" Type="http://schemas.openxmlformats.org/officeDocument/2006/relationships/hyperlink" Target="https://www.trulia.com/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7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77.xml"/><Relationship Id="rId5" Type="http://schemas.openxmlformats.org/officeDocument/2006/relationships/vmlDrawing" Target="../drawings/vmlDrawing77.vml"/><Relationship Id="rId4" Type="http://schemas.openxmlformats.org/officeDocument/2006/relationships/hyperlink" Target="https://www.trulia.com/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7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78.xml"/><Relationship Id="rId5" Type="http://schemas.openxmlformats.org/officeDocument/2006/relationships/vmlDrawing" Target="../drawings/vmlDrawing78.vml"/><Relationship Id="rId4" Type="http://schemas.openxmlformats.org/officeDocument/2006/relationships/hyperlink" Target="https://www.trulia.com/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7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79.xml"/><Relationship Id="rId5" Type="http://schemas.openxmlformats.org/officeDocument/2006/relationships/vmlDrawing" Target="../drawings/vmlDrawing79.vml"/><Relationship Id="rId4" Type="http://schemas.openxmlformats.org/officeDocument/2006/relationships/hyperlink" Target="https://www.trulia.com/" TargetMode="Externa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0.xml"/><Relationship Id="rId5" Type="http://schemas.openxmlformats.org/officeDocument/2006/relationships/vmlDrawing" Target="../drawings/vmlDrawing80.vml"/><Relationship Id="rId4" Type="http://schemas.openxmlformats.org/officeDocument/2006/relationships/hyperlink" Target="https://www.trulia.com/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1.xml"/><Relationship Id="rId5" Type="http://schemas.openxmlformats.org/officeDocument/2006/relationships/vmlDrawing" Target="../drawings/vmlDrawing81.vml"/><Relationship Id="rId4" Type="http://schemas.openxmlformats.org/officeDocument/2006/relationships/hyperlink" Target="https://www.trulia.com/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2.xml"/><Relationship Id="rId5" Type="http://schemas.openxmlformats.org/officeDocument/2006/relationships/vmlDrawing" Target="../drawings/vmlDrawing82.vml"/><Relationship Id="rId4" Type="http://schemas.openxmlformats.org/officeDocument/2006/relationships/hyperlink" Target="https://www.trulia.com/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3.xml"/><Relationship Id="rId5" Type="http://schemas.openxmlformats.org/officeDocument/2006/relationships/vmlDrawing" Target="../drawings/vmlDrawing83.vml"/><Relationship Id="rId4" Type="http://schemas.openxmlformats.org/officeDocument/2006/relationships/hyperlink" Target="https://www.trulia.com/" TargetMode="Externa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4.xml"/><Relationship Id="rId5" Type="http://schemas.openxmlformats.org/officeDocument/2006/relationships/vmlDrawing" Target="../drawings/vmlDrawing84.vml"/><Relationship Id="rId4" Type="http://schemas.openxmlformats.org/officeDocument/2006/relationships/hyperlink" Target="https://www.trulia.com/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5.xml"/><Relationship Id="rId5" Type="http://schemas.openxmlformats.org/officeDocument/2006/relationships/vmlDrawing" Target="../drawings/vmlDrawing85.vml"/><Relationship Id="rId4" Type="http://schemas.openxmlformats.org/officeDocument/2006/relationships/hyperlink" Target="https://www.trulia.com/" TargetMode="Externa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6.xml"/><Relationship Id="rId5" Type="http://schemas.openxmlformats.org/officeDocument/2006/relationships/vmlDrawing" Target="../drawings/vmlDrawing86.vml"/><Relationship Id="rId4" Type="http://schemas.openxmlformats.org/officeDocument/2006/relationships/hyperlink" Target="https://www.trulia.com/" TargetMode="Externa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7.xml"/><Relationship Id="rId5" Type="http://schemas.openxmlformats.org/officeDocument/2006/relationships/vmlDrawing" Target="../drawings/vmlDrawing87.vml"/><Relationship Id="rId4" Type="http://schemas.openxmlformats.org/officeDocument/2006/relationships/hyperlink" Target="https://www.trulia.com/" TargetMode="Externa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8.xml"/><Relationship Id="rId5" Type="http://schemas.openxmlformats.org/officeDocument/2006/relationships/vmlDrawing" Target="../drawings/vmlDrawing88.vml"/><Relationship Id="rId4" Type="http://schemas.openxmlformats.org/officeDocument/2006/relationships/hyperlink" Target="https://www.trulia.com/" TargetMode="Externa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8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89.xml"/><Relationship Id="rId5" Type="http://schemas.openxmlformats.org/officeDocument/2006/relationships/vmlDrawing" Target="../drawings/vmlDrawing89.vml"/><Relationship Id="rId4" Type="http://schemas.openxmlformats.org/officeDocument/2006/relationships/hyperlink" Target="https://www.trulia.com/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0.xml"/><Relationship Id="rId5" Type="http://schemas.openxmlformats.org/officeDocument/2006/relationships/vmlDrawing" Target="../drawings/vmlDrawing90.vml"/><Relationship Id="rId4" Type="http://schemas.openxmlformats.org/officeDocument/2006/relationships/hyperlink" Target="https://www.trulia.com/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1.xml"/><Relationship Id="rId5" Type="http://schemas.openxmlformats.org/officeDocument/2006/relationships/vmlDrawing" Target="../drawings/vmlDrawing91.vml"/><Relationship Id="rId4" Type="http://schemas.openxmlformats.org/officeDocument/2006/relationships/hyperlink" Target="https://www.trulia.com/" TargetMode="Externa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2.xml"/><Relationship Id="rId5" Type="http://schemas.openxmlformats.org/officeDocument/2006/relationships/vmlDrawing" Target="../drawings/vmlDrawing92.vml"/><Relationship Id="rId4" Type="http://schemas.openxmlformats.org/officeDocument/2006/relationships/hyperlink" Target="https://www.trulia.com/" TargetMode="Externa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3.xml"/><Relationship Id="rId5" Type="http://schemas.openxmlformats.org/officeDocument/2006/relationships/vmlDrawing" Target="../drawings/vmlDrawing93.vml"/><Relationship Id="rId4" Type="http://schemas.openxmlformats.org/officeDocument/2006/relationships/hyperlink" Target="https://www.trulia.com/" TargetMode="Externa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4.xml"/><Relationship Id="rId5" Type="http://schemas.openxmlformats.org/officeDocument/2006/relationships/vmlDrawing" Target="../drawings/vmlDrawing94.vml"/><Relationship Id="rId4" Type="http://schemas.openxmlformats.org/officeDocument/2006/relationships/hyperlink" Target="https://www.trulia.com/" TargetMode="Externa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5.xml"/><Relationship Id="rId5" Type="http://schemas.openxmlformats.org/officeDocument/2006/relationships/vmlDrawing" Target="../drawings/vmlDrawing95.vml"/><Relationship Id="rId4" Type="http://schemas.openxmlformats.org/officeDocument/2006/relationships/hyperlink" Target="https://www.trulia.com/" TargetMode="Externa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6.xml"/><Relationship Id="rId5" Type="http://schemas.openxmlformats.org/officeDocument/2006/relationships/vmlDrawing" Target="../drawings/vmlDrawing96.vml"/><Relationship Id="rId4" Type="http://schemas.openxmlformats.org/officeDocument/2006/relationships/hyperlink" Target="https://www.trulia.com/" TargetMode="Externa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7.xml"/><Relationship Id="rId5" Type="http://schemas.openxmlformats.org/officeDocument/2006/relationships/vmlDrawing" Target="../drawings/vmlDrawing97.vml"/><Relationship Id="rId4" Type="http://schemas.openxmlformats.org/officeDocument/2006/relationships/hyperlink" Target="https://www.trulia.com/" TargetMode="Externa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8.xml"/><Relationship Id="rId5" Type="http://schemas.openxmlformats.org/officeDocument/2006/relationships/vmlDrawing" Target="../drawings/vmlDrawing98.vml"/><Relationship Id="rId4" Type="http://schemas.openxmlformats.org/officeDocument/2006/relationships/hyperlink" Target="https://www.trulia.com/" TargetMode="Externa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9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99.xml"/><Relationship Id="rId5" Type="http://schemas.openxmlformats.org/officeDocument/2006/relationships/vmlDrawing" Target="../drawings/vmlDrawing99.vml"/><Relationship Id="rId4" Type="http://schemas.openxmlformats.org/officeDocument/2006/relationships/hyperlink" Target="https://www.trulia.com/" TargetMode="Externa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0.xml"/><Relationship Id="rId5" Type="http://schemas.openxmlformats.org/officeDocument/2006/relationships/vmlDrawing" Target="../drawings/vmlDrawing100.vml"/><Relationship Id="rId4" Type="http://schemas.openxmlformats.org/officeDocument/2006/relationships/hyperlink" Target="https://www.trulia.com/" TargetMode="External"/></Relationships>
</file>

<file path=xl/worksheets/_rels/sheet10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0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0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01.v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trulia.com/" TargetMode="Externa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2.xml"/><Relationship Id="rId5" Type="http://schemas.openxmlformats.org/officeDocument/2006/relationships/vmlDrawing" Target="../drawings/vmlDrawing102.vml"/><Relationship Id="rId4" Type="http://schemas.openxmlformats.org/officeDocument/2006/relationships/hyperlink" Target="https://www.trulia.com/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3.xml"/><Relationship Id="rId5" Type="http://schemas.openxmlformats.org/officeDocument/2006/relationships/vmlDrawing" Target="../drawings/vmlDrawing103.vml"/><Relationship Id="rId4" Type="http://schemas.openxmlformats.org/officeDocument/2006/relationships/hyperlink" Target="https://www.trulia.com/" TargetMode="Externa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4.xml"/><Relationship Id="rId5" Type="http://schemas.openxmlformats.org/officeDocument/2006/relationships/vmlDrawing" Target="../drawings/vmlDrawing104.vml"/><Relationship Id="rId4" Type="http://schemas.openxmlformats.org/officeDocument/2006/relationships/hyperlink" Target="https://www.trulia.com/" TargetMode="Externa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5.xml"/><Relationship Id="rId5" Type="http://schemas.openxmlformats.org/officeDocument/2006/relationships/vmlDrawing" Target="../drawings/vmlDrawing105.vml"/><Relationship Id="rId4" Type="http://schemas.openxmlformats.org/officeDocument/2006/relationships/hyperlink" Target="https://www.trulia.com/" TargetMode="Externa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6.xml"/><Relationship Id="rId5" Type="http://schemas.openxmlformats.org/officeDocument/2006/relationships/vmlDrawing" Target="../drawings/vmlDrawing106.vml"/><Relationship Id="rId4" Type="http://schemas.openxmlformats.org/officeDocument/2006/relationships/hyperlink" Target="https://www.trulia.com/" TargetMode="Externa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7.xml"/><Relationship Id="rId5" Type="http://schemas.openxmlformats.org/officeDocument/2006/relationships/vmlDrawing" Target="../drawings/vmlDrawing107.vml"/><Relationship Id="rId4" Type="http://schemas.openxmlformats.org/officeDocument/2006/relationships/hyperlink" Target="https://www.trulia.com/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8.xml"/><Relationship Id="rId5" Type="http://schemas.openxmlformats.org/officeDocument/2006/relationships/vmlDrawing" Target="../drawings/vmlDrawing108.vml"/><Relationship Id="rId4" Type="http://schemas.openxmlformats.org/officeDocument/2006/relationships/hyperlink" Target="https://www.trulia.com/" TargetMode="Externa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0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09.xml"/><Relationship Id="rId5" Type="http://schemas.openxmlformats.org/officeDocument/2006/relationships/vmlDrawing" Target="../drawings/vmlDrawing109.vml"/><Relationship Id="rId4" Type="http://schemas.openxmlformats.org/officeDocument/2006/relationships/hyperlink" Target="https://www.trulia.com/" TargetMode="Externa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0.xml"/><Relationship Id="rId5" Type="http://schemas.openxmlformats.org/officeDocument/2006/relationships/vmlDrawing" Target="../drawings/vmlDrawing110.vml"/><Relationship Id="rId4" Type="http://schemas.openxmlformats.org/officeDocument/2006/relationships/hyperlink" Target="https://www.trulia.com/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1.xml"/><Relationship Id="rId5" Type="http://schemas.openxmlformats.org/officeDocument/2006/relationships/vmlDrawing" Target="../drawings/vmlDrawing111.vml"/><Relationship Id="rId4" Type="http://schemas.openxmlformats.org/officeDocument/2006/relationships/hyperlink" Target="https://www.trulia.com/" TargetMode="Externa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2.xml"/><Relationship Id="rId5" Type="http://schemas.openxmlformats.org/officeDocument/2006/relationships/vmlDrawing" Target="../drawings/vmlDrawing112.vml"/><Relationship Id="rId4" Type="http://schemas.openxmlformats.org/officeDocument/2006/relationships/hyperlink" Target="https://www.trulia.com/" TargetMode="Externa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3.xml"/><Relationship Id="rId5" Type="http://schemas.openxmlformats.org/officeDocument/2006/relationships/vmlDrawing" Target="../drawings/vmlDrawing113.vml"/><Relationship Id="rId4" Type="http://schemas.openxmlformats.org/officeDocument/2006/relationships/hyperlink" Target="https://www.trulia.com/" TargetMode="Externa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4.xml"/><Relationship Id="rId5" Type="http://schemas.openxmlformats.org/officeDocument/2006/relationships/vmlDrawing" Target="../drawings/vmlDrawing114.vml"/><Relationship Id="rId4" Type="http://schemas.openxmlformats.org/officeDocument/2006/relationships/hyperlink" Target="https://www.trulia.com/" TargetMode="Externa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5.xml"/><Relationship Id="rId5" Type="http://schemas.openxmlformats.org/officeDocument/2006/relationships/vmlDrawing" Target="../drawings/vmlDrawing115.vml"/><Relationship Id="rId4" Type="http://schemas.openxmlformats.org/officeDocument/2006/relationships/hyperlink" Target="https://www.trulia.com/" TargetMode="Externa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6.xml"/><Relationship Id="rId5" Type="http://schemas.openxmlformats.org/officeDocument/2006/relationships/vmlDrawing" Target="../drawings/vmlDrawing116.vml"/><Relationship Id="rId4" Type="http://schemas.openxmlformats.org/officeDocument/2006/relationships/hyperlink" Target="https://www.trulia.com/" TargetMode="Externa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7.xml"/><Relationship Id="rId5" Type="http://schemas.openxmlformats.org/officeDocument/2006/relationships/vmlDrawing" Target="../drawings/vmlDrawing117.vml"/><Relationship Id="rId4" Type="http://schemas.openxmlformats.org/officeDocument/2006/relationships/hyperlink" Target="https://www.trulia.com/" TargetMode="Externa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8.xml"/><Relationship Id="rId5" Type="http://schemas.openxmlformats.org/officeDocument/2006/relationships/vmlDrawing" Target="../drawings/vmlDrawing118.vml"/><Relationship Id="rId4" Type="http://schemas.openxmlformats.org/officeDocument/2006/relationships/hyperlink" Target="https://www.trulia.com/" TargetMode="Externa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1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19.xml"/><Relationship Id="rId5" Type="http://schemas.openxmlformats.org/officeDocument/2006/relationships/vmlDrawing" Target="../drawings/vmlDrawing119.vml"/><Relationship Id="rId4" Type="http://schemas.openxmlformats.org/officeDocument/2006/relationships/hyperlink" Target="https://www.trulia.com/" TargetMode="Externa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0.xml"/><Relationship Id="rId5" Type="http://schemas.openxmlformats.org/officeDocument/2006/relationships/vmlDrawing" Target="../drawings/vmlDrawing120.vml"/><Relationship Id="rId4" Type="http://schemas.openxmlformats.org/officeDocument/2006/relationships/hyperlink" Target="https://www.trulia.com/" TargetMode="Externa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1.xml"/><Relationship Id="rId5" Type="http://schemas.openxmlformats.org/officeDocument/2006/relationships/vmlDrawing" Target="../drawings/vmlDrawing121.vml"/><Relationship Id="rId4" Type="http://schemas.openxmlformats.org/officeDocument/2006/relationships/hyperlink" Target="https://www.trulia.com/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2.xml"/><Relationship Id="rId5" Type="http://schemas.openxmlformats.org/officeDocument/2006/relationships/vmlDrawing" Target="../drawings/vmlDrawing122.vml"/><Relationship Id="rId4" Type="http://schemas.openxmlformats.org/officeDocument/2006/relationships/hyperlink" Target="https://www.trulia.com/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3.xml"/><Relationship Id="rId5" Type="http://schemas.openxmlformats.org/officeDocument/2006/relationships/vmlDrawing" Target="../drawings/vmlDrawing123.vml"/><Relationship Id="rId4" Type="http://schemas.openxmlformats.org/officeDocument/2006/relationships/hyperlink" Target="https://www.trulia.com/" TargetMode="Externa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4.xml"/><Relationship Id="rId5" Type="http://schemas.openxmlformats.org/officeDocument/2006/relationships/vmlDrawing" Target="../drawings/vmlDrawing124.vml"/><Relationship Id="rId4" Type="http://schemas.openxmlformats.org/officeDocument/2006/relationships/hyperlink" Target="https://www.trulia.com/" TargetMode="Externa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5.xml"/><Relationship Id="rId5" Type="http://schemas.openxmlformats.org/officeDocument/2006/relationships/vmlDrawing" Target="../drawings/vmlDrawing125.vml"/><Relationship Id="rId4" Type="http://schemas.openxmlformats.org/officeDocument/2006/relationships/hyperlink" Target="https://www.trulia.com/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6.xml"/><Relationship Id="rId5" Type="http://schemas.openxmlformats.org/officeDocument/2006/relationships/vmlDrawing" Target="../drawings/vmlDrawing126.vml"/><Relationship Id="rId4" Type="http://schemas.openxmlformats.org/officeDocument/2006/relationships/hyperlink" Target="https://www.trulia.com/" TargetMode="Externa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7.xml"/><Relationship Id="rId5" Type="http://schemas.openxmlformats.org/officeDocument/2006/relationships/vmlDrawing" Target="../drawings/vmlDrawing127.vml"/><Relationship Id="rId4" Type="http://schemas.openxmlformats.org/officeDocument/2006/relationships/hyperlink" Target="https://www.trulia.com/" TargetMode="Externa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8.xml"/><Relationship Id="rId5" Type="http://schemas.openxmlformats.org/officeDocument/2006/relationships/vmlDrawing" Target="../drawings/vmlDrawing128.vml"/><Relationship Id="rId4" Type="http://schemas.openxmlformats.org/officeDocument/2006/relationships/hyperlink" Target="https://www.trulia.com/" TargetMode="Externa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2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29.xml"/><Relationship Id="rId5" Type="http://schemas.openxmlformats.org/officeDocument/2006/relationships/vmlDrawing" Target="../drawings/vmlDrawing129.vml"/><Relationship Id="rId4" Type="http://schemas.openxmlformats.org/officeDocument/2006/relationships/hyperlink" Target="https://www.trulia.com/" TargetMode="Externa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0.xml"/><Relationship Id="rId5" Type="http://schemas.openxmlformats.org/officeDocument/2006/relationships/vmlDrawing" Target="../drawings/vmlDrawing130.vml"/><Relationship Id="rId4" Type="http://schemas.openxmlformats.org/officeDocument/2006/relationships/hyperlink" Target="https://www.trulia.com/" TargetMode="Externa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1.xml"/><Relationship Id="rId5" Type="http://schemas.openxmlformats.org/officeDocument/2006/relationships/vmlDrawing" Target="../drawings/vmlDrawing131.vml"/><Relationship Id="rId4" Type="http://schemas.openxmlformats.org/officeDocument/2006/relationships/hyperlink" Target="https://www.trulia.com/" TargetMode="Externa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2.xml"/><Relationship Id="rId5" Type="http://schemas.openxmlformats.org/officeDocument/2006/relationships/vmlDrawing" Target="../drawings/vmlDrawing132.vml"/><Relationship Id="rId4" Type="http://schemas.openxmlformats.org/officeDocument/2006/relationships/hyperlink" Target="https://www.trulia.com/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3.xml"/><Relationship Id="rId5" Type="http://schemas.openxmlformats.org/officeDocument/2006/relationships/vmlDrawing" Target="../drawings/vmlDrawing133.vml"/><Relationship Id="rId4" Type="http://schemas.openxmlformats.org/officeDocument/2006/relationships/hyperlink" Target="https://www.trulia.com/" TargetMode="Externa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4.xml"/><Relationship Id="rId5" Type="http://schemas.openxmlformats.org/officeDocument/2006/relationships/vmlDrawing" Target="../drawings/vmlDrawing134.vml"/><Relationship Id="rId4" Type="http://schemas.openxmlformats.org/officeDocument/2006/relationships/hyperlink" Target="https://www.trulia.com/" TargetMode="Externa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5.xml"/><Relationship Id="rId5" Type="http://schemas.openxmlformats.org/officeDocument/2006/relationships/vmlDrawing" Target="../drawings/vmlDrawing135.vml"/><Relationship Id="rId4" Type="http://schemas.openxmlformats.org/officeDocument/2006/relationships/hyperlink" Target="https://www.trulia.com/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6.xml"/><Relationship Id="rId5" Type="http://schemas.openxmlformats.org/officeDocument/2006/relationships/vmlDrawing" Target="../drawings/vmlDrawing136.vml"/><Relationship Id="rId4" Type="http://schemas.openxmlformats.org/officeDocument/2006/relationships/hyperlink" Target="https://www.trulia.com/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7.xml"/><Relationship Id="rId5" Type="http://schemas.openxmlformats.org/officeDocument/2006/relationships/vmlDrawing" Target="../drawings/vmlDrawing137.vml"/><Relationship Id="rId4" Type="http://schemas.openxmlformats.org/officeDocument/2006/relationships/hyperlink" Target="https://www.trulia.com/" TargetMode="Externa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8.xml"/><Relationship Id="rId5" Type="http://schemas.openxmlformats.org/officeDocument/2006/relationships/vmlDrawing" Target="../drawings/vmlDrawing138.vml"/><Relationship Id="rId4" Type="http://schemas.openxmlformats.org/officeDocument/2006/relationships/hyperlink" Target="https://www.trulia.com/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3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39.xml"/><Relationship Id="rId5" Type="http://schemas.openxmlformats.org/officeDocument/2006/relationships/vmlDrawing" Target="../drawings/vmlDrawing139.vml"/><Relationship Id="rId4" Type="http://schemas.openxmlformats.org/officeDocument/2006/relationships/hyperlink" Target="https://www.trulia.com/" TargetMode="Externa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0.xml"/><Relationship Id="rId5" Type="http://schemas.openxmlformats.org/officeDocument/2006/relationships/vmlDrawing" Target="../drawings/vmlDrawing140.vml"/><Relationship Id="rId4" Type="http://schemas.openxmlformats.org/officeDocument/2006/relationships/hyperlink" Target="https://www.trulia.com/" TargetMode="Externa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1.xml"/><Relationship Id="rId5" Type="http://schemas.openxmlformats.org/officeDocument/2006/relationships/vmlDrawing" Target="../drawings/vmlDrawing141.vml"/><Relationship Id="rId4" Type="http://schemas.openxmlformats.org/officeDocument/2006/relationships/hyperlink" Target="https://www.trulia.com/" TargetMode="Externa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2.xml"/><Relationship Id="rId5" Type="http://schemas.openxmlformats.org/officeDocument/2006/relationships/vmlDrawing" Target="../drawings/vmlDrawing142.vml"/><Relationship Id="rId4" Type="http://schemas.openxmlformats.org/officeDocument/2006/relationships/hyperlink" Target="https://www.trulia.com/" TargetMode="Externa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3.xml"/><Relationship Id="rId5" Type="http://schemas.openxmlformats.org/officeDocument/2006/relationships/vmlDrawing" Target="../drawings/vmlDrawing143.vml"/><Relationship Id="rId4" Type="http://schemas.openxmlformats.org/officeDocument/2006/relationships/hyperlink" Target="https://www.trulia.com/" TargetMode="Externa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4.xml"/><Relationship Id="rId5" Type="http://schemas.openxmlformats.org/officeDocument/2006/relationships/vmlDrawing" Target="../drawings/vmlDrawing144.vml"/><Relationship Id="rId4" Type="http://schemas.openxmlformats.org/officeDocument/2006/relationships/hyperlink" Target="https://www.trulia.com/" TargetMode="Externa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5.xml"/><Relationship Id="rId5" Type="http://schemas.openxmlformats.org/officeDocument/2006/relationships/vmlDrawing" Target="../drawings/vmlDrawing145.vml"/><Relationship Id="rId4" Type="http://schemas.openxmlformats.org/officeDocument/2006/relationships/hyperlink" Target="https://www.trulia.com/" TargetMode="Externa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6.xml"/><Relationship Id="rId5" Type="http://schemas.openxmlformats.org/officeDocument/2006/relationships/vmlDrawing" Target="../drawings/vmlDrawing146.vml"/><Relationship Id="rId4" Type="http://schemas.openxmlformats.org/officeDocument/2006/relationships/hyperlink" Target="https://www.trulia.com/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7.xml"/><Relationship Id="rId5" Type="http://schemas.openxmlformats.org/officeDocument/2006/relationships/vmlDrawing" Target="../drawings/vmlDrawing147.vml"/><Relationship Id="rId4" Type="http://schemas.openxmlformats.org/officeDocument/2006/relationships/hyperlink" Target="https://www.trulia.com/" TargetMode="Externa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8.xml"/><Relationship Id="rId5" Type="http://schemas.openxmlformats.org/officeDocument/2006/relationships/vmlDrawing" Target="../drawings/vmlDrawing148.vml"/><Relationship Id="rId4" Type="http://schemas.openxmlformats.org/officeDocument/2006/relationships/hyperlink" Target="https://www.trulia.com/" TargetMode="Externa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ortgagecalculator.org/" TargetMode="External"/><Relationship Id="rId7" Type="http://schemas.microsoft.com/office/2017/10/relationships/threadedComment" Target="../threadedComments/threadedComment14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comments" Target="../comments149.xml"/><Relationship Id="rId5" Type="http://schemas.openxmlformats.org/officeDocument/2006/relationships/vmlDrawing" Target="../drawings/vmlDrawing149.vml"/><Relationship Id="rId4" Type="http://schemas.openxmlformats.org/officeDocument/2006/relationships/hyperlink" Target="https://www.trulia.com/" TargetMode="External"/></Relationships>
</file>

<file path=xl/worksheets/_rels/sheet15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0.vml"/><Relationship Id="rId5" Type="http://schemas.openxmlformats.org/officeDocument/2006/relationships/drawing" Target="../drawings/drawing76.xml"/><Relationship Id="rId4" Type="http://schemas.openxmlformats.org/officeDocument/2006/relationships/hyperlink" Target="https://www.trulia.com/" TargetMode="External"/></Relationships>
</file>

<file path=xl/worksheets/_rels/sheet15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1.vml"/><Relationship Id="rId5" Type="http://schemas.openxmlformats.org/officeDocument/2006/relationships/drawing" Target="../drawings/drawing77.xml"/><Relationship Id="rId4" Type="http://schemas.openxmlformats.org/officeDocument/2006/relationships/hyperlink" Target="https://www.trulia.com/" TargetMode="External"/></Relationships>
</file>

<file path=xl/worksheets/_rels/sheet15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2.vml"/><Relationship Id="rId5" Type="http://schemas.openxmlformats.org/officeDocument/2006/relationships/drawing" Target="../drawings/drawing78.xml"/><Relationship Id="rId4" Type="http://schemas.openxmlformats.org/officeDocument/2006/relationships/hyperlink" Target="https://www.trulia.com/" TargetMode="External"/></Relationships>
</file>

<file path=xl/worksheets/_rels/sheet15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3.vml"/><Relationship Id="rId5" Type="http://schemas.openxmlformats.org/officeDocument/2006/relationships/drawing" Target="../drawings/drawing79.xml"/><Relationship Id="rId4" Type="http://schemas.openxmlformats.org/officeDocument/2006/relationships/hyperlink" Target="https://www.trulia.com/" TargetMode="External"/></Relationships>
</file>

<file path=xl/worksheets/_rels/sheet15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4.vml"/><Relationship Id="rId5" Type="http://schemas.openxmlformats.org/officeDocument/2006/relationships/drawing" Target="../drawings/drawing80.xml"/><Relationship Id="rId4" Type="http://schemas.openxmlformats.org/officeDocument/2006/relationships/hyperlink" Target="https://www.trulia.com/" TargetMode="External"/></Relationships>
</file>

<file path=xl/worksheets/_rels/sheet15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5.vml"/><Relationship Id="rId5" Type="http://schemas.openxmlformats.org/officeDocument/2006/relationships/drawing" Target="../drawings/drawing81.xml"/><Relationship Id="rId4" Type="http://schemas.openxmlformats.org/officeDocument/2006/relationships/hyperlink" Target="https://www.trulia.com/" TargetMode="External"/></Relationships>
</file>

<file path=xl/worksheets/_rels/sheet15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6.vml"/><Relationship Id="rId5" Type="http://schemas.openxmlformats.org/officeDocument/2006/relationships/drawing" Target="../drawings/drawing82.xml"/><Relationship Id="rId4" Type="http://schemas.openxmlformats.org/officeDocument/2006/relationships/hyperlink" Target="https://www.trulia.com/" TargetMode="External"/></Relationships>
</file>

<file path=xl/worksheets/_rels/sheet15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7.vml"/><Relationship Id="rId5" Type="http://schemas.openxmlformats.org/officeDocument/2006/relationships/drawing" Target="../drawings/drawing83.xml"/><Relationship Id="rId4" Type="http://schemas.openxmlformats.org/officeDocument/2006/relationships/hyperlink" Target="https://www.trulia.com/" TargetMode="External"/></Relationships>
</file>

<file path=xl/worksheets/_rels/sheet15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8.vml"/><Relationship Id="rId5" Type="http://schemas.openxmlformats.org/officeDocument/2006/relationships/drawing" Target="../drawings/drawing84.xml"/><Relationship Id="rId4" Type="http://schemas.openxmlformats.org/officeDocument/2006/relationships/hyperlink" Target="https://www.trulia.com/" TargetMode="External"/></Relationships>
</file>

<file path=xl/worksheets/_rels/sheet15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5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5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59.vml"/><Relationship Id="rId5" Type="http://schemas.openxmlformats.org/officeDocument/2006/relationships/drawing" Target="../drawings/drawing85.xml"/><Relationship Id="rId4" Type="http://schemas.openxmlformats.org/officeDocument/2006/relationships/hyperlink" Target="https://www.trulia.com/" TargetMode="External"/></Relationships>
</file>

<file path=xl/worksheets/_rels/sheet16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0.vml"/><Relationship Id="rId5" Type="http://schemas.openxmlformats.org/officeDocument/2006/relationships/drawing" Target="../drawings/drawing86.xml"/><Relationship Id="rId4" Type="http://schemas.openxmlformats.org/officeDocument/2006/relationships/hyperlink" Target="https://www.trulia.com/" TargetMode="External"/></Relationships>
</file>

<file path=xl/worksheets/_rels/sheet16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1.vml"/><Relationship Id="rId5" Type="http://schemas.openxmlformats.org/officeDocument/2006/relationships/drawing" Target="../drawings/drawing87.xml"/><Relationship Id="rId4" Type="http://schemas.openxmlformats.org/officeDocument/2006/relationships/hyperlink" Target="https://www.trulia.com/" TargetMode="External"/></Relationships>
</file>

<file path=xl/worksheets/_rels/sheet16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2.vml"/><Relationship Id="rId5" Type="http://schemas.openxmlformats.org/officeDocument/2006/relationships/drawing" Target="../drawings/drawing88.xml"/><Relationship Id="rId4" Type="http://schemas.openxmlformats.org/officeDocument/2006/relationships/hyperlink" Target="https://www.trulia.com/" TargetMode="External"/></Relationships>
</file>

<file path=xl/worksheets/_rels/sheet16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3.vml"/><Relationship Id="rId5" Type="http://schemas.openxmlformats.org/officeDocument/2006/relationships/drawing" Target="../drawings/drawing89.xml"/><Relationship Id="rId4" Type="http://schemas.openxmlformats.org/officeDocument/2006/relationships/hyperlink" Target="https://www.trulia.com/" TargetMode="External"/></Relationships>
</file>

<file path=xl/worksheets/_rels/sheet16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4.vml"/><Relationship Id="rId5" Type="http://schemas.openxmlformats.org/officeDocument/2006/relationships/drawing" Target="../drawings/drawing90.xml"/><Relationship Id="rId4" Type="http://schemas.openxmlformats.org/officeDocument/2006/relationships/hyperlink" Target="https://www.trulia.com/" TargetMode="External"/></Relationships>
</file>

<file path=xl/worksheets/_rels/sheet16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5.vml"/><Relationship Id="rId5" Type="http://schemas.openxmlformats.org/officeDocument/2006/relationships/drawing" Target="../drawings/drawing91.xml"/><Relationship Id="rId4" Type="http://schemas.openxmlformats.org/officeDocument/2006/relationships/hyperlink" Target="https://www.trulia.com/" TargetMode="External"/></Relationships>
</file>

<file path=xl/worksheets/_rels/sheet16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6.vml"/><Relationship Id="rId5" Type="http://schemas.openxmlformats.org/officeDocument/2006/relationships/drawing" Target="../drawings/drawing92.xml"/><Relationship Id="rId4" Type="http://schemas.openxmlformats.org/officeDocument/2006/relationships/hyperlink" Target="https://www.trulia.com/" TargetMode="External"/></Relationships>
</file>

<file path=xl/worksheets/_rels/sheet16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7.vml"/><Relationship Id="rId5" Type="http://schemas.openxmlformats.org/officeDocument/2006/relationships/drawing" Target="../drawings/drawing93.xml"/><Relationship Id="rId4" Type="http://schemas.openxmlformats.org/officeDocument/2006/relationships/hyperlink" Target="https://www.trulia.com/" TargetMode="External"/></Relationships>
</file>

<file path=xl/worksheets/_rels/sheet16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8.vml"/><Relationship Id="rId5" Type="http://schemas.openxmlformats.org/officeDocument/2006/relationships/drawing" Target="../drawings/drawing94.xml"/><Relationship Id="rId4" Type="http://schemas.openxmlformats.org/officeDocument/2006/relationships/hyperlink" Target="https://www.trulia.com/" TargetMode="External"/></Relationships>
</file>

<file path=xl/worksheets/_rels/sheet16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6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6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69.vml"/><Relationship Id="rId5" Type="http://schemas.openxmlformats.org/officeDocument/2006/relationships/drawing" Target="../drawings/drawing95.xml"/><Relationship Id="rId4" Type="http://schemas.openxmlformats.org/officeDocument/2006/relationships/hyperlink" Target="https://www.trulia.com/" TargetMode="External"/></Relationships>
</file>

<file path=xl/worksheets/_rels/sheet17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0.vml"/><Relationship Id="rId5" Type="http://schemas.openxmlformats.org/officeDocument/2006/relationships/drawing" Target="../drawings/drawing96.xml"/><Relationship Id="rId4" Type="http://schemas.openxmlformats.org/officeDocument/2006/relationships/hyperlink" Target="https://www.trulia.com/" TargetMode="External"/></Relationships>
</file>

<file path=xl/worksheets/_rels/sheet17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1.vml"/><Relationship Id="rId5" Type="http://schemas.openxmlformats.org/officeDocument/2006/relationships/drawing" Target="../drawings/drawing97.xml"/><Relationship Id="rId4" Type="http://schemas.openxmlformats.org/officeDocument/2006/relationships/hyperlink" Target="https://www.trulia.com/" TargetMode="External"/></Relationships>
</file>

<file path=xl/worksheets/_rels/sheet17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2.vml"/><Relationship Id="rId5" Type="http://schemas.openxmlformats.org/officeDocument/2006/relationships/drawing" Target="../drawings/drawing98.xml"/><Relationship Id="rId4" Type="http://schemas.openxmlformats.org/officeDocument/2006/relationships/hyperlink" Target="https://www.trulia.com/" TargetMode="External"/></Relationships>
</file>

<file path=xl/worksheets/_rels/sheet17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3.vml"/><Relationship Id="rId5" Type="http://schemas.openxmlformats.org/officeDocument/2006/relationships/drawing" Target="../drawings/drawing99.xml"/><Relationship Id="rId4" Type="http://schemas.openxmlformats.org/officeDocument/2006/relationships/hyperlink" Target="https://www.trulia.com/" TargetMode="External"/></Relationships>
</file>

<file path=xl/worksheets/_rels/sheet17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4.vml"/><Relationship Id="rId5" Type="http://schemas.openxmlformats.org/officeDocument/2006/relationships/drawing" Target="../drawings/drawing100.xml"/><Relationship Id="rId4" Type="http://schemas.openxmlformats.org/officeDocument/2006/relationships/hyperlink" Target="https://www.trulia.com/" TargetMode="External"/></Relationships>
</file>

<file path=xl/worksheets/_rels/sheet17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5.vml"/><Relationship Id="rId5" Type="http://schemas.openxmlformats.org/officeDocument/2006/relationships/drawing" Target="../drawings/drawing101.xml"/><Relationship Id="rId4" Type="http://schemas.openxmlformats.org/officeDocument/2006/relationships/hyperlink" Target="https://www.trulia.com/" TargetMode="External"/></Relationships>
</file>

<file path=xl/worksheets/_rels/sheet17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6.vml"/><Relationship Id="rId5" Type="http://schemas.openxmlformats.org/officeDocument/2006/relationships/drawing" Target="../drawings/drawing102.xml"/><Relationship Id="rId4" Type="http://schemas.openxmlformats.org/officeDocument/2006/relationships/hyperlink" Target="https://www.trulia.com/" TargetMode="External"/></Relationships>
</file>

<file path=xl/worksheets/_rels/sheet17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7.vml"/><Relationship Id="rId5" Type="http://schemas.openxmlformats.org/officeDocument/2006/relationships/drawing" Target="../drawings/drawing103.xml"/><Relationship Id="rId4" Type="http://schemas.openxmlformats.org/officeDocument/2006/relationships/hyperlink" Target="https://www.trulia.com/" TargetMode="External"/></Relationships>
</file>

<file path=xl/worksheets/_rels/sheet17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8.vml"/><Relationship Id="rId5" Type="http://schemas.openxmlformats.org/officeDocument/2006/relationships/drawing" Target="../drawings/drawing104.xml"/><Relationship Id="rId4" Type="http://schemas.openxmlformats.org/officeDocument/2006/relationships/hyperlink" Target="https://www.trulia.com/" TargetMode="External"/></Relationships>
</file>

<file path=xl/worksheets/_rels/sheet17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7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7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79.vml"/><Relationship Id="rId5" Type="http://schemas.openxmlformats.org/officeDocument/2006/relationships/drawing" Target="../drawings/drawing105.xml"/><Relationship Id="rId4" Type="http://schemas.openxmlformats.org/officeDocument/2006/relationships/hyperlink" Target="https://www.trulia.com/" TargetMode="External"/></Relationships>
</file>

<file path=xl/worksheets/_rels/sheet18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0.vml"/><Relationship Id="rId5" Type="http://schemas.openxmlformats.org/officeDocument/2006/relationships/drawing" Target="../drawings/drawing106.xml"/><Relationship Id="rId4" Type="http://schemas.openxmlformats.org/officeDocument/2006/relationships/hyperlink" Target="https://www.trulia.com/" TargetMode="External"/></Relationships>
</file>

<file path=xl/worksheets/_rels/sheet18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1.vml"/><Relationship Id="rId5" Type="http://schemas.openxmlformats.org/officeDocument/2006/relationships/drawing" Target="../drawings/drawing107.xml"/><Relationship Id="rId4" Type="http://schemas.openxmlformats.org/officeDocument/2006/relationships/hyperlink" Target="https://www.trulia.com/" TargetMode="External"/></Relationships>
</file>

<file path=xl/worksheets/_rels/sheet18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2.vml"/><Relationship Id="rId5" Type="http://schemas.openxmlformats.org/officeDocument/2006/relationships/drawing" Target="../drawings/drawing108.xml"/><Relationship Id="rId4" Type="http://schemas.openxmlformats.org/officeDocument/2006/relationships/hyperlink" Target="https://www.trulia.com/" TargetMode="External"/></Relationships>
</file>

<file path=xl/worksheets/_rels/sheet18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3.vml"/><Relationship Id="rId5" Type="http://schemas.openxmlformats.org/officeDocument/2006/relationships/drawing" Target="../drawings/drawing109.xml"/><Relationship Id="rId4" Type="http://schemas.openxmlformats.org/officeDocument/2006/relationships/hyperlink" Target="https://www.trulia.com/" TargetMode="External"/></Relationships>
</file>

<file path=xl/worksheets/_rels/sheet18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4.vml"/><Relationship Id="rId5" Type="http://schemas.openxmlformats.org/officeDocument/2006/relationships/drawing" Target="../drawings/drawing110.xml"/><Relationship Id="rId4" Type="http://schemas.openxmlformats.org/officeDocument/2006/relationships/hyperlink" Target="https://www.trulia.com/" TargetMode="External"/></Relationships>
</file>

<file path=xl/worksheets/_rels/sheet18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5.vml"/><Relationship Id="rId5" Type="http://schemas.openxmlformats.org/officeDocument/2006/relationships/drawing" Target="../drawings/drawing111.xml"/><Relationship Id="rId4" Type="http://schemas.openxmlformats.org/officeDocument/2006/relationships/hyperlink" Target="https://www.trulia.com/" TargetMode="External"/></Relationships>
</file>

<file path=xl/worksheets/_rels/sheet18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6.vml"/><Relationship Id="rId5" Type="http://schemas.openxmlformats.org/officeDocument/2006/relationships/drawing" Target="../drawings/drawing112.xml"/><Relationship Id="rId4" Type="http://schemas.openxmlformats.org/officeDocument/2006/relationships/hyperlink" Target="https://www.trulia.com/" TargetMode="External"/></Relationships>
</file>

<file path=xl/worksheets/_rels/sheet18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7.vml"/><Relationship Id="rId5" Type="http://schemas.openxmlformats.org/officeDocument/2006/relationships/drawing" Target="../drawings/drawing113.xml"/><Relationship Id="rId4" Type="http://schemas.openxmlformats.org/officeDocument/2006/relationships/hyperlink" Target="https://www.trulia.com/" TargetMode="External"/></Relationships>
</file>

<file path=xl/worksheets/_rels/sheet18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8.vml"/><Relationship Id="rId5" Type="http://schemas.openxmlformats.org/officeDocument/2006/relationships/drawing" Target="../drawings/drawing114.xml"/><Relationship Id="rId4" Type="http://schemas.openxmlformats.org/officeDocument/2006/relationships/hyperlink" Target="https://www.trulia.com/" TargetMode="External"/></Relationships>
</file>

<file path=xl/worksheets/_rels/sheet18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8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8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89.vml"/><Relationship Id="rId5" Type="http://schemas.openxmlformats.org/officeDocument/2006/relationships/drawing" Target="../drawings/drawing115.xml"/><Relationship Id="rId4" Type="http://schemas.openxmlformats.org/officeDocument/2006/relationships/hyperlink" Target="https://www.trulia.com/" TargetMode="External"/></Relationships>
</file>

<file path=xl/worksheets/_rels/sheet19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0.vml"/><Relationship Id="rId5" Type="http://schemas.openxmlformats.org/officeDocument/2006/relationships/drawing" Target="../drawings/drawing116.xml"/><Relationship Id="rId4" Type="http://schemas.openxmlformats.org/officeDocument/2006/relationships/hyperlink" Target="https://www.trulia.com/" TargetMode="External"/></Relationships>
</file>

<file path=xl/worksheets/_rels/sheet19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1.vml"/><Relationship Id="rId5" Type="http://schemas.openxmlformats.org/officeDocument/2006/relationships/drawing" Target="../drawings/drawing117.xml"/><Relationship Id="rId4" Type="http://schemas.openxmlformats.org/officeDocument/2006/relationships/hyperlink" Target="https://www.trulia.com/" TargetMode="External"/></Relationships>
</file>

<file path=xl/worksheets/_rels/sheet19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2.vml"/><Relationship Id="rId5" Type="http://schemas.openxmlformats.org/officeDocument/2006/relationships/drawing" Target="../drawings/drawing118.xml"/><Relationship Id="rId4" Type="http://schemas.openxmlformats.org/officeDocument/2006/relationships/hyperlink" Target="https://www.trulia.com/" TargetMode="External"/></Relationships>
</file>

<file path=xl/worksheets/_rels/sheet19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3.vml"/><Relationship Id="rId5" Type="http://schemas.openxmlformats.org/officeDocument/2006/relationships/drawing" Target="../drawings/drawing119.xml"/><Relationship Id="rId4" Type="http://schemas.openxmlformats.org/officeDocument/2006/relationships/hyperlink" Target="https://www.trulia.com/" TargetMode="External"/></Relationships>
</file>

<file path=xl/worksheets/_rels/sheet19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4.vml"/><Relationship Id="rId5" Type="http://schemas.openxmlformats.org/officeDocument/2006/relationships/drawing" Target="../drawings/drawing120.xml"/><Relationship Id="rId4" Type="http://schemas.openxmlformats.org/officeDocument/2006/relationships/hyperlink" Target="https://www.trulia.com/" TargetMode="External"/></Relationships>
</file>

<file path=xl/worksheets/_rels/sheet19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5.vml"/><Relationship Id="rId5" Type="http://schemas.openxmlformats.org/officeDocument/2006/relationships/drawing" Target="../drawings/drawing121.xml"/><Relationship Id="rId4" Type="http://schemas.openxmlformats.org/officeDocument/2006/relationships/hyperlink" Target="https://www.trulia.com/" TargetMode="External"/></Relationships>
</file>

<file path=xl/worksheets/_rels/sheet19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6.vml"/><Relationship Id="rId5" Type="http://schemas.openxmlformats.org/officeDocument/2006/relationships/drawing" Target="../drawings/drawing122.xml"/><Relationship Id="rId4" Type="http://schemas.openxmlformats.org/officeDocument/2006/relationships/hyperlink" Target="https://www.trulia.com/" TargetMode="External"/></Relationships>
</file>

<file path=xl/worksheets/_rels/sheet19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7.vml"/><Relationship Id="rId5" Type="http://schemas.openxmlformats.org/officeDocument/2006/relationships/drawing" Target="../drawings/drawing123.xml"/><Relationship Id="rId4" Type="http://schemas.openxmlformats.org/officeDocument/2006/relationships/hyperlink" Target="https://www.trulia.com/" TargetMode="External"/></Relationships>
</file>

<file path=xl/worksheets/_rels/sheet19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8.vml"/><Relationship Id="rId5" Type="http://schemas.openxmlformats.org/officeDocument/2006/relationships/drawing" Target="../drawings/drawing124.xml"/><Relationship Id="rId4" Type="http://schemas.openxmlformats.org/officeDocument/2006/relationships/hyperlink" Target="https://www.trulia.com/" TargetMode="External"/></Relationships>
</file>

<file path=xl/worksheets/_rels/sheet19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9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19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199.vml"/><Relationship Id="rId5" Type="http://schemas.openxmlformats.org/officeDocument/2006/relationships/drawing" Target="../drawings/drawing125.xml"/><Relationship Id="rId4" Type="http://schemas.openxmlformats.org/officeDocument/2006/relationships/hyperlink" Target="https://www.trulia.com/" TargetMode="External"/></Relationships>
</file>

<file path=xl/worksheets/_rels/sheet20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0.vml"/><Relationship Id="rId5" Type="http://schemas.openxmlformats.org/officeDocument/2006/relationships/drawing" Target="../drawings/drawing126.xml"/><Relationship Id="rId4" Type="http://schemas.openxmlformats.org/officeDocument/2006/relationships/hyperlink" Target="https://www.trulia.com/" TargetMode="External"/></Relationships>
</file>

<file path=xl/worksheets/_rels/sheet20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1.vml"/><Relationship Id="rId5" Type="http://schemas.openxmlformats.org/officeDocument/2006/relationships/drawing" Target="../drawings/drawing127.xml"/><Relationship Id="rId4" Type="http://schemas.openxmlformats.org/officeDocument/2006/relationships/hyperlink" Target="https://www.trulia.com/" TargetMode="External"/></Relationships>
</file>

<file path=xl/worksheets/_rels/sheet20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2.vml"/><Relationship Id="rId5" Type="http://schemas.openxmlformats.org/officeDocument/2006/relationships/drawing" Target="../drawings/drawing128.xml"/><Relationship Id="rId4" Type="http://schemas.openxmlformats.org/officeDocument/2006/relationships/hyperlink" Target="https://www.trulia.com/" TargetMode="External"/></Relationships>
</file>

<file path=xl/worksheets/_rels/sheet20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3.vml"/><Relationship Id="rId5" Type="http://schemas.openxmlformats.org/officeDocument/2006/relationships/drawing" Target="../drawings/drawing129.xml"/><Relationship Id="rId4" Type="http://schemas.openxmlformats.org/officeDocument/2006/relationships/hyperlink" Target="https://www.trulia.com/" TargetMode="External"/></Relationships>
</file>

<file path=xl/worksheets/_rels/sheet20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4.vml"/><Relationship Id="rId5" Type="http://schemas.openxmlformats.org/officeDocument/2006/relationships/drawing" Target="../drawings/drawing130.xml"/><Relationship Id="rId4" Type="http://schemas.openxmlformats.org/officeDocument/2006/relationships/hyperlink" Target="https://www.trulia.com/" TargetMode="External"/></Relationships>
</file>

<file path=xl/worksheets/_rels/sheet20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5.vml"/><Relationship Id="rId5" Type="http://schemas.openxmlformats.org/officeDocument/2006/relationships/drawing" Target="../drawings/drawing131.xml"/><Relationship Id="rId4" Type="http://schemas.openxmlformats.org/officeDocument/2006/relationships/hyperlink" Target="https://www.trulia.com/" TargetMode="External"/></Relationships>
</file>

<file path=xl/worksheets/_rels/sheet20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6.vml"/><Relationship Id="rId5" Type="http://schemas.openxmlformats.org/officeDocument/2006/relationships/drawing" Target="../drawings/drawing132.xml"/><Relationship Id="rId4" Type="http://schemas.openxmlformats.org/officeDocument/2006/relationships/hyperlink" Target="https://www.trulia.com/" TargetMode="External"/></Relationships>
</file>

<file path=xl/worksheets/_rels/sheet20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7.vml"/><Relationship Id="rId5" Type="http://schemas.openxmlformats.org/officeDocument/2006/relationships/drawing" Target="../drawings/drawing133.xml"/><Relationship Id="rId4" Type="http://schemas.openxmlformats.org/officeDocument/2006/relationships/hyperlink" Target="https://www.trulia.com/" TargetMode="External"/></Relationships>
</file>

<file path=xl/worksheets/_rels/sheet20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8.vml"/><Relationship Id="rId5" Type="http://schemas.openxmlformats.org/officeDocument/2006/relationships/drawing" Target="../drawings/drawing134.xml"/><Relationship Id="rId4" Type="http://schemas.openxmlformats.org/officeDocument/2006/relationships/hyperlink" Target="https://www.trulia.com/" TargetMode="External"/></Relationships>
</file>

<file path=xl/worksheets/_rels/sheet20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0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0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09.vml"/><Relationship Id="rId5" Type="http://schemas.openxmlformats.org/officeDocument/2006/relationships/drawing" Target="../drawings/drawing135.xml"/><Relationship Id="rId4" Type="http://schemas.openxmlformats.org/officeDocument/2006/relationships/hyperlink" Target="https://www.trulia.com/" TargetMode="External"/></Relationships>
</file>

<file path=xl/worksheets/_rels/sheet21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0.vml"/><Relationship Id="rId5" Type="http://schemas.openxmlformats.org/officeDocument/2006/relationships/drawing" Target="../drawings/drawing136.xml"/><Relationship Id="rId4" Type="http://schemas.openxmlformats.org/officeDocument/2006/relationships/hyperlink" Target="https://www.trulia.com/" TargetMode="External"/></Relationships>
</file>

<file path=xl/worksheets/_rels/sheet21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1.vml"/><Relationship Id="rId5" Type="http://schemas.openxmlformats.org/officeDocument/2006/relationships/drawing" Target="../drawings/drawing137.xml"/><Relationship Id="rId4" Type="http://schemas.openxmlformats.org/officeDocument/2006/relationships/hyperlink" Target="https://www.trulia.com/" TargetMode="External"/></Relationships>
</file>

<file path=xl/worksheets/_rels/sheet21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2.vml"/><Relationship Id="rId5" Type="http://schemas.openxmlformats.org/officeDocument/2006/relationships/drawing" Target="../drawings/drawing138.xml"/><Relationship Id="rId4" Type="http://schemas.openxmlformats.org/officeDocument/2006/relationships/hyperlink" Target="https://www.trulia.com/" TargetMode="External"/></Relationships>
</file>

<file path=xl/worksheets/_rels/sheet21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3.vml"/><Relationship Id="rId5" Type="http://schemas.openxmlformats.org/officeDocument/2006/relationships/drawing" Target="../drawings/drawing139.xml"/><Relationship Id="rId4" Type="http://schemas.openxmlformats.org/officeDocument/2006/relationships/hyperlink" Target="https://www.trulia.com/" TargetMode="External"/></Relationships>
</file>

<file path=xl/worksheets/_rels/sheet21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4.vml"/><Relationship Id="rId5" Type="http://schemas.openxmlformats.org/officeDocument/2006/relationships/drawing" Target="../drawings/drawing140.xml"/><Relationship Id="rId4" Type="http://schemas.openxmlformats.org/officeDocument/2006/relationships/hyperlink" Target="https://www.trulia.com/" TargetMode="External"/></Relationships>
</file>

<file path=xl/worksheets/_rels/sheet21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5.vml"/><Relationship Id="rId5" Type="http://schemas.openxmlformats.org/officeDocument/2006/relationships/drawing" Target="../drawings/drawing141.xml"/><Relationship Id="rId4" Type="http://schemas.openxmlformats.org/officeDocument/2006/relationships/hyperlink" Target="https://www.trulia.com/" TargetMode="External"/></Relationships>
</file>

<file path=xl/worksheets/_rels/sheet21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6.vml"/><Relationship Id="rId5" Type="http://schemas.openxmlformats.org/officeDocument/2006/relationships/drawing" Target="../drawings/drawing142.xml"/><Relationship Id="rId4" Type="http://schemas.openxmlformats.org/officeDocument/2006/relationships/hyperlink" Target="https://www.trulia.com/" TargetMode="External"/></Relationships>
</file>

<file path=xl/worksheets/_rels/sheet21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7.vml"/><Relationship Id="rId5" Type="http://schemas.openxmlformats.org/officeDocument/2006/relationships/drawing" Target="../drawings/drawing143.xml"/><Relationship Id="rId4" Type="http://schemas.openxmlformats.org/officeDocument/2006/relationships/hyperlink" Target="https://www.trulia.com/" TargetMode="External"/></Relationships>
</file>

<file path=xl/worksheets/_rels/sheet21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8.vml"/><Relationship Id="rId5" Type="http://schemas.openxmlformats.org/officeDocument/2006/relationships/drawing" Target="../drawings/drawing144.xml"/><Relationship Id="rId4" Type="http://schemas.openxmlformats.org/officeDocument/2006/relationships/hyperlink" Target="https://www.trulia.com/" TargetMode="External"/></Relationships>
</file>

<file path=xl/worksheets/_rels/sheet21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1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1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19.vml"/><Relationship Id="rId5" Type="http://schemas.openxmlformats.org/officeDocument/2006/relationships/drawing" Target="../drawings/drawing145.xml"/><Relationship Id="rId4" Type="http://schemas.openxmlformats.org/officeDocument/2006/relationships/hyperlink" Target="https://www.trulia.com/" TargetMode="External"/></Relationships>
</file>

<file path=xl/worksheets/_rels/sheet22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0.vml"/><Relationship Id="rId5" Type="http://schemas.openxmlformats.org/officeDocument/2006/relationships/drawing" Target="../drawings/drawing146.xml"/><Relationship Id="rId4" Type="http://schemas.openxmlformats.org/officeDocument/2006/relationships/hyperlink" Target="https://www.trulia.com/" TargetMode="External"/></Relationships>
</file>

<file path=xl/worksheets/_rels/sheet22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1.vml"/><Relationship Id="rId5" Type="http://schemas.openxmlformats.org/officeDocument/2006/relationships/drawing" Target="../drawings/drawing147.xml"/><Relationship Id="rId4" Type="http://schemas.openxmlformats.org/officeDocument/2006/relationships/hyperlink" Target="https://www.trulia.com/" TargetMode="External"/></Relationships>
</file>

<file path=xl/worksheets/_rels/sheet22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2.vml"/><Relationship Id="rId5" Type="http://schemas.openxmlformats.org/officeDocument/2006/relationships/drawing" Target="../drawings/drawing148.xml"/><Relationship Id="rId4" Type="http://schemas.openxmlformats.org/officeDocument/2006/relationships/hyperlink" Target="https://www.trulia.com/" TargetMode="External"/></Relationships>
</file>

<file path=xl/worksheets/_rels/sheet22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3.vml"/><Relationship Id="rId5" Type="http://schemas.openxmlformats.org/officeDocument/2006/relationships/drawing" Target="../drawings/drawing149.xml"/><Relationship Id="rId4" Type="http://schemas.openxmlformats.org/officeDocument/2006/relationships/hyperlink" Target="https://www.trulia.com/" TargetMode="External"/></Relationships>
</file>

<file path=xl/worksheets/_rels/sheet22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4.vml"/><Relationship Id="rId5" Type="http://schemas.openxmlformats.org/officeDocument/2006/relationships/drawing" Target="../drawings/drawing150.xml"/><Relationship Id="rId4" Type="http://schemas.openxmlformats.org/officeDocument/2006/relationships/hyperlink" Target="https://www.trulia.com/" TargetMode="External"/></Relationships>
</file>

<file path=xl/worksheets/_rels/sheet22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5.vml"/><Relationship Id="rId5" Type="http://schemas.openxmlformats.org/officeDocument/2006/relationships/drawing" Target="../drawings/drawing151.xml"/><Relationship Id="rId4" Type="http://schemas.openxmlformats.org/officeDocument/2006/relationships/hyperlink" Target="https://www.trulia.com/" TargetMode="External"/></Relationships>
</file>

<file path=xl/worksheets/_rels/sheet22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6.vml"/><Relationship Id="rId5" Type="http://schemas.openxmlformats.org/officeDocument/2006/relationships/drawing" Target="../drawings/drawing152.xml"/><Relationship Id="rId4" Type="http://schemas.openxmlformats.org/officeDocument/2006/relationships/hyperlink" Target="https://www.trulia.com/" TargetMode="External"/></Relationships>
</file>

<file path=xl/worksheets/_rels/sheet22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7.vml"/><Relationship Id="rId5" Type="http://schemas.openxmlformats.org/officeDocument/2006/relationships/drawing" Target="../drawings/drawing153.xml"/><Relationship Id="rId4" Type="http://schemas.openxmlformats.org/officeDocument/2006/relationships/hyperlink" Target="https://www.trulia.com/" TargetMode="External"/></Relationships>
</file>

<file path=xl/worksheets/_rels/sheet22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8.vml"/><Relationship Id="rId5" Type="http://schemas.openxmlformats.org/officeDocument/2006/relationships/drawing" Target="../drawings/drawing154.xml"/><Relationship Id="rId4" Type="http://schemas.openxmlformats.org/officeDocument/2006/relationships/hyperlink" Target="https://www.trulia.com/" TargetMode="External"/></Relationships>
</file>

<file path=xl/worksheets/_rels/sheet22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29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29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29.vml"/><Relationship Id="rId5" Type="http://schemas.openxmlformats.org/officeDocument/2006/relationships/drawing" Target="../drawings/drawing155.xml"/><Relationship Id="rId4" Type="http://schemas.openxmlformats.org/officeDocument/2006/relationships/hyperlink" Target="https://www.trulia.com/" TargetMode="External"/></Relationships>
</file>

<file path=xl/worksheets/_rels/sheet23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0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0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0.vml"/><Relationship Id="rId5" Type="http://schemas.openxmlformats.org/officeDocument/2006/relationships/drawing" Target="../drawings/drawing156.xml"/><Relationship Id="rId4" Type="http://schemas.openxmlformats.org/officeDocument/2006/relationships/hyperlink" Target="https://www.trulia.com/" TargetMode="External"/></Relationships>
</file>

<file path=xl/worksheets/_rels/sheet23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1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1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1.vml"/><Relationship Id="rId5" Type="http://schemas.openxmlformats.org/officeDocument/2006/relationships/drawing" Target="../drawings/drawing157.xml"/><Relationship Id="rId4" Type="http://schemas.openxmlformats.org/officeDocument/2006/relationships/hyperlink" Target="https://www.trulia.com/" TargetMode="External"/></Relationships>
</file>

<file path=xl/worksheets/_rels/sheet232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2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2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2.vml"/><Relationship Id="rId5" Type="http://schemas.openxmlformats.org/officeDocument/2006/relationships/drawing" Target="../drawings/drawing158.xml"/><Relationship Id="rId4" Type="http://schemas.openxmlformats.org/officeDocument/2006/relationships/hyperlink" Target="https://www.trulia.com/" TargetMode="External"/></Relationships>
</file>

<file path=xl/worksheets/_rels/sheet233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3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3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3.vml"/><Relationship Id="rId5" Type="http://schemas.openxmlformats.org/officeDocument/2006/relationships/drawing" Target="../drawings/drawing159.xml"/><Relationship Id="rId4" Type="http://schemas.openxmlformats.org/officeDocument/2006/relationships/hyperlink" Target="https://www.trulia.com/" TargetMode="External"/></Relationships>
</file>

<file path=xl/worksheets/_rels/sheet234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4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4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4.vml"/><Relationship Id="rId5" Type="http://schemas.openxmlformats.org/officeDocument/2006/relationships/drawing" Target="../drawings/drawing160.xml"/><Relationship Id="rId4" Type="http://schemas.openxmlformats.org/officeDocument/2006/relationships/hyperlink" Target="https://www.trulia.com/" TargetMode="External"/></Relationships>
</file>

<file path=xl/worksheets/_rels/sheet235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5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5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5.vml"/><Relationship Id="rId5" Type="http://schemas.openxmlformats.org/officeDocument/2006/relationships/drawing" Target="../drawings/drawing161.xml"/><Relationship Id="rId4" Type="http://schemas.openxmlformats.org/officeDocument/2006/relationships/hyperlink" Target="https://www.trulia.com/" TargetMode="External"/></Relationships>
</file>

<file path=xl/worksheets/_rels/sheet236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6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6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6.vml"/><Relationship Id="rId5" Type="http://schemas.openxmlformats.org/officeDocument/2006/relationships/drawing" Target="../drawings/drawing162.xml"/><Relationship Id="rId4" Type="http://schemas.openxmlformats.org/officeDocument/2006/relationships/hyperlink" Target="https://www.trulia.com/" TargetMode="External"/></Relationships>
</file>

<file path=xl/worksheets/_rels/sheet237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7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7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7.vml"/><Relationship Id="rId5" Type="http://schemas.openxmlformats.org/officeDocument/2006/relationships/drawing" Target="../drawings/drawing163.xml"/><Relationship Id="rId4" Type="http://schemas.openxmlformats.org/officeDocument/2006/relationships/hyperlink" Target="https://www.trulia.com/" TargetMode="External"/></Relationships>
</file>

<file path=xl/worksheets/_rels/sheet238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38.xml"/><Relationship Id="rId3" Type="http://schemas.openxmlformats.org/officeDocument/2006/relationships/hyperlink" Target="http://www.mortgagecalculator.org/" TargetMode="External"/><Relationship Id="rId7" Type="http://schemas.openxmlformats.org/officeDocument/2006/relationships/comments" Target="../comments238.xml"/><Relationship Id="rId2" Type="http://schemas.openxmlformats.org/officeDocument/2006/relationships/hyperlink" Target="https://www.rentometer.com/" TargetMode="External"/><Relationship Id="rId1" Type="http://schemas.openxmlformats.org/officeDocument/2006/relationships/hyperlink" Target="https://www.zillow.com/homes/recently_sold/" TargetMode="External"/><Relationship Id="rId6" Type="http://schemas.openxmlformats.org/officeDocument/2006/relationships/vmlDrawing" Target="../drawings/vmlDrawing238.vml"/><Relationship Id="rId5" Type="http://schemas.openxmlformats.org/officeDocument/2006/relationships/drawing" Target="../drawings/drawing164.xml"/><Relationship Id="rId4" Type="http://schemas.openxmlformats.org/officeDocument/2006/relationships/hyperlink" Target="https://www.truli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7A910-E8AF-49A1-B2AE-3AE9A95AC6A5}">
  <sheetPr codeName="Sheet1">
    <tabColor rgb="FF92D050"/>
  </sheetPr>
  <dimension ref="A1:P47"/>
  <sheetViews>
    <sheetView topLeftCell="A2" workbookViewId="0">
      <selection activeCell="D31" sqref="D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209900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1972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209900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10495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199405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976*2</f>
        <v>1952</v>
      </c>
      <c r="D21" s="23" t="s">
        <v>28</v>
      </c>
      <c r="E21" s="8">
        <f>450*3</f>
        <v>1350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2518.8000000000002</v>
      </c>
      <c r="D22" s="7" t="s">
        <v>31</v>
      </c>
      <c r="E22" s="17">
        <f>B16*0.012</f>
        <v>2518.8000000000002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60</v>
      </c>
    </row>
    <row r="25" spans="1:16" ht="15.75" thickBot="1" x14ac:dyDescent="0.3">
      <c r="A25" s="26" t="s">
        <v>37</v>
      </c>
      <c r="B25" s="8">
        <v>1448.66</v>
      </c>
      <c r="D25" s="7" t="s">
        <v>38</v>
      </c>
      <c r="E25" s="35">
        <f>B25</f>
        <v>1448.66</v>
      </c>
      <c r="G25" s="36" t="s">
        <v>39</v>
      </c>
      <c r="H25" s="37"/>
      <c r="I25" s="38">
        <f>SUM(I21:I24)</f>
        <v>60</v>
      </c>
    </row>
    <row r="26" spans="1:16" x14ac:dyDescent="0.25">
      <c r="A26" s="7" t="s">
        <v>40</v>
      </c>
      <c r="B26" s="17">
        <f>B25+I25+I34</f>
        <v>1801.46</v>
      </c>
      <c r="D26" s="7" t="s">
        <v>41</v>
      </c>
      <c r="E26" s="17">
        <f>E25+I25+I34</f>
        <v>1801.46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150.53999999999996</v>
      </c>
      <c r="D28" s="7" t="s">
        <v>43</v>
      </c>
      <c r="E28" s="44">
        <f>E21-E25-I25-I34+I24+I33</f>
        <v>-391.46000000000009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0.1721276798475464</v>
      </c>
      <c r="D29" s="46" t="s">
        <v>44</v>
      </c>
      <c r="E29" s="47">
        <f>(E28*12)/B17</f>
        <v>-0.44759599809433076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97.600000000000009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97.600000000000009</v>
      </c>
    </row>
    <row r="32" spans="1:16" x14ac:dyDescent="0.25">
      <c r="A32" s="26" t="s">
        <v>49</v>
      </c>
      <c r="B32" s="8">
        <f>B16</f>
        <v>209900</v>
      </c>
      <c r="G32" s="27" t="s">
        <v>50</v>
      </c>
      <c r="H32" s="48">
        <v>0.05</v>
      </c>
      <c r="I32" s="49">
        <f>$B$21*H32</f>
        <v>97.600000000000009</v>
      </c>
    </row>
    <row r="33" spans="1:9" x14ac:dyDescent="0.25">
      <c r="A33" s="7" t="s">
        <v>51</v>
      </c>
      <c r="B33" s="17">
        <f>B32-B18</f>
        <v>10495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292.8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141.24520833333335</v>
      </c>
      <c r="D39" s="7"/>
      <c r="E39" s="17"/>
    </row>
    <row r="40" spans="1:9" x14ac:dyDescent="0.25">
      <c r="A40" s="7" t="s">
        <v>58</v>
      </c>
      <c r="B40" s="17">
        <f>B25-B39</f>
        <v>1307.4147916666668</v>
      </c>
      <c r="D40" s="7"/>
      <c r="E40" s="17"/>
    </row>
    <row r="41" spans="1:9" x14ac:dyDescent="0.25">
      <c r="A41" s="7" t="s">
        <v>59</v>
      </c>
      <c r="B41" s="43">
        <f>B21-B40-I25-I34</f>
        <v>291.78520833333317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0.33362767984754627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515" priority="31" operator="equal">
      <formula>"NO"</formula>
    </cfRule>
    <cfRule type="cellIs" dxfId="8514" priority="32" operator="equal">
      <formula>"YES"</formula>
    </cfRule>
  </conditionalFormatting>
  <conditionalFormatting sqref="E38">
    <cfRule type="cellIs" dxfId="8513" priority="29" operator="equal">
      <formula>"YES"</formula>
    </cfRule>
    <cfRule type="cellIs" dxfId="8512" priority="30" operator="equal">
      <formula>"NO"</formula>
    </cfRule>
  </conditionalFormatting>
  <conditionalFormatting sqref="B23">
    <cfRule type="cellIs" dxfId="8511" priority="27" operator="equal">
      <formula>"NO"</formula>
    </cfRule>
    <cfRule type="cellIs" dxfId="8510" priority="28" operator="equal">
      <formula>"YES"</formula>
    </cfRule>
  </conditionalFormatting>
  <conditionalFormatting sqref="B12">
    <cfRule type="containsText" dxfId="8509" priority="13" operator="containsText" text="Low">
      <formula>NOT(ISERROR(SEARCH("Low",B12)))</formula>
    </cfRule>
    <cfRule type="containsText" dxfId="8508" priority="14" operator="containsText" text="Medium">
      <formula>NOT(ISERROR(SEARCH("Medium",B12)))</formula>
    </cfRule>
    <cfRule type="containsText" dxfId="8507" priority="15" operator="containsText" text="High">
      <formula>NOT(ISERROR(SEARCH("High",B12)))</formula>
    </cfRule>
  </conditionalFormatting>
  <conditionalFormatting sqref="B29">
    <cfRule type="cellIs" dxfId="8506" priority="23" operator="between">
      <formula>10%</formula>
      <formula>11.9%</formula>
    </cfRule>
    <cfRule type="cellIs" dxfId="8505" priority="25" operator="lessThan">
      <formula>0.1</formula>
    </cfRule>
    <cfRule type="cellIs" dxfId="8504" priority="26" operator="greaterThanOrEqual">
      <formula>0.12</formula>
    </cfRule>
  </conditionalFormatting>
  <conditionalFormatting sqref="B42">
    <cfRule type="cellIs" dxfId="8503" priority="21" operator="between">
      <formula>0.1</formula>
      <formula>0.1199</formula>
    </cfRule>
    <cfRule type="cellIs" dxfId="8502" priority="22" operator="lessThan">
      <formula>0.1</formula>
    </cfRule>
    <cfRule type="cellIs" dxfId="8501" priority="24" operator="greaterThanOrEqual">
      <formula>0.12</formula>
    </cfRule>
  </conditionalFormatting>
  <conditionalFormatting sqref="B10">
    <cfRule type="containsText" dxfId="8500" priority="16" operator="containsText" text="Full">
      <formula>NOT(ISERROR(SEARCH("Full",B10)))</formula>
    </cfRule>
    <cfRule type="containsText" dxfId="8499" priority="17" operator="containsText" text="Heavy">
      <formula>NOT(ISERROR(SEARCH("Heavy",B10)))</formula>
    </cfRule>
    <cfRule type="containsText" dxfId="8498" priority="18" operator="containsText" text="Medium">
      <formula>NOT(ISERROR(SEARCH("Medium",B10)))</formula>
    </cfRule>
    <cfRule type="containsText" dxfId="8497" priority="19" operator="containsText" text="Light">
      <formula>NOT(ISERROR(SEARCH("Light",B10)))</formula>
    </cfRule>
    <cfRule type="containsText" dxfId="8496" priority="20" operator="containsText" text="None">
      <formula>NOT(ISERROR(SEARCH("None",B10)))</formula>
    </cfRule>
  </conditionalFormatting>
  <conditionalFormatting sqref="E42">
    <cfRule type="cellIs" dxfId="8495" priority="10" operator="between">
      <formula>0.1</formula>
      <formula>0.119</formula>
    </cfRule>
    <cfRule type="cellIs" dxfId="8494" priority="11" operator="lessThan">
      <formula>0.1</formula>
    </cfRule>
    <cfRule type="cellIs" dxfId="8493" priority="12" operator="greaterThanOrEqual">
      <formula>0.12</formula>
    </cfRule>
  </conditionalFormatting>
  <conditionalFormatting sqref="B28">
    <cfRule type="cellIs" dxfId="8492" priority="33" operator="lessThan">
      <formula>$B$8*100</formula>
    </cfRule>
    <cfRule type="cellIs" dxfId="8491" priority="34" operator="greaterThanOrEqual">
      <formula>$B$8*100</formula>
    </cfRule>
  </conditionalFormatting>
  <conditionalFormatting sqref="B41">
    <cfRule type="cellIs" dxfId="8490" priority="35" operator="lessThan">
      <formula>$B$8*100</formula>
    </cfRule>
    <cfRule type="cellIs" dxfId="8489" priority="36" operator="greaterThan">
      <formula>$B$8*100</formula>
    </cfRule>
    <cfRule type="cellIs" dxfId="8488" priority="37" operator="greaterThan">
      <formula>$B$8*100</formula>
    </cfRule>
  </conditionalFormatting>
  <conditionalFormatting sqref="E41">
    <cfRule type="cellIs" dxfId="8487" priority="38" operator="greaterThan">
      <formula>$B$8*100</formula>
    </cfRule>
    <cfRule type="cellIs" dxfId="8486" priority="39" operator="lessThan">
      <formula>$B$8*100</formula>
    </cfRule>
  </conditionalFormatting>
  <conditionalFormatting sqref="B38">
    <cfRule type="cellIs" dxfId="8485" priority="8" operator="equal">
      <formula>"YES"</formula>
    </cfRule>
    <cfRule type="cellIs" dxfId="8484" priority="9" operator="equal">
      <formula>"NO"</formula>
    </cfRule>
  </conditionalFormatting>
  <conditionalFormatting sqref="E23:E26">
    <cfRule type="cellIs" dxfId="8483" priority="4" operator="equal">
      <formula>"NO"</formula>
    </cfRule>
    <cfRule type="cellIs" dxfId="8482" priority="5" operator="equal">
      <formula>"YES"</formula>
    </cfRule>
  </conditionalFormatting>
  <conditionalFormatting sqref="E29">
    <cfRule type="cellIs" dxfId="8481" priority="1" operator="between">
      <formula>10%</formula>
      <formula>12%</formula>
    </cfRule>
    <cfRule type="cellIs" dxfId="8480" priority="2" operator="lessThan">
      <formula>0.1</formula>
    </cfRule>
    <cfRule type="cellIs" dxfId="8479" priority="3" operator="greaterThan">
      <formula>0.12</formula>
    </cfRule>
  </conditionalFormatting>
  <conditionalFormatting sqref="E28">
    <cfRule type="cellIs" dxfId="8478" priority="6" operator="lessThan">
      <formula>$B$8*100</formula>
    </cfRule>
    <cfRule type="cellIs" dxfId="8477" priority="7" operator="greaterThan">
      <formula>$B$8*100</formula>
    </cfRule>
  </conditionalFormatting>
  <hyperlinks>
    <hyperlink ref="A32" r:id="rId1" display="https://www.zillow.com/homes/recently_sold/" xr:uid="{90EE0A56-9EB1-42AC-B708-2C935BA8460E}"/>
    <hyperlink ref="A21" r:id="rId2" xr:uid="{A83E167B-5A7F-409F-A264-96993CFF5F0E}"/>
    <hyperlink ref="A25" r:id="rId3" display="www.mortgagecalculator.org" xr:uid="{9EF56809-4DB3-452F-B069-5BE35AEDB6F6}"/>
    <hyperlink ref="A12" r:id="rId4" xr:uid="{E0BFA0A6-A36A-4022-B300-B2EB111572F6}"/>
  </hyperlinks>
  <pageMargins left="0.7" right="0.7" top="0.75" bottom="0.75" header="0.3" footer="0.3"/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B81A8-8F66-410F-B5BF-63806934F746}">
  <sheetPr codeName="Sheet2">
    <tabColor rgb="FFFF0000"/>
  </sheetPr>
  <dimension ref="A1:P47"/>
  <sheetViews>
    <sheetView topLeftCell="A13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171900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1424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67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146115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146115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7305.75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138809.25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740*2</f>
        <v>1480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1753.38</v>
      </c>
      <c r="D22" s="7" t="s">
        <v>31</v>
      </c>
      <c r="E22" s="17">
        <f>B16*0.012</f>
        <v>1753.38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60</v>
      </c>
    </row>
    <row r="25" spans="1:16" ht="15.75" thickBot="1" x14ac:dyDescent="0.3">
      <c r="A25" s="26" t="s">
        <v>37</v>
      </c>
      <c r="B25" s="8">
        <v>1155.31</v>
      </c>
      <c r="D25" s="7" t="s">
        <v>38</v>
      </c>
      <c r="E25" s="35">
        <f>B25</f>
        <v>1155.31</v>
      </c>
      <c r="G25" s="36" t="s">
        <v>39</v>
      </c>
      <c r="H25" s="37"/>
      <c r="I25" s="38">
        <f>SUM(I21:I24)</f>
        <v>60</v>
      </c>
    </row>
    <row r="26" spans="1:16" x14ac:dyDescent="0.25">
      <c r="A26" s="7" t="s">
        <v>40</v>
      </c>
      <c r="B26" s="17">
        <f>B25+I25+I34</f>
        <v>1437.31</v>
      </c>
      <c r="D26" s="7" t="s">
        <v>41</v>
      </c>
      <c r="E26" s="17">
        <f>E25+I25+I34</f>
        <v>1437.31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42.690000000000055</v>
      </c>
      <c r="D28" s="7" t="s">
        <v>43</v>
      </c>
      <c r="E28" s="44">
        <f>E21-E25-I25-I34+I24+I33</f>
        <v>-327.30999999999995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7.0120110871573854E-2</v>
      </c>
      <c r="D29" s="46" t="s">
        <v>44</v>
      </c>
      <c r="E29" s="47">
        <f>(E28*12)/B17</f>
        <v>-0.5376203675187351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74</v>
      </c>
    </row>
    <row r="32" spans="1:16" x14ac:dyDescent="0.25">
      <c r="A32" s="26" t="s">
        <v>49</v>
      </c>
      <c r="B32" s="8">
        <f>B16</f>
        <v>146115</v>
      </c>
      <c r="G32" s="27" t="s">
        <v>50</v>
      </c>
      <c r="H32" s="48">
        <v>0.05</v>
      </c>
      <c r="I32" s="49">
        <f>$B$21*H32</f>
        <v>74</v>
      </c>
    </row>
    <row r="33" spans="1:9" x14ac:dyDescent="0.25">
      <c r="A33" s="7" t="s">
        <v>51</v>
      </c>
      <c r="B33" s="17">
        <f>B32-B18</f>
        <v>7305.75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222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98.323218750000009</v>
      </c>
      <c r="D39" s="7"/>
      <c r="E39" s="17"/>
    </row>
    <row r="40" spans="1:9" x14ac:dyDescent="0.25">
      <c r="A40" s="7" t="s">
        <v>58</v>
      </c>
      <c r="B40" s="17">
        <f>B25-B39</f>
        <v>1056.9867812499999</v>
      </c>
      <c r="D40" s="7"/>
      <c r="E40" s="17"/>
    </row>
    <row r="41" spans="1:9" x14ac:dyDescent="0.25">
      <c r="A41" s="7" t="s">
        <v>59</v>
      </c>
      <c r="B41" s="43">
        <f>B21-B40-I25-I34</f>
        <v>141.01321875000008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0.23162011087157389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476" priority="31" operator="equal">
      <formula>"NO"</formula>
    </cfRule>
    <cfRule type="cellIs" dxfId="8475" priority="32" operator="equal">
      <formula>"YES"</formula>
    </cfRule>
  </conditionalFormatting>
  <conditionalFormatting sqref="E38">
    <cfRule type="cellIs" dxfId="8474" priority="29" operator="equal">
      <formula>"YES"</formula>
    </cfRule>
    <cfRule type="cellIs" dxfId="8473" priority="30" operator="equal">
      <formula>"NO"</formula>
    </cfRule>
  </conditionalFormatting>
  <conditionalFormatting sqref="B23">
    <cfRule type="cellIs" dxfId="8472" priority="27" operator="equal">
      <formula>"NO"</formula>
    </cfRule>
    <cfRule type="cellIs" dxfId="8471" priority="28" operator="equal">
      <formula>"YES"</formula>
    </cfRule>
  </conditionalFormatting>
  <conditionalFormatting sqref="B12">
    <cfRule type="containsText" dxfId="8470" priority="13" operator="containsText" text="Low">
      <formula>NOT(ISERROR(SEARCH("Low",B12)))</formula>
    </cfRule>
    <cfRule type="containsText" dxfId="8469" priority="14" operator="containsText" text="Medium">
      <formula>NOT(ISERROR(SEARCH("Medium",B12)))</formula>
    </cfRule>
    <cfRule type="containsText" dxfId="8468" priority="15" operator="containsText" text="High">
      <formula>NOT(ISERROR(SEARCH("High",B12)))</formula>
    </cfRule>
  </conditionalFormatting>
  <conditionalFormatting sqref="B29">
    <cfRule type="cellIs" dxfId="8467" priority="23" operator="between">
      <formula>10%</formula>
      <formula>11.9%</formula>
    </cfRule>
    <cfRule type="cellIs" dxfId="8466" priority="25" operator="lessThan">
      <formula>0.1</formula>
    </cfRule>
    <cfRule type="cellIs" dxfId="8465" priority="26" operator="greaterThanOrEqual">
      <formula>0.12</formula>
    </cfRule>
  </conditionalFormatting>
  <conditionalFormatting sqref="B42">
    <cfRule type="cellIs" dxfId="8464" priority="21" operator="between">
      <formula>0.1</formula>
      <formula>0.1199</formula>
    </cfRule>
    <cfRule type="cellIs" dxfId="8463" priority="22" operator="lessThan">
      <formula>0.1</formula>
    </cfRule>
    <cfRule type="cellIs" dxfId="8462" priority="24" operator="greaterThanOrEqual">
      <formula>0.12</formula>
    </cfRule>
  </conditionalFormatting>
  <conditionalFormatting sqref="B10">
    <cfRule type="containsText" dxfId="8461" priority="16" operator="containsText" text="Full">
      <formula>NOT(ISERROR(SEARCH("Full",B10)))</formula>
    </cfRule>
    <cfRule type="containsText" dxfId="8460" priority="17" operator="containsText" text="Heavy">
      <formula>NOT(ISERROR(SEARCH("Heavy",B10)))</formula>
    </cfRule>
    <cfRule type="containsText" dxfId="8459" priority="18" operator="containsText" text="Medium">
      <formula>NOT(ISERROR(SEARCH("Medium",B10)))</formula>
    </cfRule>
    <cfRule type="containsText" dxfId="8458" priority="19" operator="containsText" text="Light">
      <formula>NOT(ISERROR(SEARCH("Light",B10)))</formula>
    </cfRule>
    <cfRule type="containsText" dxfId="8457" priority="20" operator="containsText" text="None">
      <formula>NOT(ISERROR(SEARCH("None",B10)))</formula>
    </cfRule>
  </conditionalFormatting>
  <conditionalFormatting sqref="E42">
    <cfRule type="cellIs" dxfId="8456" priority="10" operator="between">
      <formula>0.1</formula>
      <formula>0.119</formula>
    </cfRule>
    <cfRule type="cellIs" dxfId="8455" priority="11" operator="lessThan">
      <formula>0.1</formula>
    </cfRule>
    <cfRule type="cellIs" dxfId="8454" priority="12" operator="greaterThanOrEqual">
      <formula>0.12</formula>
    </cfRule>
  </conditionalFormatting>
  <conditionalFormatting sqref="B28">
    <cfRule type="cellIs" dxfId="8453" priority="33" operator="lessThan">
      <formula>$B$8*100</formula>
    </cfRule>
    <cfRule type="cellIs" dxfId="8452" priority="34" operator="greaterThanOrEqual">
      <formula>$B$8*100</formula>
    </cfRule>
  </conditionalFormatting>
  <conditionalFormatting sqref="B41">
    <cfRule type="cellIs" dxfId="8451" priority="35" operator="lessThan">
      <formula>$B$8*100</formula>
    </cfRule>
    <cfRule type="cellIs" dxfId="8450" priority="36" operator="greaterThan">
      <formula>$B$8*100</formula>
    </cfRule>
    <cfRule type="cellIs" dxfId="8449" priority="37" operator="greaterThan">
      <formula>$B$8*100</formula>
    </cfRule>
  </conditionalFormatting>
  <conditionalFormatting sqref="E41">
    <cfRule type="cellIs" dxfId="8448" priority="38" operator="greaterThan">
      <formula>$B$8*100</formula>
    </cfRule>
    <cfRule type="cellIs" dxfId="8447" priority="39" operator="lessThan">
      <formula>$B$8*100</formula>
    </cfRule>
  </conditionalFormatting>
  <conditionalFormatting sqref="B38">
    <cfRule type="cellIs" dxfId="8446" priority="8" operator="equal">
      <formula>"YES"</formula>
    </cfRule>
    <cfRule type="cellIs" dxfId="8445" priority="9" operator="equal">
      <formula>"NO"</formula>
    </cfRule>
  </conditionalFormatting>
  <conditionalFormatting sqref="E23:E26">
    <cfRule type="cellIs" dxfId="8444" priority="4" operator="equal">
      <formula>"NO"</formula>
    </cfRule>
    <cfRule type="cellIs" dxfId="8443" priority="5" operator="equal">
      <formula>"YES"</formula>
    </cfRule>
  </conditionalFormatting>
  <conditionalFormatting sqref="E29">
    <cfRule type="cellIs" dxfId="8442" priority="1" operator="between">
      <formula>10%</formula>
      <formula>12%</formula>
    </cfRule>
    <cfRule type="cellIs" dxfId="8441" priority="2" operator="lessThan">
      <formula>0.1</formula>
    </cfRule>
    <cfRule type="cellIs" dxfId="8440" priority="3" operator="greaterThan">
      <formula>0.12</formula>
    </cfRule>
  </conditionalFormatting>
  <conditionalFormatting sqref="E28">
    <cfRule type="cellIs" dxfId="8439" priority="6" operator="lessThan">
      <formula>$B$8*100</formula>
    </cfRule>
    <cfRule type="cellIs" dxfId="8438" priority="7" operator="greaterThan">
      <formula>$B$8*100</formula>
    </cfRule>
  </conditionalFormatting>
  <hyperlinks>
    <hyperlink ref="A32" r:id="rId1" display="https://www.zillow.com/homes/recently_sold/" xr:uid="{FEAB17E5-C61F-4BFA-8103-64FB6DA5D5D1}"/>
    <hyperlink ref="A21" r:id="rId2" xr:uid="{5CF28E91-3114-4C80-A13F-E8538FD16193}"/>
    <hyperlink ref="A25" r:id="rId3" display="www.mortgagecalculator.org" xr:uid="{C83575C8-36CC-4E9B-9390-8F8AC17F2BCB}"/>
    <hyperlink ref="A12" r:id="rId4" xr:uid="{3E1E8C16-7F09-432A-8299-AD17A1F420A5}"/>
  </hyperlinks>
  <pageMargins left="0.7" right="0.7" top="0.75" bottom="0.75" header="0.3" footer="0.3"/>
  <drawing r:id="rId5"/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1F22-1AF6-4D2C-B464-6BE1A681AE50}">
  <sheetPr codeName="Sheet3">
    <tabColor rgb="FF92D050"/>
  </sheetPr>
  <dimension ref="A1:P47"/>
  <sheetViews>
    <sheetView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165000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8250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156750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900*2</f>
        <v>1800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1980</v>
      </c>
      <c r="D22" s="7" t="s">
        <v>31</v>
      </c>
      <c r="E22" s="17">
        <f>B16*0.012</f>
        <v>1980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60</v>
      </c>
    </row>
    <row r="25" spans="1:16" ht="15.75" thickBot="1" x14ac:dyDescent="0.3">
      <c r="A25" s="26" t="s">
        <v>37</v>
      </c>
      <c r="B25" s="8">
        <v>1242.17</v>
      </c>
      <c r="D25" s="7" t="s">
        <v>38</v>
      </c>
      <c r="E25" s="35">
        <f>B25</f>
        <v>1242.17</v>
      </c>
      <c r="G25" s="36" t="s">
        <v>39</v>
      </c>
      <c r="H25" s="37"/>
      <c r="I25" s="38">
        <f>SUM(I21:I24)</f>
        <v>60</v>
      </c>
    </row>
    <row r="26" spans="1:16" x14ac:dyDescent="0.25">
      <c r="A26" s="7" t="s">
        <v>40</v>
      </c>
      <c r="B26" s="17">
        <f>B25+I25+I34</f>
        <v>1572.17</v>
      </c>
      <c r="D26" s="7" t="s">
        <v>41</v>
      </c>
      <c r="E26" s="17">
        <f>E25+I25+I34</f>
        <v>1572.17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227.82999999999993</v>
      </c>
      <c r="D28" s="7" t="s">
        <v>43</v>
      </c>
      <c r="E28" s="44">
        <f>E21-E25-I25-I34+I24+I33</f>
        <v>-462.17000000000007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0.3313890909090908</v>
      </c>
      <c r="D29" s="46" t="s">
        <v>44</v>
      </c>
      <c r="E29" s="47">
        <f>(E28*12)/B17</f>
        <v>-0.6722472727272728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</v>
      </c>
    </row>
    <row r="32" spans="1:16" x14ac:dyDescent="0.25">
      <c r="A32" s="26" t="s">
        <v>49</v>
      </c>
      <c r="B32" s="8">
        <f>B16</f>
        <v>165000</v>
      </c>
      <c r="G32" s="27" t="s">
        <v>50</v>
      </c>
      <c r="H32" s="48">
        <v>0.05</v>
      </c>
      <c r="I32" s="49">
        <f>$B$21*H32</f>
        <v>90</v>
      </c>
    </row>
    <row r="33" spans="1:9" x14ac:dyDescent="0.25">
      <c r="A33" s="7" t="s">
        <v>51</v>
      </c>
      <c r="B33" s="17">
        <f>B32-B18</f>
        <v>8250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270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111.03125</v>
      </c>
      <c r="D39" s="7"/>
      <c r="E39" s="17"/>
    </row>
    <row r="40" spans="1:9" x14ac:dyDescent="0.25">
      <c r="A40" s="7" t="s">
        <v>58</v>
      </c>
      <c r="B40" s="17">
        <f>B25-B39</f>
        <v>1131.1387500000001</v>
      </c>
      <c r="D40" s="7"/>
      <c r="E40" s="17"/>
    </row>
    <row r="41" spans="1:9" x14ac:dyDescent="0.25">
      <c r="A41" s="7" t="s">
        <v>59</v>
      </c>
      <c r="B41" s="43">
        <f>B21-B40-I25-I34</f>
        <v>338.86124999999993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0.49288909090909078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437" priority="31" operator="equal">
      <formula>"NO"</formula>
    </cfRule>
    <cfRule type="cellIs" dxfId="8436" priority="32" operator="equal">
      <formula>"YES"</formula>
    </cfRule>
  </conditionalFormatting>
  <conditionalFormatting sqref="E38">
    <cfRule type="cellIs" dxfId="8435" priority="29" operator="equal">
      <formula>"YES"</formula>
    </cfRule>
    <cfRule type="cellIs" dxfId="8434" priority="30" operator="equal">
      <formula>"NO"</formula>
    </cfRule>
  </conditionalFormatting>
  <conditionalFormatting sqref="B23">
    <cfRule type="cellIs" dxfId="8433" priority="27" operator="equal">
      <formula>"NO"</formula>
    </cfRule>
    <cfRule type="cellIs" dxfId="8432" priority="28" operator="equal">
      <formula>"YES"</formula>
    </cfRule>
  </conditionalFormatting>
  <conditionalFormatting sqref="B12">
    <cfRule type="containsText" dxfId="8431" priority="13" operator="containsText" text="Low">
      <formula>NOT(ISERROR(SEARCH("Low",B12)))</formula>
    </cfRule>
    <cfRule type="containsText" dxfId="8430" priority="14" operator="containsText" text="Medium">
      <formula>NOT(ISERROR(SEARCH("Medium",B12)))</formula>
    </cfRule>
    <cfRule type="containsText" dxfId="8429" priority="15" operator="containsText" text="High">
      <formula>NOT(ISERROR(SEARCH("High",B12)))</formula>
    </cfRule>
  </conditionalFormatting>
  <conditionalFormatting sqref="B29">
    <cfRule type="cellIs" dxfId="8428" priority="23" operator="between">
      <formula>10%</formula>
      <formula>11.9%</formula>
    </cfRule>
    <cfRule type="cellIs" dxfId="8427" priority="25" operator="lessThan">
      <formula>0.1</formula>
    </cfRule>
    <cfRule type="cellIs" dxfId="8426" priority="26" operator="greaterThanOrEqual">
      <formula>0.12</formula>
    </cfRule>
  </conditionalFormatting>
  <conditionalFormatting sqref="B42">
    <cfRule type="cellIs" dxfId="8425" priority="21" operator="between">
      <formula>0.1</formula>
      <formula>0.1199</formula>
    </cfRule>
    <cfRule type="cellIs" dxfId="8424" priority="22" operator="lessThan">
      <formula>0.1</formula>
    </cfRule>
    <cfRule type="cellIs" dxfId="8423" priority="24" operator="greaterThanOrEqual">
      <formula>0.12</formula>
    </cfRule>
  </conditionalFormatting>
  <conditionalFormatting sqref="B10">
    <cfRule type="containsText" dxfId="8422" priority="16" operator="containsText" text="Full">
      <formula>NOT(ISERROR(SEARCH("Full",B10)))</formula>
    </cfRule>
    <cfRule type="containsText" dxfId="8421" priority="17" operator="containsText" text="Heavy">
      <formula>NOT(ISERROR(SEARCH("Heavy",B10)))</formula>
    </cfRule>
    <cfRule type="containsText" dxfId="8420" priority="18" operator="containsText" text="Medium">
      <formula>NOT(ISERROR(SEARCH("Medium",B10)))</formula>
    </cfRule>
    <cfRule type="containsText" dxfId="8419" priority="19" operator="containsText" text="Light">
      <formula>NOT(ISERROR(SEARCH("Light",B10)))</formula>
    </cfRule>
    <cfRule type="containsText" dxfId="8418" priority="20" operator="containsText" text="None">
      <formula>NOT(ISERROR(SEARCH("None",B10)))</formula>
    </cfRule>
  </conditionalFormatting>
  <conditionalFormatting sqref="E42">
    <cfRule type="cellIs" dxfId="8417" priority="10" operator="between">
      <formula>0.1</formula>
      <formula>0.119</formula>
    </cfRule>
    <cfRule type="cellIs" dxfId="8416" priority="11" operator="lessThan">
      <formula>0.1</formula>
    </cfRule>
    <cfRule type="cellIs" dxfId="8415" priority="12" operator="greaterThanOrEqual">
      <formula>0.12</formula>
    </cfRule>
  </conditionalFormatting>
  <conditionalFormatting sqref="B28">
    <cfRule type="cellIs" dxfId="8414" priority="33" operator="lessThan">
      <formula>$B$8*100</formula>
    </cfRule>
    <cfRule type="cellIs" dxfId="8413" priority="34" operator="greaterThanOrEqual">
      <formula>$B$8*100</formula>
    </cfRule>
  </conditionalFormatting>
  <conditionalFormatting sqref="B41">
    <cfRule type="cellIs" dxfId="8412" priority="35" operator="lessThan">
      <formula>$B$8*100</formula>
    </cfRule>
    <cfRule type="cellIs" dxfId="8411" priority="36" operator="greaterThan">
      <formula>$B$8*100</formula>
    </cfRule>
    <cfRule type="cellIs" dxfId="8410" priority="37" operator="greaterThan">
      <formula>$B$8*100</formula>
    </cfRule>
  </conditionalFormatting>
  <conditionalFormatting sqref="E41">
    <cfRule type="cellIs" dxfId="8409" priority="38" operator="greaterThan">
      <formula>$B$8*100</formula>
    </cfRule>
    <cfRule type="cellIs" dxfId="8408" priority="39" operator="lessThan">
      <formula>$B$8*100</formula>
    </cfRule>
  </conditionalFormatting>
  <conditionalFormatting sqref="B38">
    <cfRule type="cellIs" dxfId="8407" priority="8" operator="equal">
      <formula>"YES"</formula>
    </cfRule>
    <cfRule type="cellIs" dxfId="8406" priority="9" operator="equal">
      <formula>"NO"</formula>
    </cfRule>
  </conditionalFormatting>
  <conditionalFormatting sqref="E23:E26">
    <cfRule type="cellIs" dxfId="8405" priority="4" operator="equal">
      <formula>"NO"</formula>
    </cfRule>
    <cfRule type="cellIs" dxfId="8404" priority="5" operator="equal">
      <formula>"YES"</formula>
    </cfRule>
  </conditionalFormatting>
  <conditionalFormatting sqref="E29">
    <cfRule type="cellIs" dxfId="8403" priority="1" operator="between">
      <formula>10%</formula>
      <formula>12%</formula>
    </cfRule>
    <cfRule type="cellIs" dxfId="8402" priority="2" operator="lessThan">
      <formula>0.1</formula>
    </cfRule>
    <cfRule type="cellIs" dxfId="8401" priority="3" operator="greaterThan">
      <formula>0.12</formula>
    </cfRule>
  </conditionalFormatting>
  <conditionalFormatting sqref="E28">
    <cfRule type="cellIs" dxfId="8400" priority="6" operator="lessThan">
      <formula>$B$8*100</formula>
    </cfRule>
    <cfRule type="cellIs" dxfId="8399" priority="7" operator="greaterThan">
      <formula>$B$8*100</formula>
    </cfRule>
  </conditionalFormatting>
  <hyperlinks>
    <hyperlink ref="A32" r:id="rId1" display="https://www.zillow.com/homes/recently_sold/" xr:uid="{7ECBD6A4-9A72-465A-ACDF-8965A4B61907}"/>
    <hyperlink ref="A21" r:id="rId2" xr:uid="{19493EF7-6CF9-4F02-8E10-08E71FF86C51}"/>
    <hyperlink ref="A25" r:id="rId3" display="www.mortgagecalculator.org" xr:uid="{603B1D25-9416-4FEE-A45C-B5E2488FA536}"/>
    <hyperlink ref="A12" r:id="rId4" xr:uid="{D338003D-6C95-40E4-AF73-DC291D0913B8}"/>
  </hyperlinks>
  <pageMargins left="0.7" right="0.7" top="0.75" bottom="0.75" header="0.3" footer="0.3"/>
  <drawing r:id="rId5"/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E027-7B29-4C3B-9EF6-BC75DA1D9B45}">
  <sheetPr codeName="Sheet4">
    <tabColor rgb="FF92D050"/>
  </sheetPr>
  <dimension ref="A1:P47"/>
  <sheetViews>
    <sheetView topLeftCell="A27" workbookViewId="0">
      <selection activeCell="A44" sqref="A4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1752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55250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43800</v>
      </c>
      <c r="D15" s="2"/>
      <c r="E15" s="3"/>
    </row>
    <row r="16" spans="1:10" x14ac:dyDescent="0.25">
      <c r="A16" s="7" t="s">
        <v>20</v>
      </c>
      <c r="B16" s="17">
        <f>B15+B13</f>
        <v>99050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3466.7500000000005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95583.25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801*2</f>
        <v>1602</v>
      </c>
      <c r="D21" s="23" t="s">
        <v>28</v>
      </c>
      <c r="E21" s="8">
        <f>801+450</f>
        <v>1251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1188.6000000000001</v>
      </c>
      <c r="D22" s="7" t="s">
        <v>31</v>
      </c>
      <c r="E22" s="17">
        <f>B16*0.012</f>
        <v>1188.6000000000001</v>
      </c>
      <c r="G22" s="27" t="s">
        <v>32</v>
      </c>
      <c r="H22" s="28"/>
      <c r="I22" s="29">
        <v>140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34</v>
      </c>
      <c r="E23" s="31" t="str">
        <f>IF(E21&gt;=E22,"YES","NO")</f>
        <v>YES</v>
      </c>
      <c r="G23" s="27" t="s">
        <v>35</v>
      </c>
      <c r="H23" s="28"/>
      <c r="I23" s="29">
        <v>100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60</v>
      </c>
    </row>
    <row r="25" spans="1:16" ht="15.75" thickBot="1" x14ac:dyDescent="0.3">
      <c r="A25" s="26" t="s">
        <v>37</v>
      </c>
      <c r="B25" s="8">
        <v>882.37</v>
      </c>
      <c r="D25" s="7" t="s">
        <v>38</v>
      </c>
      <c r="E25" s="35">
        <f>B25</f>
        <v>882.37</v>
      </c>
      <c r="G25" s="36" t="s">
        <v>39</v>
      </c>
      <c r="H25" s="37"/>
      <c r="I25" s="38">
        <f>SUM(I21:I24)</f>
        <v>300</v>
      </c>
    </row>
    <row r="26" spans="1:16" x14ac:dyDescent="0.25">
      <c r="A26" s="7" t="s">
        <v>40</v>
      </c>
      <c r="B26" s="17">
        <f>B25+I25+I34</f>
        <v>1422.6699999999998</v>
      </c>
      <c r="D26" s="7" t="s">
        <v>41</v>
      </c>
      <c r="E26" s="17">
        <f>E25+I25+I34</f>
        <v>1422.6699999999998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179.33000000000015</v>
      </c>
      <c r="D28" s="7" t="s">
        <v>43</v>
      </c>
      <c r="E28" s="44">
        <f>E21-E25-I25-I34+I24+I33</f>
        <v>-111.67000000000002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0.62074277060647631</v>
      </c>
      <c r="D29" s="46" t="s">
        <v>44</v>
      </c>
      <c r="E29" s="47">
        <f>(E28*12)/B17</f>
        <v>-0.38654070815605396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80.100000000000009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80.100000000000009</v>
      </c>
    </row>
    <row r="32" spans="1:16" x14ac:dyDescent="0.25">
      <c r="A32" s="26" t="s">
        <v>49</v>
      </c>
      <c r="B32" s="8">
        <v>130000</v>
      </c>
      <c r="G32" s="27" t="s">
        <v>50</v>
      </c>
      <c r="H32" s="48">
        <v>0.05</v>
      </c>
      <c r="I32" s="49">
        <f>$B$21*H32</f>
        <v>80.100000000000009</v>
      </c>
    </row>
    <row r="33" spans="1:9" x14ac:dyDescent="0.25">
      <c r="A33" s="7" t="s">
        <v>51</v>
      </c>
      <c r="B33" s="17">
        <f>B32-B18</f>
        <v>34416.75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9.9276700079325</v>
      </c>
      <c r="G34" s="36" t="s">
        <v>39</v>
      </c>
      <c r="H34" s="37"/>
      <c r="I34" s="51">
        <f>SUM(I30:I33)</f>
        <v>240.3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0.73525576923076919</v>
      </c>
      <c r="D37" s="7"/>
      <c r="E37" s="50"/>
    </row>
    <row r="38" spans="1:9" x14ac:dyDescent="0.25">
      <c r="A38" s="7" t="s">
        <v>56</v>
      </c>
      <c r="B38" s="31" t="str">
        <f>IF(B37&lt;0.8, "YES", "NO")</f>
        <v>YES</v>
      </c>
      <c r="D38" s="7"/>
      <c r="E38" s="31"/>
    </row>
    <row r="39" spans="1:9" x14ac:dyDescent="0.25">
      <c r="A39" s="7" t="s">
        <v>57</v>
      </c>
      <c r="B39" s="17">
        <f>(B18*0.0085)/12</f>
        <v>67.704802083333334</v>
      </c>
      <c r="D39" s="7"/>
      <c r="E39" s="17"/>
    </row>
    <row r="40" spans="1:9" x14ac:dyDescent="0.25">
      <c r="A40" s="7" t="s">
        <v>58</v>
      </c>
      <c r="B40" s="17">
        <f>B25-B39</f>
        <v>814.66519791666667</v>
      </c>
      <c r="D40" s="7"/>
      <c r="E40" s="17"/>
    </row>
    <row r="41" spans="1:9" x14ac:dyDescent="0.25">
      <c r="A41" s="7" t="s">
        <v>59</v>
      </c>
      <c r="B41" s="43">
        <f>B21-B40-I25-I34</f>
        <v>247.03480208333332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0.85509991346361858</v>
      </c>
      <c r="D42" s="46"/>
      <c r="E42" s="47"/>
    </row>
    <row r="47" spans="1:9" ht="17.25" x14ac:dyDescent="0.4">
      <c r="A47" s="55"/>
      <c r="B47" s="56"/>
      <c r="C47" s="57"/>
      <c r="D47" s="57"/>
      <c r="E47" s="57"/>
      <c r="F47" s="5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398" priority="31" operator="equal">
      <formula>"NO"</formula>
    </cfRule>
    <cfRule type="cellIs" dxfId="8397" priority="32" operator="equal">
      <formula>"YES"</formula>
    </cfRule>
  </conditionalFormatting>
  <conditionalFormatting sqref="E38">
    <cfRule type="cellIs" dxfId="8396" priority="29" operator="equal">
      <formula>"YES"</formula>
    </cfRule>
    <cfRule type="cellIs" dxfId="8395" priority="30" operator="equal">
      <formula>"NO"</formula>
    </cfRule>
  </conditionalFormatting>
  <conditionalFormatting sqref="B23">
    <cfRule type="cellIs" dxfId="8394" priority="27" operator="equal">
      <formula>"NO"</formula>
    </cfRule>
    <cfRule type="cellIs" dxfId="8393" priority="28" operator="equal">
      <formula>"YES"</formula>
    </cfRule>
  </conditionalFormatting>
  <conditionalFormatting sqref="B12">
    <cfRule type="containsText" dxfId="8392" priority="13" operator="containsText" text="Low">
      <formula>NOT(ISERROR(SEARCH("Low",B12)))</formula>
    </cfRule>
    <cfRule type="containsText" dxfId="8391" priority="14" operator="containsText" text="Medium">
      <formula>NOT(ISERROR(SEARCH("Medium",B12)))</formula>
    </cfRule>
    <cfRule type="containsText" dxfId="8390" priority="15" operator="containsText" text="High">
      <formula>NOT(ISERROR(SEARCH("High",B12)))</formula>
    </cfRule>
  </conditionalFormatting>
  <conditionalFormatting sqref="B29">
    <cfRule type="cellIs" dxfId="8389" priority="23" operator="between">
      <formula>10%</formula>
      <formula>11.9%</formula>
    </cfRule>
    <cfRule type="cellIs" dxfId="8388" priority="25" operator="lessThan">
      <formula>0.1</formula>
    </cfRule>
    <cfRule type="cellIs" dxfId="8387" priority="26" operator="greaterThanOrEqual">
      <formula>0.12</formula>
    </cfRule>
  </conditionalFormatting>
  <conditionalFormatting sqref="B42">
    <cfRule type="cellIs" dxfId="8386" priority="21" operator="between">
      <formula>0.1</formula>
      <formula>0.1199</formula>
    </cfRule>
    <cfRule type="cellIs" dxfId="8385" priority="22" operator="lessThan">
      <formula>0.1</formula>
    </cfRule>
    <cfRule type="cellIs" dxfId="8384" priority="24" operator="greaterThanOrEqual">
      <formula>0.12</formula>
    </cfRule>
  </conditionalFormatting>
  <conditionalFormatting sqref="B10">
    <cfRule type="containsText" dxfId="8383" priority="16" operator="containsText" text="Full">
      <formula>NOT(ISERROR(SEARCH("Full",B10)))</formula>
    </cfRule>
    <cfRule type="containsText" dxfId="8382" priority="17" operator="containsText" text="Heavy">
      <formula>NOT(ISERROR(SEARCH("Heavy",B10)))</formula>
    </cfRule>
    <cfRule type="containsText" dxfId="8381" priority="18" operator="containsText" text="Medium">
      <formula>NOT(ISERROR(SEARCH("Medium",B10)))</formula>
    </cfRule>
    <cfRule type="containsText" dxfId="8380" priority="19" operator="containsText" text="Light">
      <formula>NOT(ISERROR(SEARCH("Light",B10)))</formula>
    </cfRule>
    <cfRule type="containsText" dxfId="8379" priority="20" operator="containsText" text="None">
      <formula>NOT(ISERROR(SEARCH("None",B10)))</formula>
    </cfRule>
  </conditionalFormatting>
  <conditionalFormatting sqref="E42">
    <cfRule type="cellIs" dxfId="8378" priority="10" operator="between">
      <formula>0.1</formula>
      <formula>0.119</formula>
    </cfRule>
    <cfRule type="cellIs" dxfId="8377" priority="11" operator="lessThan">
      <formula>0.1</formula>
    </cfRule>
    <cfRule type="cellIs" dxfId="8376" priority="12" operator="greaterThanOrEqual">
      <formula>0.12</formula>
    </cfRule>
  </conditionalFormatting>
  <conditionalFormatting sqref="B28">
    <cfRule type="cellIs" dxfId="8375" priority="33" operator="lessThan">
      <formula>$B$8*100</formula>
    </cfRule>
    <cfRule type="cellIs" dxfId="8374" priority="34" operator="greaterThanOrEqual">
      <formula>$B$8*100</formula>
    </cfRule>
  </conditionalFormatting>
  <conditionalFormatting sqref="B41">
    <cfRule type="cellIs" dxfId="8373" priority="35" operator="lessThan">
      <formula>$B$8*100</formula>
    </cfRule>
    <cfRule type="cellIs" dxfId="8372" priority="36" operator="greaterThan">
      <formula>$B$8*100</formula>
    </cfRule>
    <cfRule type="cellIs" dxfId="8371" priority="37" operator="greaterThan">
      <formula>$B$8*100</formula>
    </cfRule>
  </conditionalFormatting>
  <conditionalFormatting sqref="E41">
    <cfRule type="cellIs" dxfId="8370" priority="38" operator="greaterThan">
      <formula>$B$8*100</formula>
    </cfRule>
    <cfRule type="cellIs" dxfId="8369" priority="39" operator="lessThan">
      <formula>$B$8*100</formula>
    </cfRule>
  </conditionalFormatting>
  <conditionalFormatting sqref="B38">
    <cfRule type="cellIs" dxfId="8368" priority="8" operator="equal">
      <formula>"YES"</formula>
    </cfRule>
    <cfRule type="cellIs" dxfId="8367" priority="9" operator="equal">
      <formula>"NO"</formula>
    </cfRule>
  </conditionalFormatting>
  <conditionalFormatting sqref="E23:E26">
    <cfRule type="cellIs" dxfId="8366" priority="4" operator="equal">
      <formula>"NO"</formula>
    </cfRule>
    <cfRule type="cellIs" dxfId="8365" priority="5" operator="equal">
      <formula>"YES"</formula>
    </cfRule>
  </conditionalFormatting>
  <conditionalFormatting sqref="E29">
    <cfRule type="cellIs" dxfId="8364" priority="1" operator="between">
      <formula>10%</formula>
      <formula>12%</formula>
    </cfRule>
    <cfRule type="cellIs" dxfId="8363" priority="2" operator="lessThan">
      <formula>0.1</formula>
    </cfRule>
    <cfRule type="cellIs" dxfId="8362" priority="3" operator="greaterThan">
      <formula>0.12</formula>
    </cfRule>
  </conditionalFormatting>
  <conditionalFormatting sqref="E28">
    <cfRule type="cellIs" dxfId="8361" priority="6" operator="lessThan">
      <formula>$B$8*100</formula>
    </cfRule>
    <cfRule type="cellIs" dxfId="8360" priority="7" operator="greaterThan">
      <formula>$B$8*100</formula>
    </cfRule>
  </conditionalFormatting>
  <hyperlinks>
    <hyperlink ref="A32" r:id="rId1" display="https://www.zillow.com/homes/recently_sold/" xr:uid="{FDB18AD7-23DD-4953-9851-1EB8BC02CC3B}"/>
    <hyperlink ref="A21" r:id="rId2" xr:uid="{90657633-4A97-4F46-BDBC-854551398E47}"/>
    <hyperlink ref="A25" r:id="rId3" display="www.mortgagecalculator.org" xr:uid="{D3FAD5DF-B719-4CD9-929C-3D599EA74866}"/>
    <hyperlink ref="A12" r:id="rId4" xr:uid="{94952387-5414-4704-975A-853C553EBAFB}"/>
  </hyperlinks>
  <pageMargins left="0.7" right="0.7" top="0.75" bottom="0.75" header="0.3" footer="0.3"/>
  <drawing r:id="rId5"/>
  <legacy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E2A1-56D2-4842-ADE9-DB0DDB56B7FB}">
  <sheetPr codeName="Sheet5">
    <tabColor rgb="FFFF0000"/>
  </sheetPr>
  <dimension ref="A1:P47"/>
  <sheetViews>
    <sheetView topLeftCell="A22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72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177000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1116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177000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177000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8850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168150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400*4</f>
        <v>1600</v>
      </c>
      <c r="D21" s="23" t="s">
        <v>28</v>
      </c>
      <c r="E21" s="8">
        <f>400*3</f>
        <v>1200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2124</v>
      </c>
      <c r="D22" s="7" t="s">
        <v>31</v>
      </c>
      <c r="E22" s="17">
        <f>B16*0.012</f>
        <v>2124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1345.23</v>
      </c>
      <c r="D25" s="7" t="s">
        <v>38</v>
      </c>
      <c r="E25" s="35">
        <f>B25</f>
        <v>1345.23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1585.23</v>
      </c>
      <c r="D26" s="7" t="s">
        <v>41</v>
      </c>
      <c r="E26" s="17">
        <f>E25+I25+I34</f>
        <v>1585.23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14.769999999999982</v>
      </c>
      <c r="D28" s="7" t="s">
        <v>43</v>
      </c>
      <c r="E28" s="44">
        <f>E21-E25-I25-I34+I24+I33</f>
        <v>-385.23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2.0027118644067771E-2</v>
      </c>
      <c r="D29" s="46" t="s">
        <v>44</v>
      </c>
      <c r="E29" s="47">
        <f>(E28*12)/B17</f>
        <v>-0.52234576271186439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80</v>
      </c>
    </row>
    <row r="32" spans="1:16" x14ac:dyDescent="0.25">
      <c r="A32" s="26" t="s">
        <v>49</v>
      </c>
      <c r="B32" s="8">
        <f>B16</f>
        <v>177000</v>
      </c>
      <c r="G32" s="27" t="s">
        <v>50</v>
      </c>
      <c r="H32" s="48">
        <v>0.05</v>
      </c>
      <c r="I32" s="49">
        <f>$B$21*H32</f>
        <v>80</v>
      </c>
    </row>
    <row r="33" spans="1:9" x14ac:dyDescent="0.25">
      <c r="A33" s="7" t="s">
        <v>51</v>
      </c>
      <c r="B33" s="17">
        <f>B32-B18</f>
        <v>8850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240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119.10625</v>
      </c>
      <c r="D39" s="7"/>
      <c r="E39" s="17"/>
    </row>
    <row r="40" spans="1:9" x14ac:dyDescent="0.25">
      <c r="A40" s="7" t="s">
        <v>58</v>
      </c>
      <c r="B40" s="17">
        <f>B25-B39</f>
        <v>1226.12375</v>
      </c>
      <c r="D40" s="7"/>
      <c r="E40" s="17"/>
    </row>
    <row r="41" spans="1:9" x14ac:dyDescent="0.25">
      <c r="A41" s="7" t="s">
        <v>59</v>
      </c>
      <c r="B41" s="43">
        <f>B21-B40-I25-I34</f>
        <v>133.87625000000003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0.18152711864406784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359" priority="31" operator="equal">
      <formula>"NO"</formula>
    </cfRule>
    <cfRule type="cellIs" dxfId="8358" priority="32" operator="equal">
      <formula>"YES"</formula>
    </cfRule>
  </conditionalFormatting>
  <conditionalFormatting sqref="E38">
    <cfRule type="cellIs" dxfId="8357" priority="29" operator="equal">
      <formula>"YES"</formula>
    </cfRule>
    <cfRule type="cellIs" dxfId="8356" priority="30" operator="equal">
      <formula>"NO"</formula>
    </cfRule>
  </conditionalFormatting>
  <conditionalFormatting sqref="B23">
    <cfRule type="cellIs" dxfId="8355" priority="27" operator="equal">
      <formula>"NO"</formula>
    </cfRule>
    <cfRule type="cellIs" dxfId="8354" priority="28" operator="equal">
      <formula>"YES"</formula>
    </cfRule>
  </conditionalFormatting>
  <conditionalFormatting sqref="B12">
    <cfRule type="containsText" dxfId="8353" priority="13" operator="containsText" text="Low">
      <formula>NOT(ISERROR(SEARCH("Low",B12)))</formula>
    </cfRule>
    <cfRule type="containsText" dxfId="8352" priority="14" operator="containsText" text="Medium">
      <formula>NOT(ISERROR(SEARCH("Medium",B12)))</formula>
    </cfRule>
    <cfRule type="containsText" dxfId="8351" priority="15" operator="containsText" text="High">
      <formula>NOT(ISERROR(SEARCH("High",B12)))</formula>
    </cfRule>
  </conditionalFormatting>
  <conditionalFormatting sqref="B29">
    <cfRule type="cellIs" dxfId="8350" priority="23" operator="between">
      <formula>10%</formula>
      <formula>11.9%</formula>
    </cfRule>
    <cfRule type="cellIs" dxfId="8349" priority="25" operator="lessThan">
      <formula>0.1</formula>
    </cfRule>
    <cfRule type="cellIs" dxfId="8348" priority="26" operator="greaterThanOrEqual">
      <formula>0.12</formula>
    </cfRule>
  </conditionalFormatting>
  <conditionalFormatting sqref="B42">
    <cfRule type="cellIs" dxfId="8347" priority="21" operator="between">
      <formula>0.1</formula>
      <formula>0.1199</formula>
    </cfRule>
    <cfRule type="cellIs" dxfId="8346" priority="22" operator="lessThan">
      <formula>0.1</formula>
    </cfRule>
    <cfRule type="cellIs" dxfId="8345" priority="24" operator="greaterThanOrEqual">
      <formula>0.12</formula>
    </cfRule>
  </conditionalFormatting>
  <conditionalFormatting sqref="B10">
    <cfRule type="containsText" dxfId="8344" priority="16" operator="containsText" text="Full">
      <formula>NOT(ISERROR(SEARCH("Full",B10)))</formula>
    </cfRule>
    <cfRule type="containsText" dxfId="8343" priority="17" operator="containsText" text="Heavy">
      <formula>NOT(ISERROR(SEARCH("Heavy",B10)))</formula>
    </cfRule>
    <cfRule type="containsText" dxfId="8342" priority="18" operator="containsText" text="Medium">
      <formula>NOT(ISERROR(SEARCH("Medium",B10)))</formula>
    </cfRule>
    <cfRule type="containsText" dxfId="8341" priority="19" operator="containsText" text="Light">
      <formula>NOT(ISERROR(SEARCH("Light",B10)))</formula>
    </cfRule>
    <cfRule type="containsText" dxfId="8340" priority="20" operator="containsText" text="None">
      <formula>NOT(ISERROR(SEARCH("None",B10)))</formula>
    </cfRule>
  </conditionalFormatting>
  <conditionalFormatting sqref="E42">
    <cfRule type="cellIs" dxfId="8339" priority="10" operator="between">
      <formula>0.1</formula>
      <formula>0.119</formula>
    </cfRule>
    <cfRule type="cellIs" dxfId="8338" priority="11" operator="lessThan">
      <formula>0.1</formula>
    </cfRule>
    <cfRule type="cellIs" dxfId="8337" priority="12" operator="greaterThanOrEqual">
      <formula>0.12</formula>
    </cfRule>
  </conditionalFormatting>
  <conditionalFormatting sqref="B28">
    <cfRule type="cellIs" dxfId="8336" priority="33" operator="lessThan">
      <formula>$B$8*100</formula>
    </cfRule>
    <cfRule type="cellIs" dxfId="8335" priority="34" operator="greaterThanOrEqual">
      <formula>$B$8*100</formula>
    </cfRule>
  </conditionalFormatting>
  <conditionalFormatting sqref="B41">
    <cfRule type="cellIs" dxfId="8334" priority="35" operator="lessThan">
      <formula>$B$8*100</formula>
    </cfRule>
    <cfRule type="cellIs" dxfId="8333" priority="36" operator="greaterThan">
      <formula>$B$8*100</formula>
    </cfRule>
    <cfRule type="cellIs" dxfId="8332" priority="37" operator="greaterThan">
      <formula>$B$8*100</formula>
    </cfRule>
  </conditionalFormatting>
  <conditionalFormatting sqref="E41">
    <cfRule type="cellIs" dxfId="8331" priority="38" operator="greaterThan">
      <formula>$B$8*100</formula>
    </cfRule>
    <cfRule type="cellIs" dxfId="8330" priority="39" operator="lessThan">
      <formula>$B$8*100</formula>
    </cfRule>
  </conditionalFormatting>
  <conditionalFormatting sqref="B38">
    <cfRule type="cellIs" dxfId="8329" priority="8" operator="equal">
      <formula>"YES"</formula>
    </cfRule>
    <cfRule type="cellIs" dxfId="8328" priority="9" operator="equal">
      <formula>"NO"</formula>
    </cfRule>
  </conditionalFormatting>
  <conditionalFormatting sqref="E23:E26">
    <cfRule type="cellIs" dxfId="8327" priority="4" operator="equal">
      <formula>"NO"</formula>
    </cfRule>
    <cfRule type="cellIs" dxfId="8326" priority="5" operator="equal">
      <formula>"YES"</formula>
    </cfRule>
  </conditionalFormatting>
  <conditionalFormatting sqref="E29">
    <cfRule type="cellIs" dxfId="8325" priority="1" operator="between">
      <formula>10%</formula>
      <formula>12%</formula>
    </cfRule>
    <cfRule type="cellIs" dxfId="8324" priority="2" operator="lessThan">
      <formula>0.1</formula>
    </cfRule>
    <cfRule type="cellIs" dxfId="8323" priority="3" operator="greaterThan">
      <formula>0.12</formula>
    </cfRule>
  </conditionalFormatting>
  <conditionalFormatting sqref="E28">
    <cfRule type="cellIs" dxfId="8322" priority="6" operator="lessThan">
      <formula>$B$8*100</formula>
    </cfRule>
    <cfRule type="cellIs" dxfId="8321" priority="7" operator="greaterThan">
      <formula>$B$8*100</formula>
    </cfRule>
  </conditionalFormatting>
  <hyperlinks>
    <hyperlink ref="A32" r:id="rId1" display="https://www.zillow.com/homes/recently_sold/" xr:uid="{CAD9552C-7C4B-446B-8A46-EB601329D47C}"/>
    <hyperlink ref="A21" r:id="rId2" xr:uid="{1AB0B105-7E5A-4020-ADCB-78E31A49A5BA}"/>
    <hyperlink ref="A25" r:id="rId3" display="www.mortgagecalculator.org" xr:uid="{37E6034D-D371-4DD8-9CD5-484EF706DA56}"/>
    <hyperlink ref="A12" r:id="rId4" xr:uid="{0EE6A3C2-43A9-4E20-B10B-D8ABA6394840}"/>
  </hyperlinks>
  <pageMargins left="0.7" right="0.7" top="0.75" bottom="0.75" header="0.3" footer="0.3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E7BC-FCCB-4953-8426-D5C82B15B69D}">
  <sheetPr codeName="Sheet6">
    <tabColor rgb="FF92D050"/>
  </sheetPr>
  <dimension ref="A1:P47"/>
  <sheetViews>
    <sheetView topLeftCell="A7" workbookViewId="0">
      <selection activeCell="B10" sqref="B1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74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1303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73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219900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219900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10995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208905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2043</v>
      </c>
      <c r="D21" s="23" t="s">
        <v>28</v>
      </c>
      <c r="E21" s="8">
        <f>400*5</f>
        <v>2000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2638.8</v>
      </c>
      <c r="D22" s="7" t="s">
        <v>31</v>
      </c>
      <c r="E22" s="17">
        <f>B16*0.012</f>
        <v>2638.8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1548.07</v>
      </c>
      <c r="D25" s="7" t="s">
        <v>38</v>
      </c>
      <c r="E25" s="35">
        <f>B25</f>
        <v>1548.07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1854.52</v>
      </c>
      <c r="D26" s="7" t="s">
        <v>41</v>
      </c>
      <c r="E26" s="17">
        <f>E25+I25+I34</f>
        <v>1854.52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188.48000000000002</v>
      </c>
      <c r="D28" s="7" t="s">
        <v>43</v>
      </c>
      <c r="E28" s="44">
        <f>E21-E25-I25-I34+I24+I33</f>
        <v>145.48000000000002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0.20570804911323332</v>
      </c>
      <c r="D29" s="46" t="s">
        <v>44</v>
      </c>
      <c r="E29" s="47">
        <f>(E28*12)/B17</f>
        <v>0.15877762619372443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102.15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102.15</v>
      </c>
    </row>
    <row r="32" spans="1:16" x14ac:dyDescent="0.25">
      <c r="A32" s="26" t="s">
        <v>49</v>
      </c>
      <c r="B32" s="8">
        <f>B16</f>
        <v>219900</v>
      </c>
      <c r="G32" s="27" t="s">
        <v>50</v>
      </c>
      <c r="H32" s="48">
        <v>0.05</v>
      </c>
      <c r="I32" s="49">
        <f>$B$21*H32</f>
        <v>102.15</v>
      </c>
    </row>
    <row r="33" spans="1:9" x14ac:dyDescent="0.25">
      <c r="A33" s="7" t="s">
        <v>51</v>
      </c>
      <c r="B33" s="17">
        <f>B32-B18</f>
        <v>10995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306.45000000000005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147.97437500000001</v>
      </c>
      <c r="D39" s="7"/>
      <c r="E39" s="17"/>
    </row>
    <row r="40" spans="1:9" x14ac:dyDescent="0.25">
      <c r="A40" s="7" t="s">
        <v>58</v>
      </c>
      <c r="B40" s="17">
        <f>B25-B39</f>
        <v>1400.0956249999999</v>
      </c>
      <c r="D40" s="7"/>
      <c r="E40" s="17"/>
    </row>
    <row r="41" spans="1:9" x14ac:dyDescent="0.25">
      <c r="A41" s="7" t="s">
        <v>59</v>
      </c>
      <c r="B41" s="43">
        <f>B21-B40-I25-I34</f>
        <v>336.45437500000003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0.36720804911323329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320" priority="31" operator="equal">
      <formula>"NO"</formula>
    </cfRule>
    <cfRule type="cellIs" dxfId="8319" priority="32" operator="equal">
      <formula>"YES"</formula>
    </cfRule>
  </conditionalFormatting>
  <conditionalFormatting sqref="E38">
    <cfRule type="cellIs" dxfId="8318" priority="29" operator="equal">
      <formula>"YES"</formula>
    </cfRule>
    <cfRule type="cellIs" dxfId="8317" priority="30" operator="equal">
      <formula>"NO"</formula>
    </cfRule>
  </conditionalFormatting>
  <conditionalFormatting sqref="B23">
    <cfRule type="cellIs" dxfId="8316" priority="27" operator="equal">
      <formula>"NO"</formula>
    </cfRule>
    <cfRule type="cellIs" dxfId="8315" priority="28" operator="equal">
      <formula>"YES"</formula>
    </cfRule>
  </conditionalFormatting>
  <conditionalFormatting sqref="B12">
    <cfRule type="containsText" dxfId="8314" priority="13" operator="containsText" text="Low">
      <formula>NOT(ISERROR(SEARCH("Low",B12)))</formula>
    </cfRule>
    <cfRule type="containsText" dxfId="8313" priority="14" operator="containsText" text="Medium">
      <formula>NOT(ISERROR(SEARCH("Medium",B12)))</formula>
    </cfRule>
    <cfRule type="containsText" dxfId="8312" priority="15" operator="containsText" text="High">
      <formula>NOT(ISERROR(SEARCH("High",B12)))</formula>
    </cfRule>
  </conditionalFormatting>
  <conditionalFormatting sqref="B29">
    <cfRule type="cellIs" dxfId="8311" priority="23" operator="between">
      <formula>10%</formula>
      <formula>11.9%</formula>
    </cfRule>
    <cfRule type="cellIs" dxfId="8310" priority="25" operator="lessThan">
      <formula>0.1</formula>
    </cfRule>
    <cfRule type="cellIs" dxfId="8309" priority="26" operator="greaterThanOrEqual">
      <formula>0.12</formula>
    </cfRule>
  </conditionalFormatting>
  <conditionalFormatting sqref="B42">
    <cfRule type="cellIs" dxfId="8308" priority="21" operator="between">
      <formula>0.1</formula>
      <formula>0.1199</formula>
    </cfRule>
    <cfRule type="cellIs" dxfId="8307" priority="22" operator="lessThan">
      <formula>0.1</formula>
    </cfRule>
    <cfRule type="cellIs" dxfId="8306" priority="24" operator="greaterThanOrEqual">
      <formula>0.12</formula>
    </cfRule>
  </conditionalFormatting>
  <conditionalFormatting sqref="B10">
    <cfRule type="containsText" dxfId="8305" priority="16" operator="containsText" text="Full">
      <formula>NOT(ISERROR(SEARCH("Full",B10)))</formula>
    </cfRule>
    <cfRule type="containsText" dxfId="8304" priority="17" operator="containsText" text="Heavy">
      <formula>NOT(ISERROR(SEARCH("Heavy",B10)))</formula>
    </cfRule>
    <cfRule type="containsText" dxfId="8303" priority="18" operator="containsText" text="Medium">
      <formula>NOT(ISERROR(SEARCH("Medium",B10)))</formula>
    </cfRule>
    <cfRule type="containsText" dxfId="8302" priority="19" operator="containsText" text="Light">
      <formula>NOT(ISERROR(SEARCH("Light",B10)))</formula>
    </cfRule>
    <cfRule type="containsText" dxfId="8301" priority="20" operator="containsText" text="None">
      <formula>NOT(ISERROR(SEARCH("None",B10)))</formula>
    </cfRule>
  </conditionalFormatting>
  <conditionalFormatting sqref="E42">
    <cfRule type="cellIs" dxfId="8300" priority="10" operator="between">
      <formula>0.1</formula>
      <formula>0.119</formula>
    </cfRule>
    <cfRule type="cellIs" dxfId="8299" priority="11" operator="lessThan">
      <formula>0.1</formula>
    </cfRule>
    <cfRule type="cellIs" dxfId="8298" priority="12" operator="greaterThanOrEqual">
      <formula>0.12</formula>
    </cfRule>
  </conditionalFormatting>
  <conditionalFormatting sqref="B28">
    <cfRule type="cellIs" dxfId="8297" priority="33" operator="lessThan">
      <formula>$B$8*100</formula>
    </cfRule>
    <cfRule type="cellIs" dxfId="8296" priority="34" operator="greaterThanOrEqual">
      <formula>$B$8*100</formula>
    </cfRule>
  </conditionalFormatting>
  <conditionalFormatting sqref="B41">
    <cfRule type="cellIs" dxfId="8295" priority="35" operator="lessThan">
      <formula>$B$8*100</formula>
    </cfRule>
    <cfRule type="cellIs" dxfId="8294" priority="36" operator="greaterThan">
      <formula>$B$8*100</formula>
    </cfRule>
    <cfRule type="cellIs" dxfId="8293" priority="37" operator="greaterThan">
      <formula>$B$8*100</formula>
    </cfRule>
  </conditionalFormatting>
  <conditionalFormatting sqref="E41">
    <cfRule type="cellIs" dxfId="8292" priority="38" operator="greaterThan">
      <formula>$B$8*100</formula>
    </cfRule>
    <cfRule type="cellIs" dxfId="8291" priority="39" operator="lessThan">
      <formula>$B$8*100</formula>
    </cfRule>
  </conditionalFormatting>
  <conditionalFormatting sqref="B38">
    <cfRule type="cellIs" dxfId="8290" priority="8" operator="equal">
      <formula>"YES"</formula>
    </cfRule>
    <cfRule type="cellIs" dxfId="8289" priority="9" operator="equal">
      <formula>"NO"</formula>
    </cfRule>
  </conditionalFormatting>
  <conditionalFormatting sqref="E23:E26">
    <cfRule type="cellIs" dxfId="8288" priority="4" operator="equal">
      <formula>"NO"</formula>
    </cfRule>
    <cfRule type="cellIs" dxfId="8287" priority="5" operator="equal">
      <formula>"YES"</formula>
    </cfRule>
  </conditionalFormatting>
  <conditionalFormatting sqref="E29">
    <cfRule type="cellIs" dxfId="8286" priority="1" operator="between">
      <formula>10%</formula>
      <formula>12%</formula>
    </cfRule>
    <cfRule type="cellIs" dxfId="8285" priority="2" operator="lessThan">
      <formula>0.1</formula>
    </cfRule>
    <cfRule type="cellIs" dxfId="8284" priority="3" operator="greaterThan">
      <formula>0.12</formula>
    </cfRule>
  </conditionalFormatting>
  <conditionalFormatting sqref="E28">
    <cfRule type="cellIs" dxfId="8283" priority="6" operator="lessThan">
      <formula>$B$8*100</formula>
    </cfRule>
    <cfRule type="cellIs" dxfId="8282" priority="7" operator="greaterThan">
      <formula>$B$8*100</formula>
    </cfRule>
  </conditionalFormatting>
  <hyperlinks>
    <hyperlink ref="A32" r:id="rId1" display="https://www.zillow.com/homes/recently_sold/" xr:uid="{EF874FA5-7CA8-419D-B133-C1C2DE580FA2}"/>
    <hyperlink ref="A21" r:id="rId2" xr:uid="{34682DF1-7476-49A0-A94D-0B4A79818540}"/>
    <hyperlink ref="A25" r:id="rId3" display="www.mortgagecalculator.org" xr:uid="{34D15E8F-2BA7-4161-8572-42157D211E24}"/>
    <hyperlink ref="A12" r:id="rId4" xr:uid="{A9E11451-01C8-414F-A4E9-32C3CFE84EBF}"/>
  </hyperlinks>
  <pageMargins left="0.7" right="0.7" top="0.75" bottom="0.75" header="0.3" footer="0.3"/>
  <drawing r:id="rId5"/>
  <legacy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5C888-4A9C-4C0D-A146-7181607737A7}">
  <sheetPr codeName="Sheet7">
    <tabColor rgb="FFFF0000"/>
  </sheetPr>
  <dimension ref="A1:P47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75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1202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123250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123250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6162.5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117087.5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1311</v>
      </c>
      <c r="D21" s="23" t="s">
        <v>28</v>
      </c>
      <c r="E21" s="8">
        <f>400*3</f>
        <v>1200</v>
      </c>
      <c r="G21" s="27" t="s">
        <v>29</v>
      </c>
      <c r="H21" s="28"/>
      <c r="I21" s="29"/>
    </row>
    <row r="22" spans="1:16" x14ac:dyDescent="0.25">
      <c r="A22" s="7" t="s">
        <v>30</v>
      </c>
      <c r="B22" s="17">
        <f>B16*0.012</f>
        <v>1479</v>
      </c>
      <c r="D22" s="7" t="s">
        <v>31</v>
      </c>
      <c r="E22" s="17">
        <f>B16*0.012</f>
        <v>1479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1066.0899999999999</v>
      </c>
      <c r="D25" s="7" t="s">
        <v>38</v>
      </c>
      <c r="E25" s="35">
        <f>B25</f>
        <v>1066.0899999999999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1262.7399999999998</v>
      </c>
      <c r="D26" s="7" t="s">
        <v>41</v>
      </c>
      <c r="E26" s="17">
        <f>E25+I25+I34</f>
        <v>1262.7399999999998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48.260000000000218</v>
      </c>
      <c r="D28" s="7" t="s">
        <v>43</v>
      </c>
      <c r="E28" s="44">
        <f>E21-E25-I25-I34+I24+I33</f>
        <v>-62.739999999999895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9.3974847870182981E-2</v>
      </c>
      <c r="D29" s="46" t="s">
        <v>44</v>
      </c>
      <c r="E29" s="47">
        <f>(E28*12)/B17</f>
        <v>-0.12217119675456369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65.55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65.55</v>
      </c>
    </row>
    <row r="32" spans="1:16" x14ac:dyDescent="0.25">
      <c r="A32" s="26" t="s">
        <v>49</v>
      </c>
      <c r="B32" s="8">
        <f>B16</f>
        <v>123250</v>
      </c>
      <c r="G32" s="27" t="s">
        <v>50</v>
      </c>
      <c r="H32" s="48">
        <v>0.05</v>
      </c>
      <c r="I32" s="49">
        <f>$B$21*H32</f>
        <v>65.55</v>
      </c>
    </row>
    <row r="33" spans="1:9" x14ac:dyDescent="0.25">
      <c r="A33" s="7" t="s">
        <v>51</v>
      </c>
      <c r="B33" s="17">
        <f>B32-B18</f>
        <v>6162.5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196.64999999999998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82.936979166666674</v>
      </c>
      <c r="D39" s="7"/>
      <c r="E39" s="17"/>
    </row>
    <row r="40" spans="1:9" x14ac:dyDescent="0.25">
      <c r="A40" s="7" t="s">
        <v>58</v>
      </c>
      <c r="B40" s="17">
        <f>B25-B39</f>
        <v>983.15302083333324</v>
      </c>
      <c r="D40" s="7"/>
      <c r="E40" s="17"/>
    </row>
    <row r="41" spans="1:9" x14ac:dyDescent="0.25">
      <c r="A41" s="7" t="s">
        <v>59</v>
      </c>
      <c r="B41" s="43">
        <f>B21-B40-I25-I34</f>
        <v>131.19697916666678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0.25547484787018276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281" priority="31" operator="equal">
      <formula>"NO"</formula>
    </cfRule>
    <cfRule type="cellIs" dxfId="8280" priority="32" operator="equal">
      <formula>"YES"</formula>
    </cfRule>
  </conditionalFormatting>
  <conditionalFormatting sqref="E38">
    <cfRule type="cellIs" dxfId="8279" priority="29" operator="equal">
      <formula>"YES"</formula>
    </cfRule>
    <cfRule type="cellIs" dxfId="8278" priority="30" operator="equal">
      <formula>"NO"</formula>
    </cfRule>
  </conditionalFormatting>
  <conditionalFormatting sqref="B23">
    <cfRule type="cellIs" dxfId="8277" priority="27" operator="equal">
      <formula>"NO"</formula>
    </cfRule>
    <cfRule type="cellIs" dxfId="8276" priority="28" operator="equal">
      <formula>"YES"</formula>
    </cfRule>
  </conditionalFormatting>
  <conditionalFormatting sqref="B12">
    <cfRule type="containsText" dxfId="8275" priority="13" operator="containsText" text="Low">
      <formula>NOT(ISERROR(SEARCH("Low",B12)))</formula>
    </cfRule>
    <cfRule type="containsText" dxfId="8274" priority="14" operator="containsText" text="Medium">
      <formula>NOT(ISERROR(SEARCH("Medium",B12)))</formula>
    </cfRule>
    <cfRule type="containsText" dxfId="8273" priority="15" operator="containsText" text="High">
      <formula>NOT(ISERROR(SEARCH("High",B12)))</formula>
    </cfRule>
  </conditionalFormatting>
  <conditionalFormatting sqref="B29">
    <cfRule type="cellIs" dxfId="8272" priority="23" operator="between">
      <formula>10%</formula>
      <formula>11.9%</formula>
    </cfRule>
    <cfRule type="cellIs" dxfId="8271" priority="25" operator="lessThan">
      <formula>0.1</formula>
    </cfRule>
    <cfRule type="cellIs" dxfId="8270" priority="26" operator="greaterThanOrEqual">
      <formula>0.12</formula>
    </cfRule>
  </conditionalFormatting>
  <conditionalFormatting sqref="B42">
    <cfRule type="cellIs" dxfId="8269" priority="21" operator="between">
      <formula>0.1</formula>
      <formula>0.1199</formula>
    </cfRule>
    <cfRule type="cellIs" dxfId="8268" priority="22" operator="lessThan">
      <formula>0.1</formula>
    </cfRule>
    <cfRule type="cellIs" dxfId="8267" priority="24" operator="greaterThanOrEqual">
      <formula>0.12</formula>
    </cfRule>
  </conditionalFormatting>
  <conditionalFormatting sqref="B10">
    <cfRule type="containsText" dxfId="8266" priority="16" operator="containsText" text="Full">
      <formula>NOT(ISERROR(SEARCH("Full",B10)))</formula>
    </cfRule>
    <cfRule type="containsText" dxfId="8265" priority="17" operator="containsText" text="Heavy">
      <formula>NOT(ISERROR(SEARCH("Heavy",B10)))</formula>
    </cfRule>
    <cfRule type="containsText" dxfId="8264" priority="18" operator="containsText" text="Medium">
      <formula>NOT(ISERROR(SEARCH("Medium",B10)))</formula>
    </cfRule>
    <cfRule type="containsText" dxfId="8263" priority="19" operator="containsText" text="Light">
      <formula>NOT(ISERROR(SEARCH("Light",B10)))</formula>
    </cfRule>
    <cfRule type="containsText" dxfId="8262" priority="20" operator="containsText" text="None">
      <formula>NOT(ISERROR(SEARCH("None",B10)))</formula>
    </cfRule>
  </conditionalFormatting>
  <conditionalFormatting sqref="E42">
    <cfRule type="cellIs" dxfId="8261" priority="10" operator="between">
      <formula>0.1</formula>
      <formula>0.119</formula>
    </cfRule>
    <cfRule type="cellIs" dxfId="8260" priority="11" operator="lessThan">
      <formula>0.1</formula>
    </cfRule>
    <cfRule type="cellIs" dxfId="8259" priority="12" operator="greaterThanOrEqual">
      <formula>0.12</formula>
    </cfRule>
  </conditionalFormatting>
  <conditionalFormatting sqref="B28">
    <cfRule type="cellIs" dxfId="8258" priority="33" operator="lessThan">
      <formula>$B$8*100</formula>
    </cfRule>
    <cfRule type="cellIs" dxfId="8257" priority="34" operator="greaterThanOrEqual">
      <formula>$B$8*100</formula>
    </cfRule>
  </conditionalFormatting>
  <conditionalFormatting sqref="B41">
    <cfRule type="cellIs" dxfId="8256" priority="35" operator="lessThan">
      <formula>$B$8*100</formula>
    </cfRule>
    <cfRule type="cellIs" dxfId="8255" priority="36" operator="greaterThan">
      <formula>$B$8*100</formula>
    </cfRule>
    <cfRule type="cellIs" dxfId="8254" priority="37" operator="greaterThan">
      <formula>$B$8*100</formula>
    </cfRule>
  </conditionalFormatting>
  <conditionalFormatting sqref="E41">
    <cfRule type="cellIs" dxfId="8253" priority="38" operator="greaterThan">
      <formula>$B$8*100</formula>
    </cfRule>
    <cfRule type="cellIs" dxfId="8252" priority="39" operator="lessThan">
      <formula>$B$8*100</formula>
    </cfRule>
  </conditionalFormatting>
  <conditionalFormatting sqref="B38">
    <cfRule type="cellIs" dxfId="8251" priority="8" operator="equal">
      <formula>"YES"</formula>
    </cfRule>
    <cfRule type="cellIs" dxfId="8250" priority="9" operator="equal">
      <formula>"NO"</formula>
    </cfRule>
  </conditionalFormatting>
  <conditionalFormatting sqref="E23:E26">
    <cfRule type="cellIs" dxfId="8249" priority="4" operator="equal">
      <formula>"NO"</formula>
    </cfRule>
    <cfRule type="cellIs" dxfId="8248" priority="5" operator="equal">
      <formula>"YES"</formula>
    </cfRule>
  </conditionalFormatting>
  <conditionalFormatting sqref="E29">
    <cfRule type="cellIs" dxfId="8247" priority="1" operator="between">
      <formula>10%</formula>
      <formula>12%</formula>
    </cfRule>
    <cfRule type="cellIs" dxfId="8246" priority="2" operator="lessThan">
      <formula>0.1</formula>
    </cfRule>
    <cfRule type="cellIs" dxfId="8245" priority="3" operator="greaterThan">
      <formula>0.12</formula>
    </cfRule>
  </conditionalFormatting>
  <conditionalFormatting sqref="E28">
    <cfRule type="cellIs" dxfId="8244" priority="6" operator="lessThan">
      <formula>$B$8*100</formula>
    </cfRule>
    <cfRule type="cellIs" dxfId="8243" priority="7" operator="greaterThan">
      <formula>$B$8*100</formula>
    </cfRule>
  </conditionalFormatting>
  <hyperlinks>
    <hyperlink ref="A32" r:id="rId1" display="https://www.zillow.com/homes/recently_sold/" xr:uid="{5DA672B7-DFC6-4505-A899-01CDD9BF2079}"/>
    <hyperlink ref="A21" r:id="rId2" xr:uid="{00F0AFB1-D9E5-4051-BAEB-92A394A0B53B}"/>
    <hyperlink ref="A25" r:id="rId3" display="www.mortgagecalculator.org" xr:uid="{8D95EC69-C279-421B-98D7-7CC75036ABD9}"/>
    <hyperlink ref="A12" r:id="rId4" xr:uid="{A799093D-0F8F-4CFD-A99A-288551F37E6E}"/>
  </hyperlinks>
  <pageMargins left="0.7" right="0.7" top="0.75" bottom="0.75" header="0.3" footer="0.3"/>
  <drawing r:id="rId5"/>
  <legacy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BC1A7-323A-4871-B640-DD40A8EDF46D}">
  <sheetPr codeName="Sheet8">
    <tabColor rgb="FF00B050"/>
  </sheetPr>
  <dimension ref="A1:P47"/>
  <sheetViews>
    <sheetView topLeftCell="A14" workbookViewId="0">
      <selection activeCell="A23" sqref="A2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76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223900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223900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223900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11195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212705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2080</v>
      </c>
      <c r="D21" s="23" t="s">
        <v>28</v>
      </c>
      <c r="E21" s="8">
        <f>600*3</f>
        <v>1800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2239</v>
      </c>
      <c r="D22" s="7" t="s">
        <v>77</v>
      </c>
      <c r="E22" s="17">
        <f>B16*0.01</f>
        <v>2239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1501.53</v>
      </c>
      <c r="D25" s="7" t="s">
        <v>38</v>
      </c>
      <c r="E25" s="35">
        <f>B25</f>
        <v>1501.53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1813.53</v>
      </c>
      <c r="D26" s="7" t="s">
        <v>41</v>
      </c>
      <c r="E26" s="17">
        <f>E25+I25+I34</f>
        <v>1813.53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266.47000000000003</v>
      </c>
      <c r="D28" s="7" t="s">
        <v>43</v>
      </c>
      <c r="E28" s="44">
        <f>E21-E25-I25-I34+I24+I33</f>
        <v>-13.529999999999973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0.28563108530594017</v>
      </c>
      <c r="D29" s="46" t="s">
        <v>44</v>
      </c>
      <c r="E29" s="47">
        <f>(E28*12)/B17</f>
        <v>-1.4502903081732887E-2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104</v>
      </c>
    </row>
    <row r="32" spans="1:16" x14ac:dyDescent="0.25">
      <c r="A32" s="26" t="s">
        <v>49</v>
      </c>
      <c r="B32" s="8">
        <f>B16</f>
        <v>223900</v>
      </c>
      <c r="G32" s="27" t="s">
        <v>50</v>
      </c>
      <c r="H32" s="48">
        <v>0.05</v>
      </c>
      <c r="I32" s="49">
        <f>$B$21*H32</f>
        <v>104</v>
      </c>
    </row>
    <row r="33" spans="1:9" x14ac:dyDescent="0.25">
      <c r="A33" s="7" t="s">
        <v>51</v>
      </c>
      <c r="B33" s="17">
        <f>B32-B18</f>
        <v>11195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150.66604166666667</v>
      </c>
      <c r="D39" s="7"/>
      <c r="E39" s="17"/>
    </row>
    <row r="40" spans="1:9" x14ac:dyDescent="0.25">
      <c r="A40" s="7" t="s">
        <v>58</v>
      </c>
      <c r="B40" s="17">
        <f>B25-B39</f>
        <v>1350.8639583333334</v>
      </c>
      <c r="D40" s="7"/>
      <c r="E40" s="17"/>
    </row>
    <row r="41" spans="1:9" x14ac:dyDescent="0.25">
      <c r="A41" s="7" t="s">
        <v>59</v>
      </c>
      <c r="B41" s="43">
        <f>B21-B40-I25-I34</f>
        <v>417.13604166666664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0.44713108530594015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242" priority="31" operator="equal">
      <formula>"NO"</formula>
    </cfRule>
    <cfRule type="cellIs" dxfId="8241" priority="32" operator="equal">
      <formula>"YES"</formula>
    </cfRule>
  </conditionalFormatting>
  <conditionalFormatting sqref="E38">
    <cfRule type="cellIs" dxfId="8240" priority="29" operator="equal">
      <formula>"YES"</formula>
    </cfRule>
    <cfRule type="cellIs" dxfId="8239" priority="30" operator="equal">
      <formula>"NO"</formula>
    </cfRule>
  </conditionalFormatting>
  <conditionalFormatting sqref="B23">
    <cfRule type="cellIs" dxfId="8238" priority="27" operator="equal">
      <formula>"NO"</formula>
    </cfRule>
    <cfRule type="cellIs" dxfId="8237" priority="28" operator="equal">
      <formula>"YES"</formula>
    </cfRule>
  </conditionalFormatting>
  <conditionalFormatting sqref="B12">
    <cfRule type="containsText" dxfId="8236" priority="13" operator="containsText" text="Low">
      <formula>NOT(ISERROR(SEARCH("Low",B12)))</formula>
    </cfRule>
    <cfRule type="containsText" dxfId="8235" priority="14" operator="containsText" text="Medium">
      <formula>NOT(ISERROR(SEARCH("Medium",B12)))</formula>
    </cfRule>
    <cfRule type="containsText" dxfId="8234" priority="15" operator="containsText" text="High">
      <formula>NOT(ISERROR(SEARCH("High",B12)))</formula>
    </cfRule>
  </conditionalFormatting>
  <conditionalFormatting sqref="B29">
    <cfRule type="cellIs" dxfId="8233" priority="23" operator="between">
      <formula>10%</formula>
      <formula>11.9%</formula>
    </cfRule>
    <cfRule type="cellIs" dxfId="8232" priority="25" operator="lessThan">
      <formula>0.1</formula>
    </cfRule>
    <cfRule type="cellIs" dxfId="8231" priority="26" operator="greaterThanOrEqual">
      <formula>0.12</formula>
    </cfRule>
  </conditionalFormatting>
  <conditionalFormatting sqref="B42">
    <cfRule type="cellIs" dxfId="8230" priority="21" operator="between">
      <formula>0.1</formula>
      <formula>0.1199</formula>
    </cfRule>
    <cfRule type="cellIs" dxfId="8229" priority="22" operator="lessThan">
      <formula>0.1</formula>
    </cfRule>
    <cfRule type="cellIs" dxfId="8228" priority="24" operator="greaterThanOrEqual">
      <formula>0.12</formula>
    </cfRule>
  </conditionalFormatting>
  <conditionalFormatting sqref="B10">
    <cfRule type="containsText" dxfId="8227" priority="16" operator="containsText" text="Full">
      <formula>NOT(ISERROR(SEARCH("Full",B10)))</formula>
    </cfRule>
    <cfRule type="containsText" dxfId="8226" priority="17" operator="containsText" text="Heavy">
      <formula>NOT(ISERROR(SEARCH("Heavy",B10)))</formula>
    </cfRule>
    <cfRule type="containsText" dxfId="8225" priority="18" operator="containsText" text="Medium">
      <formula>NOT(ISERROR(SEARCH("Medium",B10)))</formula>
    </cfRule>
    <cfRule type="containsText" dxfId="8224" priority="19" operator="containsText" text="Light">
      <formula>NOT(ISERROR(SEARCH("Light",B10)))</formula>
    </cfRule>
    <cfRule type="containsText" dxfId="8223" priority="20" operator="containsText" text="None">
      <formula>NOT(ISERROR(SEARCH("None",B10)))</formula>
    </cfRule>
  </conditionalFormatting>
  <conditionalFormatting sqref="E42">
    <cfRule type="cellIs" dxfId="8222" priority="10" operator="between">
      <formula>0.1</formula>
      <formula>0.119</formula>
    </cfRule>
    <cfRule type="cellIs" dxfId="8221" priority="11" operator="lessThan">
      <formula>0.1</formula>
    </cfRule>
    <cfRule type="cellIs" dxfId="8220" priority="12" operator="greaterThanOrEqual">
      <formula>0.12</formula>
    </cfRule>
  </conditionalFormatting>
  <conditionalFormatting sqref="B28">
    <cfRule type="cellIs" dxfId="8219" priority="33" operator="lessThan">
      <formula>$B$8*100</formula>
    </cfRule>
    <cfRule type="cellIs" dxfId="8218" priority="34" operator="greaterThanOrEqual">
      <formula>$B$8*100</formula>
    </cfRule>
  </conditionalFormatting>
  <conditionalFormatting sqref="B41">
    <cfRule type="cellIs" dxfId="8217" priority="35" operator="lessThan">
      <formula>$B$8*100</formula>
    </cfRule>
    <cfRule type="cellIs" dxfId="8216" priority="36" operator="greaterThan">
      <formula>$B$8*100</formula>
    </cfRule>
    <cfRule type="cellIs" dxfId="8215" priority="37" operator="greaterThan">
      <formula>$B$8*100</formula>
    </cfRule>
  </conditionalFormatting>
  <conditionalFormatting sqref="E41">
    <cfRule type="cellIs" dxfId="8214" priority="38" operator="greaterThan">
      <formula>$B$8*100</formula>
    </cfRule>
    <cfRule type="cellIs" dxfId="8213" priority="39" operator="lessThan">
      <formula>$B$8*100</formula>
    </cfRule>
  </conditionalFormatting>
  <conditionalFormatting sqref="B38">
    <cfRule type="cellIs" dxfId="8212" priority="8" operator="equal">
      <formula>"YES"</formula>
    </cfRule>
    <cfRule type="cellIs" dxfId="8211" priority="9" operator="equal">
      <formula>"NO"</formula>
    </cfRule>
  </conditionalFormatting>
  <conditionalFormatting sqref="E23:E26">
    <cfRule type="cellIs" dxfId="8210" priority="4" operator="equal">
      <formula>"NO"</formula>
    </cfRule>
    <cfRule type="cellIs" dxfId="8209" priority="5" operator="equal">
      <formula>"YES"</formula>
    </cfRule>
  </conditionalFormatting>
  <conditionalFormatting sqref="E29">
    <cfRule type="cellIs" dxfId="8208" priority="1" operator="between">
      <formula>10%</formula>
      <formula>12%</formula>
    </cfRule>
    <cfRule type="cellIs" dxfId="8207" priority="2" operator="lessThan">
      <formula>0.1</formula>
    </cfRule>
    <cfRule type="cellIs" dxfId="8206" priority="3" operator="greaterThan">
      <formula>0.12</formula>
    </cfRule>
  </conditionalFormatting>
  <conditionalFormatting sqref="E28">
    <cfRule type="cellIs" dxfId="8205" priority="6" operator="lessThan">
      <formula>$B$8*100</formula>
    </cfRule>
    <cfRule type="cellIs" dxfId="8204" priority="7" operator="greaterThan">
      <formula>$B$8*100</formula>
    </cfRule>
  </conditionalFormatting>
  <hyperlinks>
    <hyperlink ref="A32" r:id="rId1" display="https://www.zillow.com/homes/recently_sold/" xr:uid="{3EB2364B-D405-4D02-9CB3-0686E91891ED}"/>
    <hyperlink ref="A21" r:id="rId2" xr:uid="{12A45F13-AA2A-430B-8B97-CDA166BBA5B1}"/>
    <hyperlink ref="A25" r:id="rId3" display="www.mortgagecalculator.org" xr:uid="{30B5C3B6-B7EE-4036-991E-CF0B63AA0774}"/>
    <hyperlink ref="A12" r:id="rId4" xr:uid="{2D98AD64-7FEE-4BF5-9EB8-EE74F22878D4}"/>
  </hyperlinks>
  <pageMargins left="0.7" right="0.7" top="0.75" bottom="0.75" header="0.3" footer="0.3"/>
  <drawing r:id="rId5"/>
  <legacy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0AF97-EAA2-4232-A00A-58AA6867AB93}">
  <sheetPr codeName="Sheet9">
    <tabColor rgb="FF00B050"/>
  </sheetPr>
  <dimension ref="A1:P42"/>
  <sheetViews>
    <sheetView topLeftCell="B10" workbookViewId="0">
      <selection activeCell="E30" sqref="E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79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1002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195000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9750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185250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2106</v>
      </c>
      <c r="D21" s="23" t="s">
        <v>28</v>
      </c>
      <c r="E21" s="8">
        <f>600*3</f>
        <v>1800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1950</v>
      </c>
      <c r="D22" s="7" t="s">
        <v>77</v>
      </c>
      <c r="E22" s="17">
        <f>B16*0.01</f>
        <v>1950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34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1238.67</v>
      </c>
      <c r="D25" s="7" t="s">
        <v>38</v>
      </c>
      <c r="E25" s="35">
        <f>B25</f>
        <v>1238.67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1554.5700000000002</v>
      </c>
      <c r="D26" s="7" t="s">
        <v>41</v>
      </c>
      <c r="E26" s="17">
        <f>E25+I25+I34</f>
        <v>1554.5700000000002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551.42999999999984</v>
      </c>
      <c r="D28" s="7" t="s">
        <v>43</v>
      </c>
      <c r="E28" s="44">
        <f>E21-E25-I25-I34+I24+I33</f>
        <v>245.42999999999989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0.67868307692307672</v>
      </c>
      <c r="D29" s="46" t="s">
        <v>44</v>
      </c>
      <c r="E29" s="47">
        <f>(E28*12)/B17</f>
        <v>0.3020676923076922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105.30000000000001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105.30000000000001</v>
      </c>
    </row>
    <row r="32" spans="1:16" x14ac:dyDescent="0.25">
      <c r="A32" s="26" t="s">
        <v>49</v>
      </c>
      <c r="B32" s="8">
        <f>B16</f>
        <v>195000</v>
      </c>
      <c r="G32" s="27" t="s">
        <v>50</v>
      </c>
      <c r="H32" s="48">
        <v>0.05</v>
      </c>
      <c r="I32" s="49">
        <f>$B$21*H32</f>
        <v>105.30000000000001</v>
      </c>
    </row>
    <row r="33" spans="1:9" x14ac:dyDescent="0.25">
      <c r="A33" s="7" t="s">
        <v>51</v>
      </c>
      <c r="B33" s="17">
        <f>B32-B18</f>
        <v>9750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315.90000000000003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131.21875</v>
      </c>
      <c r="D39" s="7"/>
      <c r="E39" s="17"/>
    </row>
    <row r="40" spans="1:9" x14ac:dyDescent="0.25">
      <c r="A40" s="7" t="s">
        <v>58</v>
      </c>
      <c r="B40" s="17">
        <f>B25-B39</f>
        <v>1107.4512500000001</v>
      </c>
      <c r="D40" s="7"/>
      <c r="E40" s="17"/>
    </row>
    <row r="41" spans="1:9" x14ac:dyDescent="0.25">
      <c r="A41" s="7" t="s">
        <v>59</v>
      </c>
      <c r="B41" s="43">
        <f>B21-B40-I25-I34</f>
        <v>682.64874999999984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0.8401830769230767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203" priority="31" operator="equal">
      <formula>"NO"</formula>
    </cfRule>
    <cfRule type="cellIs" dxfId="8202" priority="32" operator="equal">
      <formula>"YES"</formula>
    </cfRule>
  </conditionalFormatting>
  <conditionalFormatting sqref="E38">
    <cfRule type="cellIs" dxfId="8201" priority="29" operator="equal">
      <formula>"YES"</formula>
    </cfRule>
    <cfRule type="cellIs" dxfId="8200" priority="30" operator="equal">
      <formula>"NO"</formula>
    </cfRule>
  </conditionalFormatting>
  <conditionalFormatting sqref="B23">
    <cfRule type="cellIs" dxfId="8199" priority="27" operator="equal">
      <formula>"NO"</formula>
    </cfRule>
    <cfRule type="cellIs" dxfId="8198" priority="28" operator="equal">
      <formula>"YES"</formula>
    </cfRule>
  </conditionalFormatting>
  <conditionalFormatting sqref="B12">
    <cfRule type="containsText" dxfId="8197" priority="13" operator="containsText" text="Low">
      <formula>NOT(ISERROR(SEARCH("Low",B12)))</formula>
    </cfRule>
    <cfRule type="containsText" dxfId="8196" priority="14" operator="containsText" text="Medium">
      <formula>NOT(ISERROR(SEARCH("Medium",B12)))</formula>
    </cfRule>
    <cfRule type="containsText" dxfId="8195" priority="15" operator="containsText" text="High">
      <formula>NOT(ISERROR(SEARCH("High",B12)))</formula>
    </cfRule>
  </conditionalFormatting>
  <conditionalFormatting sqref="B29">
    <cfRule type="cellIs" dxfId="8194" priority="23" operator="between">
      <formula>10%</formula>
      <formula>11.9%</formula>
    </cfRule>
    <cfRule type="cellIs" dxfId="8193" priority="25" operator="lessThan">
      <formula>0.1</formula>
    </cfRule>
    <cfRule type="cellIs" dxfId="8192" priority="26" operator="greaterThanOrEqual">
      <formula>0.12</formula>
    </cfRule>
  </conditionalFormatting>
  <conditionalFormatting sqref="B42">
    <cfRule type="cellIs" dxfId="8191" priority="21" operator="between">
      <formula>0.1</formula>
      <formula>0.1199</formula>
    </cfRule>
    <cfRule type="cellIs" dxfId="8190" priority="22" operator="lessThan">
      <formula>0.1</formula>
    </cfRule>
    <cfRule type="cellIs" dxfId="8189" priority="24" operator="greaterThanOrEqual">
      <formula>0.12</formula>
    </cfRule>
  </conditionalFormatting>
  <conditionalFormatting sqref="B10">
    <cfRule type="containsText" dxfId="8188" priority="16" operator="containsText" text="Full">
      <formula>NOT(ISERROR(SEARCH("Full",B10)))</formula>
    </cfRule>
    <cfRule type="containsText" dxfId="8187" priority="17" operator="containsText" text="Heavy">
      <formula>NOT(ISERROR(SEARCH("Heavy",B10)))</formula>
    </cfRule>
    <cfRule type="containsText" dxfId="8186" priority="18" operator="containsText" text="Medium">
      <formula>NOT(ISERROR(SEARCH("Medium",B10)))</formula>
    </cfRule>
    <cfRule type="containsText" dxfId="8185" priority="19" operator="containsText" text="Light">
      <formula>NOT(ISERROR(SEARCH("Light",B10)))</formula>
    </cfRule>
    <cfRule type="containsText" dxfId="8184" priority="20" operator="containsText" text="None">
      <formula>NOT(ISERROR(SEARCH("None",B10)))</formula>
    </cfRule>
  </conditionalFormatting>
  <conditionalFormatting sqref="E42">
    <cfRule type="cellIs" dxfId="8183" priority="10" operator="between">
      <formula>0.1</formula>
      <formula>0.119</formula>
    </cfRule>
    <cfRule type="cellIs" dxfId="8182" priority="11" operator="lessThan">
      <formula>0.1</formula>
    </cfRule>
    <cfRule type="cellIs" dxfId="8181" priority="12" operator="greaterThanOrEqual">
      <formula>0.12</formula>
    </cfRule>
  </conditionalFormatting>
  <conditionalFormatting sqref="B28">
    <cfRule type="cellIs" dxfId="8180" priority="33" operator="lessThan">
      <formula>$B$8*100</formula>
    </cfRule>
    <cfRule type="cellIs" dxfId="8179" priority="34" operator="greaterThanOrEqual">
      <formula>$B$8*100</formula>
    </cfRule>
  </conditionalFormatting>
  <conditionalFormatting sqref="B41">
    <cfRule type="cellIs" dxfId="8178" priority="35" operator="lessThan">
      <formula>$B$8*100</formula>
    </cfRule>
    <cfRule type="cellIs" dxfId="8177" priority="36" operator="greaterThan">
      <formula>$B$8*100</formula>
    </cfRule>
    <cfRule type="cellIs" dxfId="8176" priority="37" operator="greaterThan">
      <formula>$B$8*100</formula>
    </cfRule>
  </conditionalFormatting>
  <conditionalFormatting sqref="E41">
    <cfRule type="cellIs" dxfId="8175" priority="38" operator="greaterThan">
      <formula>$B$8*100</formula>
    </cfRule>
    <cfRule type="cellIs" dxfId="8174" priority="39" operator="lessThan">
      <formula>$B$8*100</formula>
    </cfRule>
  </conditionalFormatting>
  <conditionalFormatting sqref="B38">
    <cfRule type="cellIs" dxfId="8173" priority="8" operator="equal">
      <formula>"YES"</formula>
    </cfRule>
    <cfRule type="cellIs" dxfId="8172" priority="9" operator="equal">
      <formula>"NO"</formula>
    </cfRule>
  </conditionalFormatting>
  <conditionalFormatting sqref="E23:E26">
    <cfRule type="cellIs" dxfId="8171" priority="4" operator="equal">
      <formula>"NO"</formula>
    </cfRule>
    <cfRule type="cellIs" dxfId="8170" priority="5" operator="equal">
      <formula>"YES"</formula>
    </cfRule>
  </conditionalFormatting>
  <conditionalFormatting sqref="E29">
    <cfRule type="cellIs" dxfId="8169" priority="1" operator="between">
      <formula>10%</formula>
      <formula>12%</formula>
    </cfRule>
    <cfRule type="cellIs" dxfId="8168" priority="2" operator="lessThan">
      <formula>0.1</formula>
    </cfRule>
    <cfRule type="cellIs" dxfId="8167" priority="3" operator="greaterThan">
      <formula>0.12</formula>
    </cfRule>
  </conditionalFormatting>
  <conditionalFormatting sqref="E28">
    <cfRule type="cellIs" dxfId="8166" priority="6" operator="lessThan">
      <formula>$B$8*100</formula>
    </cfRule>
    <cfRule type="cellIs" dxfId="8165" priority="7" operator="greaterThan">
      <formula>$B$8*100</formula>
    </cfRule>
  </conditionalFormatting>
  <hyperlinks>
    <hyperlink ref="A32" r:id="rId1" display="https://www.zillow.com/homes/recently_sold/" xr:uid="{5B2D2DDD-9C79-4DB7-9E6C-383E440BC18E}"/>
    <hyperlink ref="A21" r:id="rId2" xr:uid="{9D9962DF-1C6E-4C15-A8DB-A9A2688BABDC}"/>
    <hyperlink ref="A25" r:id="rId3" display="www.mortgagecalculator.org" xr:uid="{8F7A6767-FE2C-4FD3-A662-C1088599B634}"/>
    <hyperlink ref="A12" r:id="rId4" xr:uid="{7B1E14E8-2193-4C76-8794-5EFCA99A62C4}"/>
  </hyperlinks>
  <pageMargins left="0.7" right="0.7" top="0.75" bottom="0.75" header="0.3" footer="0.3"/>
  <drawing r:id="rId5"/>
  <legacy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94698-1C05-461F-9506-0E6BD050F986}">
  <sheetPr codeName="Sheet10">
    <tabColor rgb="FF00B050"/>
  </sheetPr>
  <dimension ref="A1:P47"/>
  <sheetViews>
    <sheetView topLeftCell="A13" workbookViewId="0">
      <selection activeCell="A32" sqref="A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1035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191250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15525</v>
      </c>
      <c r="D15" s="2"/>
      <c r="E15" s="3"/>
    </row>
    <row r="16" spans="1:10" x14ac:dyDescent="0.25">
      <c r="A16" s="7" t="s">
        <v>20</v>
      </c>
      <c r="B16" s="17">
        <f>B15+B13</f>
        <v>206775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7237.1250000000009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199537.875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2054</v>
      </c>
      <c r="D21" s="23" t="s">
        <v>28</v>
      </c>
      <c r="E21" s="8">
        <f>600*3</f>
        <v>1800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2067.75</v>
      </c>
      <c r="D22" s="7" t="s">
        <v>77</v>
      </c>
      <c r="E22" s="17">
        <f>B16*0.01</f>
        <v>2067.75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1535.63</v>
      </c>
      <c r="D25" s="7" t="s">
        <v>38</v>
      </c>
      <c r="E25" s="35">
        <f>B25</f>
        <v>1535.63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1843.73</v>
      </c>
      <c r="D26" s="7" t="s">
        <v>41</v>
      </c>
      <c r="E26" s="17">
        <f>E25+I25+I34</f>
        <v>1843.73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210.26999999999998</v>
      </c>
      <c r="D28" s="7" t="s">
        <v>43</v>
      </c>
      <c r="E28" s="44">
        <f>E21-E25-I25-I34+I24+I33</f>
        <v>-43.730000000000132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0.34865226177522146</v>
      </c>
      <c r="D29" s="46" t="s">
        <v>44</v>
      </c>
      <c r="E29" s="47">
        <f>(E28*12)/B17</f>
        <v>-7.2509456448520859E-2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102.7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102.7</v>
      </c>
    </row>
    <row r="32" spans="1:16" x14ac:dyDescent="0.25">
      <c r="A32" s="26" t="s">
        <v>49</v>
      </c>
      <c r="B32" s="8">
        <f>B16</f>
        <v>206775</v>
      </c>
      <c r="G32" s="27" t="s">
        <v>50</v>
      </c>
      <c r="H32" s="48">
        <v>0.05</v>
      </c>
      <c r="I32" s="49">
        <f>$B$21*H32</f>
        <v>102.7</v>
      </c>
    </row>
    <row r="33" spans="1:9" x14ac:dyDescent="0.25">
      <c r="A33" s="7" t="s">
        <v>51</v>
      </c>
      <c r="B33" s="17">
        <f>B32-B18</f>
        <v>7237.125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308.10000000000002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0.96499999999999997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141.33932812500001</v>
      </c>
      <c r="D39" s="7"/>
      <c r="E39" s="17"/>
    </row>
    <row r="40" spans="1:9" x14ac:dyDescent="0.25">
      <c r="A40" s="7" t="s">
        <v>58</v>
      </c>
      <c r="B40" s="17">
        <f>B25-B39</f>
        <v>1394.290671875</v>
      </c>
      <c r="D40" s="7"/>
      <c r="E40" s="17"/>
    </row>
    <row r="41" spans="1:9" x14ac:dyDescent="0.25">
      <c r="A41" s="7" t="s">
        <v>59</v>
      </c>
      <c r="B41" s="43">
        <f>B21-B40-I25-I34</f>
        <v>351.60932812499993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0.58300940463236417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164" priority="31" operator="equal">
      <formula>"NO"</formula>
    </cfRule>
    <cfRule type="cellIs" dxfId="8163" priority="32" operator="equal">
      <formula>"YES"</formula>
    </cfRule>
  </conditionalFormatting>
  <conditionalFormatting sqref="E38">
    <cfRule type="cellIs" dxfId="8162" priority="29" operator="equal">
      <formula>"YES"</formula>
    </cfRule>
    <cfRule type="cellIs" dxfId="8161" priority="30" operator="equal">
      <formula>"NO"</formula>
    </cfRule>
  </conditionalFormatting>
  <conditionalFormatting sqref="B23">
    <cfRule type="cellIs" dxfId="8160" priority="27" operator="equal">
      <formula>"NO"</formula>
    </cfRule>
    <cfRule type="cellIs" dxfId="8159" priority="28" operator="equal">
      <formula>"YES"</formula>
    </cfRule>
  </conditionalFormatting>
  <conditionalFormatting sqref="B12">
    <cfRule type="containsText" dxfId="8158" priority="13" operator="containsText" text="Low">
      <formula>NOT(ISERROR(SEARCH("Low",B12)))</formula>
    </cfRule>
    <cfRule type="containsText" dxfId="8157" priority="14" operator="containsText" text="Medium">
      <formula>NOT(ISERROR(SEARCH("Medium",B12)))</formula>
    </cfRule>
    <cfRule type="containsText" dxfId="8156" priority="15" operator="containsText" text="High">
      <formula>NOT(ISERROR(SEARCH("High",B12)))</formula>
    </cfRule>
  </conditionalFormatting>
  <conditionalFormatting sqref="B29">
    <cfRule type="cellIs" dxfId="8155" priority="23" operator="between">
      <formula>10%</formula>
      <formula>11.9%</formula>
    </cfRule>
    <cfRule type="cellIs" dxfId="8154" priority="25" operator="lessThan">
      <formula>0.1</formula>
    </cfRule>
    <cfRule type="cellIs" dxfId="8153" priority="26" operator="greaterThanOrEqual">
      <formula>0.12</formula>
    </cfRule>
  </conditionalFormatting>
  <conditionalFormatting sqref="B42">
    <cfRule type="cellIs" dxfId="8152" priority="21" operator="between">
      <formula>0.1</formula>
      <formula>0.1199</formula>
    </cfRule>
    <cfRule type="cellIs" dxfId="8151" priority="22" operator="lessThan">
      <formula>0.1</formula>
    </cfRule>
    <cfRule type="cellIs" dxfId="8150" priority="24" operator="greaterThanOrEqual">
      <formula>0.12</formula>
    </cfRule>
  </conditionalFormatting>
  <conditionalFormatting sqref="B10">
    <cfRule type="containsText" dxfId="8149" priority="16" operator="containsText" text="Full">
      <formula>NOT(ISERROR(SEARCH("Full",B10)))</formula>
    </cfRule>
    <cfRule type="containsText" dxfId="8148" priority="17" operator="containsText" text="Heavy">
      <formula>NOT(ISERROR(SEARCH("Heavy",B10)))</formula>
    </cfRule>
    <cfRule type="containsText" dxfId="8147" priority="18" operator="containsText" text="Medium">
      <formula>NOT(ISERROR(SEARCH("Medium",B10)))</formula>
    </cfRule>
    <cfRule type="containsText" dxfId="8146" priority="19" operator="containsText" text="Light">
      <formula>NOT(ISERROR(SEARCH("Light",B10)))</formula>
    </cfRule>
    <cfRule type="containsText" dxfId="8145" priority="20" operator="containsText" text="None">
      <formula>NOT(ISERROR(SEARCH("None",B10)))</formula>
    </cfRule>
  </conditionalFormatting>
  <conditionalFormatting sqref="E42">
    <cfRule type="cellIs" dxfId="8144" priority="10" operator="between">
      <formula>0.1</formula>
      <formula>0.119</formula>
    </cfRule>
    <cfRule type="cellIs" dxfId="8143" priority="11" operator="lessThan">
      <formula>0.1</formula>
    </cfRule>
    <cfRule type="cellIs" dxfId="8142" priority="12" operator="greaterThanOrEqual">
      <formula>0.12</formula>
    </cfRule>
  </conditionalFormatting>
  <conditionalFormatting sqref="B28">
    <cfRule type="cellIs" dxfId="8141" priority="33" operator="lessThan">
      <formula>$B$8*100</formula>
    </cfRule>
    <cfRule type="cellIs" dxfId="8140" priority="34" operator="greaterThanOrEqual">
      <formula>$B$8*100</formula>
    </cfRule>
  </conditionalFormatting>
  <conditionalFormatting sqref="B41">
    <cfRule type="cellIs" dxfId="8139" priority="35" operator="lessThan">
      <formula>$B$8*100</formula>
    </cfRule>
    <cfRule type="cellIs" dxfId="8138" priority="36" operator="greaterThan">
      <formula>$B$8*100</formula>
    </cfRule>
    <cfRule type="cellIs" dxfId="8137" priority="37" operator="greaterThan">
      <formula>$B$8*100</formula>
    </cfRule>
  </conditionalFormatting>
  <conditionalFormatting sqref="E41">
    <cfRule type="cellIs" dxfId="8136" priority="38" operator="greaterThan">
      <formula>$B$8*100</formula>
    </cfRule>
    <cfRule type="cellIs" dxfId="8135" priority="39" operator="lessThan">
      <formula>$B$8*100</formula>
    </cfRule>
  </conditionalFormatting>
  <conditionalFormatting sqref="B38">
    <cfRule type="cellIs" dxfId="8134" priority="8" operator="equal">
      <formula>"YES"</formula>
    </cfRule>
    <cfRule type="cellIs" dxfId="8133" priority="9" operator="equal">
      <formula>"NO"</formula>
    </cfRule>
  </conditionalFormatting>
  <conditionalFormatting sqref="E23:E26">
    <cfRule type="cellIs" dxfId="8132" priority="4" operator="equal">
      <formula>"NO"</formula>
    </cfRule>
    <cfRule type="cellIs" dxfId="8131" priority="5" operator="equal">
      <formula>"YES"</formula>
    </cfRule>
  </conditionalFormatting>
  <conditionalFormatting sqref="E29">
    <cfRule type="cellIs" dxfId="8130" priority="1" operator="between">
      <formula>10%</formula>
      <formula>12%</formula>
    </cfRule>
    <cfRule type="cellIs" dxfId="8129" priority="2" operator="lessThan">
      <formula>0.1</formula>
    </cfRule>
    <cfRule type="cellIs" dxfId="8128" priority="3" operator="greaterThan">
      <formula>0.12</formula>
    </cfRule>
  </conditionalFormatting>
  <conditionalFormatting sqref="E28">
    <cfRule type="cellIs" dxfId="8127" priority="6" operator="lessThan">
      <formula>$B$8*100</formula>
    </cfRule>
    <cfRule type="cellIs" dxfId="8126" priority="7" operator="greaterThan">
      <formula>$B$8*100</formula>
    </cfRule>
  </conditionalFormatting>
  <hyperlinks>
    <hyperlink ref="A32" r:id="rId1" display="https://www.zillow.com/homes/recently_sold/" xr:uid="{8FD6A673-4775-4C77-86C2-0AA7C78AEF0D}"/>
    <hyperlink ref="A21" r:id="rId2" xr:uid="{8C10A8A8-01D2-479D-9F92-486D0A1E1DF9}"/>
    <hyperlink ref="A25" r:id="rId3" display="www.mortgagecalculator.org" xr:uid="{32E91176-24D7-4D63-8E87-4208D88260BE}"/>
    <hyperlink ref="A12" r:id="rId4" xr:uid="{290335D3-9DC2-4600-AB4F-37503F72D904}"/>
  </hyperlinks>
  <pageMargins left="0.7" right="0.7" top="0.75" bottom="0.75" header="0.3" footer="0.3"/>
  <drawing r:id="rId5"/>
  <legacy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551A-4726-4EC1-A410-A20DFDCCC265}">
  <sheetPr codeName="Sheet11">
    <tabColor rgb="FF00B050"/>
  </sheetPr>
  <dimension ref="A1:P47"/>
  <sheetViews>
    <sheetView topLeftCell="A10" workbookViewId="0">
      <selection activeCell="E22" sqref="E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249900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249900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12495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237405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2164</v>
      </c>
      <c r="D21" s="23" t="s">
        <v>28</v>
      </c>
      <c r="E21" s="8">
        <f>600*3</f>
        <v>1800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2499</v>
      </c>
      <c r="D22" s="7" t="s">
        <v>77</v>
      </c>
      <c r="E22" s="17">
        <f>B16*0.01</f>
        <v>2499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1706.58</v>
      </c>
      <c r="D25" s="7" t="s">
        <v>38</v>
      </c>
      <c r="E25" s="35">
        <f>B25</f>
        <v>1706.58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2031.1799999999998</v>
      </c>
      <c r="D26" s="7" t="s">
        <v>41</v>
      </c>
      <c r="E26" s="17">
        <f>E25+I25+I34</f>
        <v>2031.1799999999998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132.82000000000016</v>
      </c>
      <c r="D28" s="7" t="s">
        <v>43</v>
      </c>
      <c r="E28" s="44">
        <f>E21-E25-I25-I34+I24+I33</f>
        <v>-231.17999999999995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0.12755822328931588</v>
      </c>
      <c r="D29" s="46" t="s">
        <v>44</v>
      </c>
      <c r="E29" s="47">
        <f>(E28*12)/B17</f>
        <v>-0.22202160864345732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108.2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108.2</v>
      </c>
    </row>
    <row r="32" spans="1:16" x14ac:dyDescent="0.25">
      <c r="A32" s="26" t="s">
        <v>49</v>
      </c>
      <c r="B32" s="8">
        <f>B16</f>
        <v>249900</v>
      </c>
      <c r="G32" s="27" t="s">
        <v>50</v>
      </c>
      <c r="H32" s="48">
        <v>0.05</v>
      </c>
      <c r="I32" s="49">
        <f>$B$21*H32</f>
        <v>108.2</v>
      </c>
    </row>
    <row r="33" spans="1:9" x14ac:dyDescent="0.25">
      <c r="A33" s="7" t="s">
        <v>51</v>
      </c>
      <c r="B33" s="17">
        <f>B32-B18</f>
        <v>12495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324.60000000000002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168.16187500000001</v>
      </c>
      <c r="D39" s="7"/>
      <c r="E39" s="17"/>
    </row>
    <row r="40" spans="1:9" x14ac:dyDescent="0.25">
      <c r="A40" s="7" t="s">
        <v>58</v>
      </c>
      <c r="B40" s="17">
        <f>B25-B39</f>
        <v>1538.4181249999999</v>
      </c>
      <c r="D40" s="7"/>
      <c r="E40" s="17"/>
    </row>
    <row r="41" spans="1:9" x14ac:dyDescent="0.25">
      <c r="A41" s="7" t="s">
        <v>59</v>
      </c>
      <c r="B41" s="43">
        <f>B21-B40-I25-I34</f>
        <v>300.98187500000006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0.2890582232893158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125" priority="31" operator="equal">
      <formula>"NO"</formula>
    </cfRule>
    <cfRule type="cellIs" dxfId="8124" priority="32" operator="equal">
      <formula>"YES"</formula>
    </cfRule>
  </conditionalFormatting>
  <conditionalFormatting sqref="E38">
    <cfRule type="cellIs" dxfId="8123" priority="29" operator="equal">
      <formula>"YES"</formula>
    </cfRule>
    <cfRule type="cellIs" dxfId="8122" priority="30" operator="equal">
      <formula>"NO"</formula>
    </cfRule>
  </conditionalFormatting>
  <conditionalFormatting sqref="B23">
    <cfRule type="cellIs" dxfId="8121" priority="27" operator="equal">
      <formula>"NO"</formula>
    </cfRule>
    <cfRule type="cellIs" dxfId="8120" priority="28" operator="equal">
      <formula>"YES"</formula>
    </cfRule>
  </conditionalFormatting>
  <conditionalFormatting sqref="B12">
    <cfRule type="containsText" dxfId="8119" priority="13" operator="containsText" text="Low">
      <formula>NOT(ISERROR(SEARCH("Low",B12)))</formula>
    </cfRule>
    <cfRule type="containsText" dxfId="8118" priority="14" operator="containsText" text="Medium">
      <formula>NOT(ISERROR(SEARCH("Medium",B12)))</formula>
    </cfRule>
    <cfRule type="containsText" dxfId="8117" priority="15" operator="containsText" text="High">
      <formula>NOT(ISERROR(SEARCH("High",B12)))</formula>
    </cfRule>
  </conditionalFormatting>
  <conditionalFormatting sqref="B29">
    <cfRule type="cellIs" dxfId="8116" priority="23" operator="between">
      <formula>10%</formula>
      <formula>11.9%</formula>
    </cfRule>
    <cfRule type="cellIs" dxfId="8115" priority="25" operator="lessThan">
      <formula>0.1</formula>
    </cfRule>
    <cfRule type="cellIs" dxfId="8114" priority="26" operator="greaterThanOrEqual">
      <formula>0.12</formula>
    </cfRule>
  </conditionalFormatting>
  <conditionalFormatting sqref="B42">
    <cfRule type="cellIs" dxfId="8113" priority="21" operator="between">
      <formula>0.1</formula>
      <formula>0.1199</formula>
    </cfRule>
    <cfRule type="cellIs" dxfId="8112" priority="22" operator="lessThan">
      <formula>0.1</formula>
    </cfRule>
    <cfRule type="cellIs" dxfId="8111" priority="24" operator="greaterThanOrEqual">
      <formula>0.12</formula>
    </cfRule>
  </conditionalFormatting>
  <conditionalFormatting sqref="B10">
    <cfRule type="containsText" dxfId="8110" priority="16" operator="containsText" text="Full">
      <formula>NOT(ISERROR(SEARCH("Full",B10)))</formula>
    </cfRule>
    <cfRule type="containsText" dxfId="8109" priority="17" operator="containsText" text="Heavy">
      <formula>NOT(ISERROR(SEARCH("Heavy",B10)))</formula>
    </cfRule>
    <cfRule type="containsText" dxfId="8108" priority="18" operator="containsText" text="Medium">
      <formula>NOT(ISERROR(SEARCH("Medium",B10)))</formula>
    </cfRule>
    <cfRule type="containsText" dxfId="8107" priority="19" operator="containsText" text="Light">
      <formula>NOT(ISERROR(SEARCH("Light",B10)))</formula>
    </cfRule>
    <cfRule type="containsText" dxfId="8106" priority="20" operator="containsText" text="None">
      <formula>NOT(ISERROR(SEARCH("None",B10)))</formula>
    </cfRule>
  </conditionalFormatting>
  <conditionalFormatting sqref="E42">
    <cfRule type="cellIs" dxfId="8105" priority="10" operator="between">
      <formula>0.1</formula>
      <formula>0.119</formula>
    </cfRule>
    <cfRule type="cellIs" dxfId="8104" priority="11" operator="lessThan">
      <formula>0.1</formula>
    </cfRule>
    <cfRule type="cellIs" dxfId="8103" priority="12" operator="greaterThanOrEqual">
      <formula>0.12</formula>
    </cfRule>
  </conditionalFormatting>
  <conditionalFormatting sqref="B28">
    <cfRule type="cellIs" dxfId="8102" priority="33" operator="lessThan">
      <formula>$B$8*100</formula>
    </cfRule>
    <cfRule type="cellIs" dxfId="8101" priority="34" operator="greaterThanOrEqual">
      <formula>$B$8*100</formula>
    </cfRule>
  </conditionalFormatting>
  <conditionalFormatting sqref="B41">
    <cfRule type="cellIs" dxfId="8100" priority="35" operator="lessThan">
      <formula>$B$8*100</formula>
    </cfRule>
    <cfRule type="cellIs" dxfId="8099" priority="36" operator="greaterThan">
      <formula>$B$8*100</formula>
    </cfRule>
    <cfRule type="cellIs" dxfId="8098" priority="37" operator="greaterThan">
      <formula>$B$8*100</formula>
    </cfRule>
  </conditionalFormatting>
  <conditionalFormatting sqref="E41">
    <cfRule type="cellIs" dxfId="8097" priority="38" operator="greaterThan">
      <formula>$B$8*100</formula>
    </cfRule>
    <cfRule type="cellIs" dxfId="8096" priority="39" operator="lessThan">
      <formula>$B$8*100</formula>
    </cfRule>
  </conditionalFormatting>
  <conditionalFormatting sqref="B38">
    <cfRule type="cellIs" dxfId="8095" priority="8" operator="equal">
      <formula>"YES"</formula>
    </cfRule>
    <cfRule type="cellIs" dxfId="8094" priority="9" operator="equal">
      <formula>"NO"</formula>
    </cfRule>
  </conditionalFormatting>
  <conditionalFormatting sqref="E23:E26">
    <cfRule type="cellIs" dxfId="8093" priority="4" operator="equal">
      <formula>"NO"</formula>
    </cfRule>
    <cfRule type="cellIs" dxfId="8092" priority="5" operator="equal">
      <formula>"YES"</formula>
    </cfRule>
  </conditionalFormatting>
  <conditionalFormatting sqref="E29">
    <cfRule type="cellIs" dxfId="8091" priority="1" operator="between">
      <formula>10%</formula>
      <formula>12%</formula>
    </cfRule>
    <cfRule type="cellIs" dxfId="8090" priority="2" operator="lessThan">
      <formula>0.1</formula>
    </cfRule>
    <cfRule type="cellIs" dxfId="8089" priority="3" operator="greaterThan">
      <formula>0.12</formula>
    </cfRule>
  </conditionalFormatting>
  <conditionalFormatting sqref="E28">
    <cfRule type="cellIs" dxfId="8088" priority="6" operator="lessThan">
      <formula>$B$8*100</formula>
    </cfRule>
    <cfRule type="cellIs" dxfId="8087" priority="7" operator="greaterThan">
      <formula>$B$8*100</formula>
    </cfRule>
  </conditionalFormatting>
  <hyperlinks>
    <hyperlink ref="A32" r:id="rId1" display="https://www.zillow.com/homes/recently_sold/" xr:uid="{FBA07EC3-8E77-4DE1-A630-38189260FFDC}"/>
    <hyperlink ref="A21" r:id="rId2" xr:uid="{1C88A2BC-8CDF-4002-99C1-AC8AF4A61F75}"/>
    <hyperlink ref="A25" r:id="rId3" display="www.mortgagecalculator.org" xr:uid="{1808956E-8AC9-4A90-BA95-A0AF0EAD5DF8}"/>
    <hyperlink ref="A12" r:id="rId4" xr:uid="{87626B67-C46C-46EB-994B-B698D3DFDC9C}"/>
  </hyperlinks>
  <pageMargins left="0.7" right="0.7" top="0.75" bottom="0.75" header="0.3" footer="0.3"/>
  <drawing r:id="rId5"/>
  <legacy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911E-2E85-45E8-8BAC-AF24E3BDFA82}">
  <sheetPr codeName="Sheet12">
    <tabColor rgb="FF00B050"/>
  </sheetPr>
  <dimension ref="A1:P47"/>
  <sheetViews>
    <sheetView topLeftCell="A9" workbookViewId="0">
      <selection activeCell="B21" sqref="B2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210000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210000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10500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199500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1838</v>
      </c>
      <c r="D21" s="23" t="s">
        <v>28</v>
      </c>
      <c r="E21" s="8">
        <f>500*3</f>
        <v>1500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2100</v>
      </c>
      <c r="D22" s="7" t="s">
        <v>77</v>
      </c>
      <c r="E22" s="17">
        <f>B16*0.01</f>
        <v>2100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1409.59</v>
      </c>
      <c r="D25" s="7" t="s">
        <v>38</v>
      </c>
      <c r="E25" s="35">
        <f>B25</f>
        <v>1409.59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1685.29</v>
      </c>
      <c r="D26" s="7" t="s">
        <v>41</v>
      </c>
      <c r="E26" s="17">
        <f>E25+I25+I34</f>
        <v>1685.29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152.71000000000004</v>
      </c>
      <c r="D28" s="7" t="s">
        <v>43</v>
      </c>
      <c r="E28" s="44">
        <f>E21-E25-I25-I34+I24+I33</f>
        <v>-185.28999999999996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0.17452571428571434</v>
      </c>
      <c r="D29" s="46" t="s">
        <v>44</v>
      </c>
      <c r="E29" s="47">
        <f>(E28*12)/B17</f>
        <v>-0.21175999999999995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91.9</v>
      </c>
    </row>
    <row r="31" spans="1:16" ht="15.75" x14ac:dyDescent="0.25">
      <c r="A31" s="75" t="s">
        <v>47</v>
      </c>
      <c r="B31" s="76"/>
      <c r="D31" s="25"/>
      <c r="G31" s="27" t="s">
        <v>48</v>
      </c>
      <c r="H31" s="48">
        <v>0.05</v>
      </c>
      <c r="I31" s="49">
        <f>$B$21*H31</f>
        <v>91.9</v>
      </c>
    </row>
    <row r="32" spans="1:16" x14ac:dyDescent="0.25">
      <c r="A32" s="26" t="s">
        <v>49</v>
      </c>
      <c r="B32" s="8">
        <f>B16</f>
        <v>210000</v>
      </c>
      <c r="G32" s="27" t="s">
        <v>50</v>
      </c>
      <c r="H32" s="48">
        <v>0.05</v>
      </c>
      <c r="I32" s="49">
        <f>$B$21*H32</f>
        <v>91.9</v>
      </c>
    </row>
    <row r="33" spans="1:9" x14ac:dyDescent="0.25">
      <c r="A33" s="7" t="s">
        <v>51</v>
      </c>
      <c r="B33" s="17">
        <f>B32-B18</f>
        <v>10500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275.70000000000005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141.31250000000003</v>
      </c>
      <c r="D39" s="7"/>
      <c r="E39" s="17"/>
    </row>
    <row r="40" spans="1:9" x14ac:dyDescent="0.25">
      <c r="A40" s="7" t="s">
        <v>58</v>
      </c>
      <c r="B40" s="17">
        <f>B25-B39</f>
        <v>1268.2774999999999</v>
      </c>
      <c r="D40" s="7"/>
      <c r="E40" s="17"/>
    </row>
    <row r="41" spans="1:9" x14ac:dyDescent="0.25">
      <c r="A41" s="7" t="s">
        <v>59</v>
      </c>
      <c r="B41" s="43">
        <f>B21-B40-I25-I34</f>
        <v>294.02250000000004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0.33602571428571432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086" priority="31" operator="equal">
      <formula>"NO"</formula>
    </cfRule>
    <cfRule type="cellIs" dxfId="8085" priority="32" operator="equal">
      <formula>"YES"</formula>
    </cfRule>
  </conditionalFormatting>
  <conditionalFormatting sqref="E38">
    <cfRule type="cellIs" dxfId="8084" priority="29" operator="equal">
      <formula>"YES"</formula>
    </cfRule>
    <cfRule type="cellIs" dxfId="8083" priority="30" operator="equal">
      <formula>"NO"</formula>
    </cfRule>
  </conditionalFormatting>
  <conditionalFormatting sqref="B23">
    <cfRule type="cellIs" dxfId="8082" priority="27" operator="equal">
      <formula>"NO"</formula>
    </cfRule>
    <cfRule type="cellIs" dxfId="8081" priority="28" operator="equal">
      <formula>"YES"</formula>
    </cfRule>
  </conditionalFormatting>
  <conditionalFormatting sqref="B12">
    <cfRule type="containsText" dxfId="8080" priority="13" operator="containsText" text="Low">
      <formula>NOT(ISERROR(SEARCH("Low",B12)))</formula>
    </cfRule>
    <cfRule type="containsText" dxfId="8079" priority="14" operator="containsText" text="Medium">
      <formula>NOT(ISERROR(SEARCH("Medium",B12)))</formula>
    </cfRule>
    <cfRule type="containsText" dxfId="8078" priority="15" operator="containsText" text="High">
      <formula>NOT(ISERROR(SEARCH("High",B12)))</formula>
    </cfRule>
  </conditionalFormatting>
  <conditionalFormatting sqref="B29">
    <cfRule type="cellIs" dxfId="8077" priority="23" operator="between">
      <formula>10%</formula>
      <formula>11.9%</formula>
    </cfRule>
    <cfRule type="cellIs" dxfId="8076" priority="25" operator="lessThan">
      <formula>0.1</formula>
    </cfRule>
    <cfRule type="cellIs" dxfId="8075" priority="26" operator="greaterThanOrEqual">
      <formula>0.12</formula>
    </cfRule>
  </conditionalFormatting>
  <conditionalFormatting sqref="B42">
    <cfRule type="cellIs" dxfId="8074" priority="21" operator="between">
      <formula>0.1</formula>
      <formula>0.1199</formula>
    </cfRule>
    <cfRule type="cellIs" dxfId="8073" priority="22" operator="lessThan">
      <formula>0.1</formula>
    </cfRule>
    <cfRule type="cellIs" dxfId="8072" priority="24" operator="greaterThanOrEqual">
      <formula>0.12</formula>
    </cfRule>
  </conditionalFormatting>
  <conditionalFormatting sqref="B10">
    <cfRule type="containsText" dxfId="8071" priority="16" operator="containsText" text="Full">
      <formula>NOT(ISERROR(SEARCH("Full",B10)))</formula>
    </cfRule>
    <cfRule type="containsText" dxfId="8070" priority="17" operator="containsText" text="Heavy">
      <formula>NOT(ISERROR(SEARCH("Heavy",B10)))</formula>
    </cfRule>
    <cfRule type="containsText" dxfId="8069" priority="18" operator="containsText" text="Medium">
      <formula>NOT(ISERROR(SEARCH("Medium",B10)))</formula>
    </cfRule>
    <cfRule type="containsText" dxfId="8068" priority="19" operator="containsText" text="Light">
      <formula>NOT(ISERROR(SEARCH("Light",B10)))</formula>
    </cfRule>
    <cfRule type="containsText" dxfId="8067" priority="20" operator="containsText" text="None">
      <formula>NOT(ISERROR(SEARCH("None",B10)))</formula>
    </cfRule>
  </conditionalFormatting>
  <conditionalFormatting sqref="E42">
    <cfRule type="cellIs" dxfId="8066" priority="10" operator="between">
      <formula>0.1</formula>
      <formula>0.119</formula>
    </cfRule>
    <cfRule type="cellIs" dxfId="8065" priority="11" operator="lessThan">
      <formula>0.1</formula>
    </cfRule>
    <cfRule type="cellIs" dxfId="8064" priority="12" operator="greaterThanOrEqual">
      <formula>0.12</formula>
    </cfRule>
  </conditionalFormatting>
  <conditionalFormatting sqref="B28">
    <cfRule type="cellIs" dxfId="8063" priority="33" operator="lessThan">
      <formula>$B$8*100</formula>
    </cfRule>
    <cfRule type="cellIs" dxfId="8062" priority="34" operator="greaterThanOrEqual">
      <formula>$B$8*100</formula>
    </cfRule>
  </conditionalFormatting>
  <conditionalFormatting sqref="B41">
    <cfRule type="cellIs" dxfId="8061" priority="35" operator="lessThan">
      <formula>$B$8*100</formula>
    </cfRule>
    <cfRule type="cellIs" dxfId="8060" priority="36" operator="greaterThan">
      <formula>$B$8*100</formula>
    </cfRule>
    <cfRule type="cellIs" dxfId="8059" priority="37" operator="greaterThan">
      <formula>$B$8*100</formula>
    </cfRule>
  </conditionalFormatting>
  <conditionalFormatting sqref="E41">
    <cfRule type="cellIs" dxfId="8058" priority="38" operator="greaterThan">
      <formula>$B$8*100</formula>
    </cfRule>
    <cfRule type="cellIs" dxfId="8057" priority="39" operator="lessThan">
      <formula>$B$8*100</formula>
    </cfRule>
  </conditionalFormatting>
  <conditionalFormatting sqref="B38">
    <cfRule type="cellIs" dxfId="8056" priority="8" operator="equal">
      <formula>"YES"</formula>
    </cfRule>
    <cfRule type="cellIs" dxfId="8055" priority="9" operator="equal">
      <formula>"NO"</formula>
    </cfRule>
  </conditionalFormatting>
  <conditionalFormatting sqref="E23:E26">
    <cfRule type="cellIs" dxfId="8054" priority="4" operator="equal">
      <formula>"NO"</formula>
    </cfRule>
    <cfRule type="cellIs" dxfId="8053" priority="5" operator="equal">
      <formula>"YES"</formula>
    </cfRule>
  </conditionalFormatting>
  <conditionalFormatting sqref="E29">
    <cfRule type="cellIs" dxfId="8052" priority="1" operator="between">
      <formula>10%</formula>
      <formula>12%</formula>
    </cfRule>
    <cfRule type="cellIs" dxfId="8051" priority="2" operator="lessThan">
      <formula>0.1</formula>
    </cfRule>
    <cfRule type="cellIs" dxfId="8050" priority="3" operator="greaterThan">
      <formula>0.12</formula>
    </cfRule>
  </conditionalFormatting>
  <conditionalFormatting sqref="E28">
    <cfRule type="cellIs" dxfId="8049" priority="6" operator="lessThan">
      <formula>$B$8*100</formula>
    </cfRule>
    <cfRule type="cellIs" dxfId="8048" priority="7" operator="greaterThan">
      <formula>$B$8*100</formula>
    </cfRule>
  </conditionalFormatting>
  <hyperlinks>
    <hyperlink ref="A32" r:id="rId1" display="https://www.zillow.com/homes/recently_sold/" xr:uid="{ED91AC5C-D0DD-4CD4-83CF-C5F051EDDD35}"/>
    <hyperlink ref="A21" r:id="rId2" xr:uid="{6F9D987A-3B2E-4475-9C53-EB50C4967C18}"/>
    <hyperlink ref="A25" r:id="rId3" display="www.mortgagecalculator.org" xr:uid="{46936D36-C9F0-4C48-8D2C-2242E345D20B}"/>
    <hyperlink ref="A12" r:id="rId4" xr:uid="{295DE8AA-0AEF-4F1D-887F-A0B462C3C6FA}"/>
  </hyperlinks>
  <pageMargins left="0.7" right="0.7" top="0.75" bottom="0.75" header="0.3" footer="0.3"/>
  <drawing r:id="rId5"/>
  <legacy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B519-FDEC-48C4-8A60-EC07464139E9}">
  <sheetPr codeName="Sheet13">
    <tabColor rgb="FF00B050"/>
  </sheetPr>
  <dimension ref="A1:P47"/>
  <sheetViews>
    <sheetView topLeftCell="A12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247990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247990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247990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12399.5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235590.5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2475</f>
        <v>2475</v>
      </c>
      <c r="D21" s="23" t="s">
        <v>28</v>
      </c>
      <c r="E21" s="8">
        <f>600*3</f>
        <v>1800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2479.9</v>
      </c>
      <c r="D22" s="7" t="s">
        <v>77</v>
      </c>
      <c r="E22" s="17">
        <f>B16*0.01</f>
        <v>2479.9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1722.55</v>
      </c>
      <c r="D25" s="7" t="s">
        <v>38</v>
      </c>
      <c r="E25" s="35">
        <f>B25</f>
        <v>1722.55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2093.8000000000002</v>
      </c>
      <c r="D26" s="7" t="s">
        <v>41</v>
      </c>
      <c r="E26" s="17">
        <f>E25+I25+I34</f>
        <v>2093.8000000000002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381.19999999999982</v>
      </c>
      <c r="D28" s="7" t="s">
        <v>43</v>
      </c>
      <c r="E28" s="44">
        <f>E21-E25-I25-I34+I24+I33</f>
        <v>-293.79999999999995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0.36891810153635207</v>
      </c>
      <c r="D29" s="46" t="s">
        <v>44</v>
      </c>
      <c r="E29" s="47">
        <f>(E28*12)/B17</f>
        <v>-0.28433404572765025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123.75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123.75</v>
      </c>
    </row>
    <row r="32" spans="1:16" x14ac:dyDescent="0.25">
      <c r="A32" s="26" t="s">
        <v>49</v>
      </c>
      <c r="B32" s="8">
        <f>B16</f>
        <v>247990</v>
      </c>
      <c r="G32" s="27" t="s">
        <v>50</v>
      </c>
      <c r="H32" s="48">
        <v>0.05</v>
      </c>
      <c r="I32" s="49">
        <f>$B$21*H32</f>
        <v>123.75</v>
      </c>
    </row>
    <row r="33" spans="1:9" x14ac:dyDescent="0.25">
      <c r="A33" s="7" t="s">
        <v>51</v>
      </c>
      <c r="B33" s="17">
        <f>B32-B18</f>
        <v>12399.5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371.25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166.87660416666668</v>
      </c>
      <c r="D39" s="7"/>
      <c r="E39" s="17"/>
    </row>
    <row r="40" spans="1:9" x14ac:dyDescent="0.25">
      <c r="A40" s="7" t="s">
        <v>58</v>
      </c>
      <c r="B40" s="17">
        <f>B25-B39</f>
        <v>1555.6733958333332</v>
      </c>
      <c r="D40" s="7"/>
      <c r="E40" s="17"/>
    </row>
    <row r="41" spans="1:9" x14ac:dyDescent="0.25">
      <c r="A41" s="7" t="s">
        <v>59</v>
      </c>
      <c r="B41" s="43">
        <f>B21-B40-I25-I34</f>
        <v>548.07660416666681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0.53041810153635238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047" priority="31" operator="equal">
      <formula>"NO"</formula>
    </cfRule>
    <cfRule type="cellIs" dxfId="8046" priority="32" operator="equal">
      <formula>"YES"</formula>
    </cfRule>
  </conditionalFormatting>
  <conditionalFormatting sqref="E38">
    <cfRule type="cellIs" dxfId="8045" priority="29" operator="equal">
      <formula>"YES"</formula>
    </cfRule>
    <cfRule type="cellIs" dxfId="8044" priority="30" operator="equal">
      <formula>"NO"</formula>
    </cfRule>
  </conditionalFormatting>
  <conditionalFormatting sqref="B23">
    <cfRule type="cellIs" dxfId="8043" priority="27" operator="equal">
      <formula>"NO"</formula>
    </cfRule>
    <cfRule type="cellIs" dxfId="8042" priority="28" operator="equal">
      <formula>"YES"</formula>
    </cfRule>
  </conditionalFormatting>
  <conditionalFormatting sqref="B12">
    <cfRule type="containsText" dxfId="8041" priority="13" operator="containsText" text="Low">
      <formula>NOT(ISERROR(SEARCH("Low",B12)))</formula>
    </cfRule>
    <cfRule type="containsText" dxfId="8040" priority="14" operator="containsText" text="Medium">
      <formula>NOT(ISERROR(SEARCH("Medium",B12)))</formula>
    </cfRule>
    <cfRule type="containsText" dxfId="8039" priority="15" operator="containsText" text="High">
      <formula>NOT(ISERROR(SEARCH("High",B12)))</formula>
    </cfRule>
  </conditionalFormatting>
  <conditionalFormatting sqref="B29">
    <cfRule type="cellIs" dxfId="8038" priority="23" operator="between">
      <formula>10%</formula>
      <formula>11.9%</formula>
    </cfRule>
    <cfRule type="cellIs" dxfId="8037" priority="25" operator="lessThan">
      <formula>0.1</formula>
    </cfRule>
    <cfRule type="cellIs" dxfId="8036" priority="26" operator="greaterThanOrEqual">
      <formula>0.12</formula>
    </cfRule>
  </conditionalFormatting>
  <conditionalFormatting sqref="B42">
    <cfRule type="cellIs" dxfId="8035" priority="21" operator="between">
      <formula>0.1</formula>
      <formula>0.1199</formula>
    </cfRule>
    <cfRule type="cellIs" dxfId="8034" priority="22" operator="lessThan">
      <formula>0.1</formula>
    </cfRule>
    <cfRule type="cellIs" dxfId="8033" priority="24" operator="greaterThanOrEqual">
      <formula>0.12</formula>
    </cfRule>
  </conditionalFormatting>
  <conditionalFormatting sqref="B10">
    <cfRule type="containsText" dxfId="8032" priority="16" operator="containsText" text="Full">
      <formula>NOT(ISERROR(SEARCH("Full",B10)))</formula>
    </cfRule>
    <cfRule type="containsText" dxfId="8031" priority="17" operator="containsText" text="Heavy">
      <formula>NOT(ISERROR(SEARCH("Heavy",B10)))</formula>
    </cfRule>
    <cfRule type="containsText" dxfId="8030" priority="18" operator="containsText" text="Medium">
      <formula>NOT(ISERROR(SEARCH("Medium",B10)))</formula>
    </cfRule>
    <cfRule type="containsText" dxfId="8029" priority="19" operator="containsText" text="Light">
      <formula>NOT(ISERROR(SEARCH("Light",B10)))</formula>
    </cfRule>
    <cfRule type="containsText" dxfId="8028" priority="20" operator="containsText" text="None">
      <formula>NOT(ISERROR(SEARCH("None",B10)))</formula>
    </cfRule>
  </conditionalFormatting>
  <conditionalFormatting sqref="E42">
    <cfRule type="cellIs" dxfId="8027" priority="10" operator="between">
      <formula>0.1</formula>
      <formula>0.119</formula>
    </cfRule>
    <cfRule type="cellIs" dxfId="8026" priority="11" operator="lessThan">
      <formula>0.1</formula>
    </cfRule>
    <cfRule type="cellIs" dxfId="8025" priority="12" operator="greaterThanOrEqual">
      <formula>0.12</formula>
    </cfRule>
  </conditionalFormatting>
  <conditionalFormatting sqref="B28">
    <cfRule type="cellIs" dxfId="8024" priority="33" operator="lessThan">
      <formula>$B$8*100</formula>
    </cfRule>
    <cfRule type="cellIs" dxfId="8023" priority="34" operator="greaterThanOrEqual">
      <formula>$B$8*100</formula>
    </cfRule>
  </conditionalFormatting>
  <conditionalFormatting sqref="B41">
    <cfRule type="cellIs" dxfId="8022" priority="35" operator="lessThan">
      <formula>$B$8*100</formula>
    </cfRule>
    <cfRule type="cellIs" dxfId="8021" priority="36" operator="greaterThan">
      <formula>$B$8*100</formula>
    </cfRule>
    <cfRule type="cellIs" dxfId="8020" priority="37" operator="greaterThan">
      <formula>$B$8*100</formula>
    </cfRule>
  </conditionalFormatting>
  <conditionalFormatting sqref="E41">
    <cfRule type="cellIs" dxfId="8019" priority="38" operator="greaterThan">
      <formula>$B$8*100</formula>
    </cfRule>
    <cfRule type="cellIs" dxfId="8018" priority="39" operator="lessThan">
      <formula>$B$8*100</formula>
    </cfRule>
  </conditionalFormatting>
  <conditionalFormatting sqref="B38">
    <cfRule type="cellIs" dxfId="8017" priority="8" operator="equal">
      <formula>"YES"</formula>
    </cfRule>
    <cfRule type="cellIs" dxfId="8016" priority="9" operator="equal">
      <formula>"NO"</formula>
    </cfRule>
  </conditionalFormatting>
  <conditionalFormatting sqref="E23:E26">
    <cfRule type="cellIs" dxfId="8015" priority="4" operator="equal">
      <formula>"NO"</formula>
    </cfRule>
    <cfRule type="cellIs" dxfId="8014" priority="5" operator="equal">
      <formula>"YES"</formula>
    </cfRule>
  </conditionalFormatting>
  <conditionalFormatting sqref="E29">
    <cfRule type="cellIs" dxfId="8013" priority="1" operator="between">
      <formula>10%</formula>
      <formula>12%</formula>
    </cfRule>
    <cfRule type="cellIs" dxfId="8012" priority="2" operator="lessThan">
      <formula>0.1</formula>
    </cfRule>
    <cfRule type="cellIs" dxfId="8011" priority="3" operator="greaterThan">
      <formula>0.12</formula>
    </cfRule>
  </conditionalFormatting>
  <conditionalFormatting sqref="E28">
    <cfRule type="cellIs" dxfId="8010" priority="6" operator="lessThan">
      <formula>$B$8*100</formula>
    </cfRule>
    <cfRule type="cellIs" dxfId="8009" priority="7" operator="greaterThan">
      <formula>$B$8*100</formula>
    </cfRule>
  </conditionalFormatting>
  <hyperlinks>
    <hyperlink ref="A32" r:id="rId1" display="https://www.zillow.com/homes/recently_sold/" xr:uid="{F1067184-8857-4531-A70A-E555BEDADCBB}"/>
    <hyperlink ref="A21" r:id="rId2" xr:uid="{349BEF5D-B71E-49BD-9F8C-972F4C1DEDDC}"/>
    <hyperlink ref="A25" r:id="rId3" display="www.mortgagecalculator.org" xr:uid="{A6E7322B-8A3F-4D97-B19D-53C078B5FB87}"/>
    <hyperlink ref="A12" r:id="rId4" xr:uid="{F38B5984-4718-44AC-B043-4B3E5CFFED23}"/>
  </hyperlinks>
  <pageMargins left="0.7" right="0.7" top="0.75" bottom="0.75" header="0.3" footer="0.3"/>
  <drawing r:id="rId5"/>
  <legacy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E885-F9F8-40E3-AB0E-1367D946789D}">
  <sheetPr codeName="Sheet14">
    <tabColor rgb="FF00B050"/>
  </sheetPr>
  <dimension ref="A1:P47"/>
  <sheetViews>
    <sheetView topLeftCell="A11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257500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1385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257500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257500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12875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244625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2210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2575</v>
      </c>
      <c r="D22" s="7" t="s">
        <v>77</v>
      </c>
      <c r="E22" s="17">
        <f>B16*0.01</f>
        <v>2575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1700.85</v>
      </c>
      <c r="D25" s="7" t="s">
        <v>38</v>
      </c>
      <c r="E25" s="35">
        <f>B25</f>
        <v>1700.85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2032.35</v>
      </c>
      <c r="D26" s="7" t="s">
        <v>41</v>
      </c>
      <c r="E26" s="17">
        <f>E25+I25+I34</f>
        <v>2032.35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177.65000000000009</v>
      </c>
      <c r="D28" s="7" t="s">
        <v>43</v>
      </c>
      <c r="E28" s="44">
        <f>E21-E25-I25-I34+I24+I33</f>
        <v>-982.34999999999991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0.16557669902912631</v>
      </c>
      <c r="D29" s="46" t="s">
        <v>44</v>
      </c>
      <c r="E29" s="47">
        <f>(E28*12)/B17</f>
        <v>-0.91558834951456303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110.5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110.5</v>
      </c>
    </row>
    <row r="32" spans="1:16" x14ac:dyDescent="0.25">
      <c r="A32" s="26" t="s">
        <v>49</v>
      </c>
      <c r="B32" s="8">
        <f>B16</f>
        <v>257500</v>
      </c>
      <c r="G32" s="27" t="s">
        <v>50</v>
      </c>
      <c r="H32" s="48">
        <v>0.05</v>
      </c>
      <c r="I32" s="49">
        <f>$B$21*H32</f>
        <v>110.5</v>
      </c>
    </row>
    <row r="33" spans="1:9" x14ac:dyDescent="0.25">
      <c r="A33" s="7" t="s">
        <v>51</v>
      </c>
      <c r="B33" s="17">
        <f>B32-B18</f>
        <v>12875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331.5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173.27604166666666</v>
      </c>
      <c r="D39" s="7"/>
      <c r="E39" s="17"/>
    </row>
    <row r="40" spans="1:9" x14ac:dyDescent="0.25">
      <c r="A40" s="7" t="s">
        <v>58</v>
      </c>
      <c r="B40" s="17">
        <f>B25-B39</f>
        <v>1527.5739583333332</v>
      </c>
      <c r="D40" s="7"/>
      <c r="E40" s="17"/>
    </row>
    <row r="41" spans="1:9" x14ac:dyDescent="0.25">
      <c r="A41" s="7" t="s">
        <v>59</v>
      </c>
      <c r="B41" s="43">
        <f>B21-B40-I25-I34</f>
        <v>350.92604166666683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0.32707669902912639</v>
      </c>
      <c r="D42" s="46"/>
      <c r="E42" s="47"/>
    </row>
    <row r="47" spans="1:9" ht="17.25" x14ac:dyDescent="0.4">
      <c r="A47" s="55" t="s">
        <v>60</v>
      </c>
      <c r="B47" s="56" t="s">
        <v>61</v>
      </c>
      <c r="C47" s="57" t="s">
        <v>62</v>
      </c>
      <c r="D47" s="57" t="s">
        <v>63</v>
      </c>
      <c r="E47" s="57" t="s">
        <v>64</v>
      </c>
      <c r="F47" s="57" t="s">
        <v>65</v>
      </c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8008" priority="31" operator="equal">
      <formula>"NO"</formula>
    </cfRule>
    <cfRule type="cellIs" dxfId="8007" priority="32" operator="equal">
      <formula>"YES"</formula>
    </cfRule>
  </conditionalFormatting>
  <conditionalFormatting sqref="E38">
    <cfRule type="cellIs" dxfId="8006" priority="29" operator="equal">
      <formula>"YES"</formula>
    </cfRule>
    <cfRule type="cellIs" dxfId="8005" priority="30" operator="equal">
      <formula>"NO"</formula>
    </cfRule>
  </conditionalFormatting>
  <conditionalFormatting sqref="B23">
    <cfRule type="cellIs" dxfId="8004" priority="27" operator="equal">
      <formula>"NO"</formula>
    </cfRule>
    <cfRule type="cellIs" dxfId="8003" priority="28" operator="equal">
      <formula>"YES"</formula>
    </cfRule>
  </conditionalFormatting>
  <conditionalFormatting sqref="B12">
    <cfRule type="containsText" dxfId="8002" priority="13" operator="containsText" text="Low">
      <formula>NOT(ISERROR(SEARCH("Low",B12)))</formula>
    </cfRule>
    <cfRule type="containsText" dxfId="8001" priority="14" operator="containsText" text="Medium">
      <formula>NOT(ISERROR(SEARCH("Medium",B12)))</formula>
    </cfRule>
    <cfRule type="containsText" dxfId="8000" priority="15" operator="containsText" text="High">
      <formula>NOT(ISERROR(SEARCH("High",B12)))</formula>
    </cfRule>
  </conditionalFormatting>
  <conditionalFormatting sqref="B29">
    <cfRule type="cellIs" dxfId="7999" priority="23" operator="between">
      <formula>10%</formula>
      <formula>11.9%</formula>
    </cfRule>
    <cfRule type="cellIs" dxfId="7998" priority="25" operator="lessThan">
      <formula>0.1</formula>
    </cfRule>
    <cfRule type="cellIs" dxfId="7997" priority="26" operator="greaterThanOrEqual">
      <formula>0.12</formula>
    </cfRule>
  </conditionalFormatting>
  <conditionalFormatting sqref="B42">
    <cfRule type="cellIs" dxfId="7996" priority="21" operator="between">
      <formula>0.1</formula>
      <formula>0.1199</formula>
    </cfRule>
    <cfRule type="cellIs" dxfId="7995" priority="22" operator="lessThan">
      <formula>0.1</formula>
    </cfRule>
    <cfRule type="cellIs" dxfId="7994" priority="24" operator="greaterThanOrEqual">
      <formula>0.12</formula>
    </cfRule>
  </conditionalFormatting>
  <conditionalFormatting sqref="B10">
    <cfRule type="containsText" dxfId="7993" priority="16" operator="containsText" text="Full">
      <formula>NOT(ISERROR(SEARCH("Full",B10)))</formula>
    </cfRule>
    <cfRule type="containsText" dxfId="7992" priority="17" operator="containsText" text="Heavy">
      <formula>NOT(ISERROR(SEARCH("Heavy",B10)))</formula>
    </cfRule>
    <cfRule type="containsText" dxfId="7991" priority="18" operator="containsText" text="Medium">
      <formula>NOT(ISERROR(SEARCH("Medium",B10)))</formula>
    </cfRule>
    <cfRule type="containsText" dxfId="7990" priority="19" operator="containsText" text="Light">
      <formula>NOT(ISERROR(SEARCH("Light",B10)))</formula>
    </cfRule>
    <cfRule type="containsText" dxfId="7989" priority="20" operator="containsText" text="None">
      <formula>NOT(ISERROR(SEARCH("None",B10)))</formula>
    </cfRule>
  </conditionalFormatting>
  <conditionalFormatting sqref="E42">
    <cfRule type="cellIs" dxfId="7988" priority="10" operator="between">
      <formula>0.1</formula>
      <formula>0.119</formula>
    </cfRule>
    <cfRule type="cellIs" dxfId="7987" priority="11" operator="lessThan">
      <formula>0.1</formula>
    </cfRule>
    <cfRule type="cellIs" dxfId="7986" priority="12" operator="greaterThanOrEqual">
      <formula>0.12</formula>
    </cfRule>
  </conditionalFormatting>
  <conditionalFormatting sqref="B28">
    <cfRule type="cellIs" dxfId="7985" priority="33" operator="lessThan">
      <formula>$B$8*100</formula>
    </cfRule>
    <cfRule type="cellIs" dxfId="7984" priority="34" operator="greaterThanOrEqual">
      <formula>$B$8*100</formula>
    </cfRule>
  </conditionalFormatting>
  <conditionalFormatting sqref="B41">
    <cfRule type="cellIs" dxfId="7983" priority="35" operator="lessThan">
      <formula>$B$8*100</formula>
    </cfRule>
    <cfRule type="cellIs" dxfId="7982" priority="36" operator="greaterThan">
      <formula>$B$8*100</formula>
    </cfRule>
    <cfRule type="cellIs" dxfId="7981" priority="37" operator="greaterThan">
      <formula>$B$8*100</formula>
    </cfRule>
  </conditionalFormatting>
  <conditionalFormatting sqref="E41">
    <cfRule type="cellIs" dxfId="7980" priority="38" operator="greaterThan">
      <formula>$B$8*100</formula>
    </cfRule>
    <cfRule type="cellIs" dxfId="7979" priority="39" operator="lessThan">
      <formula>$B$8*100</formula>
    </cfRule>
  </conditionalFormatting>
  <conditionalFormatting sqref="B38">
    <cfRule type="cellIs" dxfId="7978" priority="8" operator="equal">
      <formula>"YES"</formula>
    </cfRule>
    <cfRule type="cellIs" dxfId="7977" priority="9" operator="equal">
      <formula>"NO"</formula>
    </cfRule>
  </conditionalFormatting>
  <conditionalFormatting sqref="E23:E26">
    <cfRule type="cellIs" dxfId="7976" priority="4" operator="equal">
      <formula>"NO"</formula>
    </cfRule>
    <cfRule type="cellIs" dxfId="7975" priority="5" operator="equal">
      <formula>"YES"</formula>
    </cfRule>
  </conditionalFormatting>
  <conditionalFormatting sqref="E29">
    <cfRule type="cellIs" dxfId="7974" priority="1" operator="between">
      <formula>10%</formula>
      <formula>12%</formula>
    </cfRule>
    <cfRule type="cellIs" dxfId="7973" priority="2" operator="lessThan">
      <formula>0.1</formula>
    </cfRule>
    <cfRule type="cellIs" dxfId="7972" priority="3" operator="greaterThan">
      <formula>0.12</formula>
    </cfRule>
  </conditionalFormatting>
  <conditionalFormatting sqref="E28">
    <cfRule type="cellIs" dxfId="7971" priority="6" operator="lessThan">
      <formula>$B$8*100</formula>
    </cfRule>
    <cfRule type="cellIs" dxfId="7970" priority="7" operator="greaterThan">
      <formula>$B$8*100</formula>
    </cfRule>
  </conditionalFormatting>
  <hyperlinks>
    <hyperlink ref="A32" r:id="rId1" display="https://www.zillow.com/homes/recently_sold/" xr:uid="{1E3F63C3-F7DD-4465-AA4C-0CEDC9DB5850}"/>
    <hyperlink ref="A21" r:id="rId2" xr:uid="{4FDC855A-909A-44CA-9DB5-49913884297F}"/>
    <hyperlink ref="A25" r:id="rId3" display="www.mortgagecalculator.org" xr:uid="{34DC1EA0-6088-4F09-B67D-1FF208D6113E}"/>
    <hyperlink ref="A12" r:id="rId4" xr:uid="{EEE30996-C712-4000-8D20-C337A5D707E6}"/>
  </hyperlinks>
  <pageMargins left="0.7" right="0.7" top="0.75" bottom="0.75" header="0.3" footer="0.3"/>
  <drawing r:id="rId5"/>
  <legacy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4D0B9-2B1A-475C-8AB7-CB340FDD0D38}">
  <sheetPr codeName="Sheet15">
    <tabColor rgb="FFFF0000"/>
  </sheetPr>
  <dimension ref="A1:P42"/>
  <sheetViews>
    <sheetView topLeftCell="A5" workbookViewId="0">
      <selection activeCell="B17" sqref="B1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1617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195415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195415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9770.75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185644.25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1729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1954.15</v>
      </c>
      <c r="D22" s="7" t="s">
        <v>77</v>
      </c>
      <c r="E22" s="17">
        <f>B16*0.01</f>
        <v>1954.15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1440.63</v>
      </c>
      <c r="D25" s="7" t="s">
        <v>38</v>
      </c>
      <c r="E25" s="35">
        <f>B25</f>
        <v>1440.63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1699.98</v>
      </c>
      <c r="D26" s="7" t="s">
        <v>41</v>
      </c>
      <c r="E26" s="17">
        <f>E25+I25+I34</f>
        <v>1699.98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29.019999999999982</v>
      </c>
      <c r="D28" s="7" t="s">
        <v>43</v>
      </c>
      <c r="E28" s="44">
        <f>E21-E25-I25-I34+I24+I33</f>
        <v>-649.98000000000013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3.5641071565642328E-2</v>
      </c>
      <c r="D29" s="46" t="s">
        <v>44</v>
      </c>
      <c r="E29" s="47">
        <f>(E28*12)/B17</f>
        <v>-0.79827648849883603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86.45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86.45</v>
      </c>
    </row>
    <row r="32" spans="1:16" x14ac:dyDescent="0.25">
      <c r="A32" s="26" t="s">
        <v>49</v>
      </c>
      <c r="B32" s="8">
        <f>B16</f>
        <v>195415</v>
      </c>
      <c r="G32" s="27" t="s">
        <v>50</v>
      </c>
      <c r="H32" s="48">
        <v>0.05</v>
      </c>
      <c r="I32" s="49">
        <f>$B$21*H32</f>
        <v>86.45</v>
      </c>
    </row>
    <row r="33" spans="1:9" x14ac:dyDescent="0.25">
      <c r="A33" s="7" t="s">
        <v>51</v>
      </c>
      <c r="B33" s="17">
        <f>B32-B18</f>
        <v>9770.75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259.35000000000002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131.49801041666669</v>
      </c>
      <c r="D39" s="7"/>
      <c r="E39" s="17"/>
    </row>
    <row r="40" spans="1:9" x14ac:dyDescent="0.25">
      <c r="A40" s="7" t="s">
        <v>58</v>
      </c>
      <c r="B40" s="17">
        <f>B25-B39</f>
        <v>1309.1319895833335</v>
      </c>
      <c r="D40" s="7"/>
      <c r="E40" s="17"/>
    </row>
    <row r="41" spans="1:9" x14ac:dyDescent="0.25">
      <c r="A41" s="7" t="s">
        <v>59</v>
      </c>
      <c r="B41" s="43">
        <f>B21-B40-I25-I34</f>
        <v>160.51801041666647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0.19714107156564212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969" priority="31" operator="equal">
      <formula>"NO"</formula>
    </cfRule>
    <cfRule type="cellIs" dxfId="7968" priority="32" operator="equal">
      <formula>"YES"</formula>
    </cfRule>
  </conditionalFormatting>
  <conditionalFormatting sqref="E38">
    <cfRule type="cellIs" dxfId="7967" priority="29" operator="equal">
      <formula>"YES"</formula>
    </cfRule>
    <cfRule type="cellIs" dxfId="7966" priority="30" operator="equal">
      <formula>"NO"</formula>
    </cfRule>
  </conditionalFormatting>
  <conditionalFormatting sqref="B23">
    <cfRule type="cellIs" dxfId="7965" priority="27" operator="equal">
      <formula>"NO"</formula>
    </cfRule>
    <cfRule type="cellIs" dxfId="7964" priority="28" operator="equal">
      <formula>"YES"</formula>
    </cfRule>
  </conditionalFormatting>
  <conditionalFormatting sqref="B12">
    <cfRule type="containsText" dxfId="7963" priority="13" operator="containsText" text="Low">
      <formula>NOT(ISERROR(SEARCH("Low",B12)))</formula>
    </cfRule>
    <cfRule type="containsText" dxfId="7962" priority="14" operator="containsText" text="Medium">
      <formula>NOT(ISERROR(SEARCH("Medium",B12)))</formula>
    </cfRule>
    <cfRule type="containsText" dxfId="7961" priority="15" operator="containsText" text="High">
      <formula>NOT(ISERROR(SEARCH("High",B12)))</formula>
    </cfRule>
  </conditionalFormatting>
  <conditionalFormatting sqref="B29">
    <cfRule type="cellIs" dxfId="7960" priority="23" operator="between">
      <formula>10%</formula>
      <formula>11.9%</formula>
    </cfRule>
    <cfRule type="cellIs" dxfId="7959" priority="25" operator="lessThan">
      <formula>0.1</formula>
    </cfRule>
    <cfRule type="cellIs" dxfId="7958" priority="26" operator="greaterThanOrEqual">
      <formula>0.12</formula>
    </cfRule>
  </conditionalFormatting>
  <conditionalFormatting sqref="B42">
    <cfRule type="cellIs" dxfId="7957" priority="21" operator="between">
      <formula>0.1</formula>
      <formula>0.1199</formula>
    </cfRule>
    <cfRule type="cellIs" dxfId="7956" priority="22" operator="lessThan">
      <formula>0.1</formula>
    </cfRule>
    <cfRule type="cellIs" dxfId="7955" priority="24" operator="greaterThanOrEqual">
      <formula>0.12</formula>
    </cfRule>
  </conditionalFormatting>
  <conditionalFormatting sqref="B10">
    <cfRule type="containsText" dxfId="7954" priority="16" operator="containsText" text="Full">
      <formula>NOT(ISERROR(SEARCH("Full",B10)))</formula>
    </cfRule>
    <cfRule type="containsText" dxfId="7953" priority="17" operator="containsText" text="Heavy">
      <formula>NOT(ISERROR(SEARCH("Heavy",B10)))</formula>
    </cfRule>
    <cfRule type="containsText" dxfId="7952" priority="18" operator="containsText" text="Medium">
      <formula>NOT(ISERROR(SEARCH("Medium",B10)))</formula>
    </cfRule>
    <cfRule type="containsText" dxfId="7951" priority="19" operator="containsText" text="Light">
      <formula>NOT(ISERROR(SEARCH("Light",B10)))</formula>
    </cfRule>
    <cfRule type="containsText" dxfId="7950" priority="20" operator="containsText" text="None">
      <formula>NOT(ISERROR(SEARCH("None",B10)))</formula>
    </cfRule>
  </conditionalFormatting>
  <conditionalFormatting sqref="E42">
    <cfRule type="cellIs" dxfId="7949" priority="10" operator="between">
      <formula>0.1</formula>
      <formula>0.119</formula>
    </cfRule>
    <cfRule type="cellIs" dxfId="7948" priority="11" operator="lessThan">
      <formula>0.1</formula>
    </cfRule>
    <cfRule type="cellIs" dxfId="7947" priority="12" operator="greaterThanOrEqual">
      <formula>0.12</formula>
    </cfRule>
  </conditionalFormatting>
  <conditionalFormatting sqref="B28">
    <cfRule type="cellIs" dxfId="7946" priority="33" operator="lessThan">
      <formula>$B$8*100</formula>
    </cfRule>
    <cfRule type="cellIs" dxfId="7945" priority="34" operator="greaterThanOrEqual">
      <formula>$B$8*100</formula>
    </cfRule>
  </conditionalFormatting>
  <conditionalFormatting sqref="B41">
    <cfRule type="cellIs" dxfId="7944" priority="35" operator="lessThan">
      <formula>$B$8*100</formula>
    </cfRule>
    <cfRule type="cellIs" dxfId="7943" priority="36" operator="greaterThan">
      <formula>$B$8*100</formula>
    </cfRule>
    <cfRule type="cellIs" dxfId="7942" priority="37" operator="greaterThan">
      <formula>$B$8*100</formula>
    </cfRule>
  </conditionalFormatting>
  <conditionalFormatting sqref="E41">
    <cfRule type="cellIs" dxfId="7941" priority="38" operator="greaterThan">
      <formula>$B$8*100</formula>
    </cfRule>
    <cfRule type="cellIs" dxfId="7940" priority="39" operator="lessThan">
      <formula>$B$8*100</formula>
    </cfRule>
  </conditionalFormatting>
  <conditionalFormatting sqref="B38">
    <cfRule type="cellIs" dxfId="7939" priority="8" operator="equal">
      <formula>"YES"</formula>
    </cfRule>
    <cfRule type="cellIs" dxfId="7938" priority="9" operator="equal">
      <formula>"NO"</formula>
    </cfRule>
  </conditionalFormatting>
  <conditionalFormatting sqref="E23:E26">
    <cfRule type="cellIs" dxfId="7937" priority="4" operator="equal">
      <formula>"NO"</formula>
    </cfRule>
    <cfRule type="cellIs" dxfId="7936" priority="5" operator="equal">
      <formula>"YES"</formula>
    </cfRule>
  </conditionalFormatting>
  <conditionalFormatting sqref="E29">
    <cfRule type="cellIs" dxfId="7935" priority="1" operator="between">
      <formula>10%</formula>
      <formula>12%</formula>
    </cfRule>
    <cfRule type="cellIs" dxfId="7934" priority="2" operator="lessThan">
      <formula>0.1</formula>
    </cfRule>
    <cfRule type="cellIs" dxfId="7933" priority="3" operator="greaterThan">
      <formula>0.12</formula>
    </cfRule>
  </conditionalFormatting>
  <conditionalFormatting sqref="E28">
    <cfRule type="cellIs" dxfId="7932" priority="6" operator="lessThan">
      <formula>$B$8*100</formula>
    </cfRule>
    <cfRule type="cellIs" dxfId="7931" priority="7" operator="greaterThan">
      <formula>$B$8*100</formula>
    </cfRule>
  </conditionalFormatting>
  <hyperlinks>
    <hyperlink ref="A32" r:id="rId1" display="https://www.zillow.com/homes/recently_sold/" xr:uid="{8621B2FF-17AD-425E-BAEA-DA4FA661C37A}"/>
    <hyperlink ref="A21" r:id="rId2" xr:uid="{B07F30E3-7F37-437A-ABF2-47DCFFAEA3E1}"/>
    <hyperlink ref="A25" r:id="rId3" display="www.mortgagecalculator.org" xr:uid="{717D3688-19D7-4FD1-8586-659041B11BA5}"/>
    <hyperlink ref="A12" r:id="rId4" xr:uid="{0625E0BA-0C45-4AF1-B5AA-FCF2CD9710B4}"/>
  </hyperlinks>
  <pageMargins left="0.7" right="0.7" top="0.75" bottom="0.75" header="0.3" footer="0.3"/>
  <drawing r:id="rId5"/>
  <legacy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F281C-53BB-4C43-9CB4-FDF70F76B425}">
  <sheetPr codeName="Sheet16">
    <tabColor rgb="FFFF0000"/>
  </sheetPr>
  <dimension ref="A1:P42"/>
  <sheetViews>
    <sheetView topLeftCell="A2" workbookViewId="0">
      <selection activeCell="C24" sqref="C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269990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269990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269990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13499.5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256490.5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2129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2699.9</v>
      </c>
      <c r="D22" s="7" t="s">
        <v>77</v>
      </c>
      <c r="E22" s="17">
        <f>B16*0.01</f>
        <v>2699.9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1793.24</v>
      </c>
      <c r="D25" s="7" t="s">
        <v>38</v>
      </c>
      <c r="E25" s="35">
        <f>B25</f>
        <v>1793.24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2112.59</v>
      </c>
      <c r="D26" s="7" t="s">
        <v>41</v>
      </c>
      <c r="E26" s="17">
        <f>E25+I25+I34</f>
        <v>2112.59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16.409999999999854</v>
      </c>
      <c r="D28" s="7" t="s">
        <v>43</v>
      </c>
      <c r="E28" s="44">
        <f>E21-E25-I25-I34+I24+I33</f>
        <v>-1062.5900000000001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1.4587206933590004E-2</v>
      </c>
      <c r="D29" s="46" t="s">
        <v>44</v>
      </c>
      <c r="E29" s="47">
        <f>(E28*12)/B17</f>
        <v>-0.9445594281269678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106.45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106.45</v>
      </c>
    </row>
    <row r="32" spans="1:16" x14ac:dyDescent="0.25">
      <c r="A32" s="26" t="s">
        <v>49</v>
      </c>
      <c r="B32" s="8">
        <f>B16</f>
        <v>269990</v>
      </c>
      <c r="G32" s="27" t="s">
        <v>50</v>
      </c>
      <c r="H32" s="48">
        <v>0.05</v>
      </c>
      <c r="I32" s="49">
        <f>$B$21*H32</f>
        <v>106.45</v>
      </c>
    </row>
    <row r="33" spans="1:9" x14ac:dyDescent="0.25">
      <c r="A33" s="7" t="s">
        <v>51</v>
      </c>
      <c r="B33" s="17">
        <f>B32-B18</f>
        <v>13499.5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319.35000000000002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181.68077083333336</v>
      </c>
      <c r="D39" s="7"/>
      <c r="E39" s="17"/>
    </row>
    <row r="40" spans="1:9" x14ac:dyDescent="0.25">
      <c r="A40" s="7" t="s">
        <v>58</v>
      </c>
      <c r="B40" s="17">
        <f>B25-B39</f>
        <v>1611.5592291666667</v>
      </c>
      <c r="D40" s="7"/>
      <c r="E40" s="17"/>
    </row>
    <row r="41" spans="1:9" x14ac:dyDescent="0.25">
      <c r="A41" s="7" t="s">
        <v>59</v>
      </c>
      <c r="B41" s="43">
        <f>B21-B40-I25-I34</f>
        <v>198.09077083333329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0.17608720693359009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930" priority="31" operator="equal">
      <formula>"NO"</formula>
    </cfRule>
    <cfRule type="cellIs" dxfId="7929" priority="32" operator="equal">
      <formula>"YES"</formula>
    </cfRule>
  </conditionalFormatting>
  <conditionalFormatting sqref="E38">
    <cfRule type="cellIs" dxfId="7928" priority="29" operator="equal">
      <formula>"YES"</formula>
    </cfRule>
    <cfRule type="cellIs" dxfId="7927" priority="30" operator="equal">
      <formula>"NO"</formula>
    </cfRule>
  </conditionalFormatting>
  <conditionalFormatting sqref="B23">
    <cfRule type="cellIs" dxfId="7926" priority="27" operator="equal">
      <formula>"NO"</formula>
    </cfRule>
    <cfRule type="cellIs" dxfId="7925" priority="28" operator="equal">
      <formula>"YES"</formula>
    </cfRule>
  </conditionalFormatting>
  <conditionalFormatting sqref="B12">
    <cfRule type="containsText" dxfId="7924" priority="13" operator="containsText" text="Low">
      <formula>NOT(ISERROR(SEARCH("Low",B12)))</formula>
    </cfRule>
    <cfRule type="containsText" dxfId="7923" priority="14" operator="containsText" text="Medium">
      <formula>NOT(ISERROR(SEARCH("Medium",B12)))</formula>
    </cfRule>
    <cfRule type="containsText" dxfId="7922" priority="15" operator="containsText" text="High">
      <formula>NOT(ISERROR(SEARCH("High",B12)))</formula>
    </cfRule>
  </conditionalFormatting>
  <conditionalFormatting sqref="B29">
    <cfRule type="cellIs" dxfId="7921" priority="23" operator="between">
      <formula>10%</formula>
      <formula>11.9%</formula>
    </cfRule>
    <cfRule type="cellIs" dxfId="7920" priority="25" operator="lessThan">
      <formula>0.1</formula>
    </cfRule>
    <cfRule type="cellIs" dxfId="7919" priority="26" operator="greaterThanOrEqual">
      <formula>0.12</formula>
    </cfRule>
  </conditionalFormatting>
  <conditionalFormatting sqref="B42">
    <cfRule type="cellIs" dxfId="7918" priority="21" operator="between">
      <formula>0.1</formula>
      <formula>0.1199</formula>
    </cfRule>
    <cfRule type="cellIs" dxfId="7917" priority="22" operator="lessThan">
      <formula>0.1</formula>
    </cfRule>
    <cfRule type="cellIs" dxfId="7916" priority="24" operator="greaterThanOrEqual">
      <formula>0.12</formula>
    </cfRule>
  </conditionalFormatting>
  <conditionalFormatting sqref="B10">
    <cfRule type="containsText" dxfId="7915" priority="16" operator="containsText" text="Full">
      <formula>NOT(ISERROR(SEARCH("Full",B10)))</formula>
    </cfRule>
    <cfRule type="containsText" dxfId="7914" priority="17" operator="containsText" text="Heavy">
      <formula>NOT(ISERROR(SEARCH("Heavy",B10)))</formula>
    </cfRule>
    <cfRule type="containsText" dxfId="7913" priority="18" operator="containsText" text="Medium">
      <formula>NOT(ISERROR(SEARCH("Medium",B10)))</formula>
    </cfRule>
    <cfRule type="containsText" dxfId="7912" priority="19" operator="containsText" text="Light">
      <formula>NOT(ISERROR(SEARCH("Light",B10)))</formula>
    </cfRule>
    <cfRule type="containsText" dxfId="7911" priority="20" operator="containsText" text="None">
      <formula>NOT(ISERROR(SEARCH("None",B10)))</formula>
    </cfRule>
  </conditionalFormatting>
  <conditionalFormatting sqref="E42">
    <cfRule type="cellIs" dxfId="7910" priority="10" operator="between">
      <formula>0.1</formula>
      <formula>0.119</formula>
    </cfRule>
    <cfRule type="cellIs" dxfId="7909" priority="11" operator="lessThan">
      <formula>0.1</formula>
    </cfRule>
    <cfRule type="cellIs" dxfId="7908" priority="12" operator="greaterThanOrEqual">
      <formula>0.12</formula>
    </cfRule>
  </conditionalFormatting>
  <conditionalFormatting sqref="B28">
    <cfRule type="cellIs" dxfId="7907" priority="33" operator="lessThan">
      <formula>$B$8*100</formula>
    </cfRule>
    <cfRule type="cellIs" dxfId="7906" priority="34" operator="greaterThanOrEqual">
      <formula>$B$8*100</formula>
    </cfRule>
  </conditionalFormatting>
  <conditionalFormatting sqref="B41">
    <cfRule type="cellIs" dxfId="7905" priority="35" operator="lessThan">
      <formula>$B$8*100</formula>
    </cfRule>
    <cfRule type="cellIs" dxfId="7904" priority="36" operator="greaterThan">
      <formula>$B$8*100</formula>
    </cfRule>
    <cfRule type="cellIs" dxfId="7903" priority="37" operator="greaterThan">
      <formula>$B$8*100</formula>
    </cfRule>
  </conditionalFormatting>
  <conditionalFormatting sqref="E41">
    <cfRule type="cellIs" dxfId="7902" priority="38" operator="greaterThan">
      <formula>$B$8*100</formula>
    </cfRule>
    <cfRule type="cellIs" dxfId="7901" priority="39" operator="lessThan">
      <formula>$B$8*100</formula>
    </cfRule>
  </conditionalFormatting>
  <conditionalFormatting sqref="B38">
    <cfRule type="cellIs" dxfId="7900" priority="8" operator="equal">
      <formula>"YES"</formula>
    </cfRule>
    <cfRule type="cellIs" dxfId="7899" priority="9" operator="equal">
      <formula>"NO"</formula>
    </cfRule>
  </conditionalFormatting>
  <conditionalFormatting sqref="E23:E26">
    <cfRule type="cellIs" dxfId="7898" priority="4" operator="equal">
      <formula>"NO"</formula>
    </cfRule>
    <cfRule type="cellIs" dxfId="7897" priority="5" operator="equal">
      <formula>"YES"</formula>
    </cfRule>
  </conditionalFormatting>
  <conditionalFormatting sqref="E29">
    <cfRule type="cellIs" dxfId="7896" priority="1" operator="between">
      <formula>10%</formula>
      <formula>12%</formula>
    </cfRule>
    <cfRule type="cellIs" dxfId="7895" priority="2" operator="lessThan">
      <formula>0.1</formula>
    </cfRule>
    <cfRule type="cellIs" dxfId="7894" priority="3" operator="greaterThan">
      <formula>0.12</formula>
    </cfRule>
  </conditionalFormatting>
  <conditionalFormatting sqref="E28">
    <cfRule type="cellIs" dxfId="7893" priority="6" operator="lessThan">
      <formula>$B$8*100</formula>
    </cfRule>
    <cfRule type="cellIs" dxfId="7892" priority="7" operator="greaterThan">
      <formula>$B$8*100</formula>
    </cfRule>
  </conditionalFormatting>
  <hyperlinks>
    <hyperlink ref="A32" r:id="rId1" display="https://www.zillow.com/homes/recently_sold/" xr:uid="{A61AB20F-14A4-4DAF-8664-3AFC30296B3B}"/>
    <hyperlink ref="A21" r:id="rId2" xr:uid="{69AED5AF-F868-4FF4-9375-8F64565EDCF9}"/>
    <hyperlink ref="A25" r:id="rId3" display="www.mortgagecalculator.org" xr:uid="{46B8C3D9-BFCA-49C8-8C43-6D6D232E7025}"/>
    <hyperlink ref="A12" r:id="rId4" xr:uid="{481E22D8-6F9E-4205-9D10-A51B84B15934}"/>
  </hyperlinks>
  <pageMargins left="0.7" right="0.7" top="0.75" bottom="0.75" header="0.3" footer="0.3"/>
  <drawing r:id="rId5"/>
  <legacy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CAAF-187F-4D3F-B20E-FDF444BAD97A}">
  <sheetPr codeName="Sheet17">
    <tabColor rgb="FFFF0000"/>
  </sheetPr>
  <dimension ref="A1:P42"/>
  <sheetViews>
    <sheetView topLeftCell="A25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1478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164900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164900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8245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156655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1228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1649</v>
      </c>
      <c r="D22" s="7" t="s">
        <v>77</v>
      </c>
      <c r="E22" s="17">
        <f>B16*0.01</f>
        <v>1649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1138.02</v>
      </c>
      <c r="D25" s="7" t="s">
        <v>38</v>
      </c>
      <c r="E25" s="35">
        <f>B25</f>
        <v>1138.02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1322.22</v>
      </c>
      <c r="D26" s="7" t="s">
        <v>41</v>
      </c>
      <c r="E26" s="17">
        <f>E25+I25+I34</f>
        <v>1322.22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-94.220000000000027</v>
      </c>
      <c r="D28" s="7" t="s">
        <v>43</v>
      </c>
      <c r="E28" s="44">
        <f>E21-E25-I25-I34+I24+I33</f>
        <v>-272.22000000000003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-0.13713038204972713</v>
      </c>
      <c r="D29" s="46" t="s">
        <v>44</v>
      </c>
      <c r="E29" s="47">
        <f>(E28*12)/B17</f>
        <v>-0.39619648271679808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61.400000000000006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61.400000000000006</v>
      </c>
    </row>
    <row r="32" spans="1:16" x14ac:dyDescent="0.25">
      <c r="A32" s="26" t="s">
        <v>49</v>
      </c>
      <c r="B32" s="8">
        <f>B16</f>
        <v>164900</v>
      </c>
      <c r="G32" s="27" t="s">
        <v>50</v>
      </c>
      <c r="H32" s="48">
        <v>0.05</v>
      </c>
      <c r="I32" s="49">
        <f>$B$21*H32</f>
        <v>61.400000000000006</v>
      </c>
    </row>
    <row r="33" spans="1:9" x14ac:dyDescent="0.25">
      <c r="A33" s="7" t="s">
        <v>51</v>
      </c>
      <c r="B33" s="17">
        <f>B32-B18</f>
        <v>8245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184.20000000000002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110.96395833333334</v>
      </c>
      <c r="D39" s="7"/>
      <c r="E39" s="17"/>
    </row>
    <row r="40" spans="1:9" x14ac:dyDescent="0.25">
      <c r="A40" s="7" t="s">
        <v>58</v>
      </c>
      <c r="B40" s="17">
        <f>B25-B39</f>
        <v>1027.0560416666667</v>
      </c>
      <c r="D40" s="7"/>
      <c r="E40" s="17"/>
    </row>
    <row r="41" spans="1:9" x14ac:dyDescent="0.25">
      <c r="A41" s="7" t="s">
        <v>59</v>
      </c>
      <c r="B41" s="43">
        <f>B21-B40-I25-I34</f>
        <v>16.743958333333268</v>
      </c>
      <c r="D41" s="53"/>
      <c r="E41" s="54"/>
    </row>
    <row r="42" spans="1:9" ht="15.75" thickBot="1" x14ac:dyDescent="0.3">
      <c r="A42" s="46" t="s">
        <v>44</v>
      </c>
      <c r="B42" s="47">
        <f>(B41*12)/B17</f>
        <v>2.4369617950272798E-2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891" priority="31" operator="equal">
      <formula>"NO"</formula>
    </cfRule>
    <cfRule type="cellIs" dxfId="7890" priority="32" operator="equal">
      <formula>"YES"</formula>
    </cfRule>
  </conditionalFormatting>
  <conditionalFormatting sqref="E38">
    <cfRule type="cellIs" dxfId="7889" priority="29" operator="equal">
      <formula>"YES"</formula>
    </cfRule>
    <cfRule type="cellIs" dxfId="7888" priority="30" operator="equal">
      <formula>"NO"</formula>
    </cfRule>
  </conditionalFormatting>
  <conditionalFormatting sqref="B23">
    <cfRule type="cellIs" dxfId="7887" priority="27" operator="equal">
      <formula>"NO"</formula>
    </cfRule>
    <cfRule type="cellIs" dxfId="7886" priority="28" operator="equal">
      <formula>"YES"</formula>
    </cfRule>
  </conditionalFormatting>
  <conditionalFormatting sqref="B12">
    <cfRule type="containsText" dxfId="7885" priority="13" operator="containsText" text="Low">
      <formula>NOT(ISERROR(SEARCH("Low",B12)))</formula>
    </cfRule>
    <cfRule type="containsText" dxfId="7884" priority="14" operator="containsText" text="Medium">
      <formula>NOT(ISERROR(SEARCH("Medium",B12)))</formula>
    </cfRule>
    <cfRule type="containsText" dxfId="7883" priority="15" operator="containsText" text="High">
      <formula>NOT(ISERROR(SEARCH("High",B12)))</formula>
    </cfRule>
  </conditionalFormatting>
  <conditionalFormatting sqref="B29">
    <cfRule type="cellIs" dxfId="7882" priority="23" operator="between">
      <formula>10%</formula>
      <formula>11.9%</formula>
    </cfRule>
    <cfRule type="cellIs" dxfId="7881" priority="25" operator="lessThan">
      <formula>0.1</formula>
    </cfRule>
    <cfRule type="cellIs" dxfId="7880" priority="26" operator="greaterThanOrEqual">
      <formula>0.12</formula>
    </cfRule>
  </conditionalFormatting>
  <conditionalFormatting sqref="B42">
    <cfRule type="cellIs" dxfId="7879" priority="21" operator="between">
      <formula>0.1</formula>
      <formula>0.1199</formula>
    </cfRule>
    <cfRule type="cellIs" dxfId="7878" priority="22" operator="lessThan">
      <formula>0.1</formula>
    </cfRule>
    <cfRule type="cellIs" dxfId="7877" priority="24" operator="greaterThanOrEqual">
      <formula>0.12</formula>
    </cfRule>
  </conditionalFormatting>
  <conditionalFormatting sqref="B10">
    <cfRule type="containsText" dxfId="7876" priority="16" operator="containsText" text="Full">
      <formula>NOT(ISERROR(SEARCH("Full",B10)))</formula>
    </cfRule>
    <cfRule type="containsText" dxfId="7875" priority="17" operator="containsText" text="Heavy">
      <formula>NOT(ISERROR(SEARCH("Heavy",B10)))</formula>
    </cfRule>
    <cfRule type="containsText" dxfId="7874" priority="18" operator="containsText" text="Medium">
      <formula>NOT(ISERROR(SEARCH("Medium",B10)))</formula>
    </cfRule>
    <cfRule type="containsText" dxfId="7873" priority="19" operator="containsText" text="Light">
      <formula>NOT(ISERROR(SEARCH("Light",B10)))</formula>
    </cfRule>
    <cfRule type="containsText" dxfId="7872" priority="20" operator="containsText" text="None">
      <formula>NOT(ISERROR(SEARCH("None",B10)))</formula>
    </cfRule>
  </conditionalFormatting>
  <conditionalFormatting sqref="E42">
    <cfRule type="cellIs" dxfId="7871" priority="10" operator="between">
      <formula>0.1</formula>
      <formula>0.119</formula>
    </cfRule>
    <cfRule type="cellIs" dxfId="7870" priority="11" operator="lessThan">
      <formula>0.1</formula>
    </cfRule>
    <cfRule type="cellIs" dxfId="7869" priority="12" operator="greaterThanOrEqual">
      <formula>0.12</formula>
    </cfRule>
  </conditionalFormatting>
  <conditionalFormatting sqref="B28">
    <cfRule type="cellIs" dxfId="7868" priority="33" operator="lessThan">
      <formula>$B$8*100</formula>
    </cfRule>
    <cfRule type="cellIs" dxfId="7867" priority="34" operator="greaterThanOrEqual">
      <formula>$B$8*100</formula>
    </cfRule>
  </conditionalFormatting>
  <conditionalFormatting sqref="B41">
    <cfRule type="cellIs" dxfId="7866" priority="35" operator="lessThan">
      <formula>$B$8*100</formula>
    </cfRule>
    <cfRule type="cellIs" dxfId="7865" priority="36" operator="greaterThan">
      <formula>$B$8*100</formula>
    </cfRule>
    <cfRule type="cellIs" dxfId="7864" priority="37" operator="greaterThan">
      <formula>$B$8*100</formula>
    </cfRule>
  </conditionalFormatting>
  <conditionalFormatting sqref="E41">
    <cfRule type="cellIs" dxfId="7863" priority="38" operator="greaterThan">
      <formula>$B$8*100</formula>
    </cfRule>
    <cfRule type="cellIs" dxfId="7862" priority="39" operator="lessThan">
      <formula>$B$8*100</formula>
    </cfRule>
  </conditionalFormatting>
  <conditionalFormatting sqref="B38">
    <cfRule type="cellIs" dxfId="7861" priority="8" operator="equal">
      <formula>"YES"</formula>
    </cfRule>
    <cfRule type="cellIs" dxfId="7860" priority="9" operator="equal">
      <formula>"NO"</formula>
    </cfRule>
  </conditionalFormatting>
  <conditionalFormatting sqref="E23:E26">
    <cfRule type="cellIs" dxfId="7859" priority="4" operator="equal">
      <formula>"NO"</formula>
    </cfRule>
    <cfRule type="cellIs" dxfId="7858" priority="5" operator="equal">
      <formula>"YES"</formula>
    </cfRule>
  </conditionalFormatting>
  <conditionalFormatting sqref="E29">
    <cfRule type="cellIs" dxfId="7857" priority="1" operator="between">
      <formula>10%</formula>
      <formula>12%</formula>
    </cfRule>
    <cfRule type="cellIs" dxfId="7856" priority="2" operator="lessThan">
      <formula>0.1</formula>
    </cfRule>
    <cfRule type="cellIs" dxfId="7855" priority="3" operator="greaterThan">
      <formula>0.12</formula>
    </cfRule>
  </conditionalFormatting>
  <conditionalFormatting sqref="E28">
    <cfRule type="cellIs" dxfId="7854" priority="6" operator="lessThan">
      <formula>$B$8*100</formula>
    </cfRule>
    <cfRule type="cellIs" dxfId="7853" priority="7" operator="greaterThan">
      <formula>$B$8*100</formula>
    </cfRule>
  </conditionalFormatting>
  <hyperlinks>
    <hyperlink ref="A32" r:id="rId1" display="https://www.zillow.com/homes/recently_sold/" xr:uid="{547BDA3C-8282-4947-9D2E-0DB5692765F0}"/>
    <hyperlink ref="A21" r:id="rId2" xr:uid="{8FEC4B57-4ADD-48E3-B8CD-EF982E5253EE}"/>
    <hyperlink ref="A25" r:id="rId3" display="www.mortgagecalculator.org" xr:uid="{565FED73-7FB3-4909-A655-7B948319E9ED}"/>
    <hyperlink ref="A12" r:id="rId4" xr:uid="{51ABF365-D953-4766-A8B6-468DAA92EA23}"/>
  </hyperlinks>
  <pageMargins left="0.7" right="0.7" top="0.75" bottom="0.75" header="0.3" footer="0.3"/>
  <drawing r:id="rId5"/>
  <legacy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BB2D-9316-46C9-BABD-8AED80F62BCA}">
  <sheetPr codeName="Sheet18">
    <tabColor rgb="FFFF0000"/>
  </sheetPr>
  <dimension ref="A1:P42"/>
  <sheetViews>
    <sheetView topLeftCell="A11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192500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1459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192500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192500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9625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182875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1925</v>
      </c>
      <c r="D22" s="7" t="s">
        <v>77</v>
      </c>
      <c r="E22" s="17">
        <f>B16*0.01</f>
        <v>1925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1376.85</v>
      </c>
      <c r="D25" s="7" t="s">
        <v>38</v>
      </c>
      <c r="E25" s="35">
        <f>B25</f>
        <v>1376.85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1631.85</v>
      </c>
      <c r="D26" s="7" t="s">
        <v>41</v>
      </c>
      <c r="E26" s="17">
        <f>E25+I25+I34</f>
        <v>1631.85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68.150000000000091</v>
      </c>
      <c r="D28" s="7" t="s">
        <v>43</v>
      </c>
      <c r="E28" s="44">
        <f>E21-E25-I25-I34+I24+I33</f>
        <v>-581.84999999999991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8.4966233766233884E-2</v>
      </c>
      <c r="D29" s="46" t="s">
        <v>44</v>
      </c>
      <c r="E29" s="47">
        <f>(E28*12)/B17</f>
        <v>-0.72542337662337653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85</v>
      </c>
    </row>
    <row r="32" spans="1:16" x14ac:dyDescent="0.25">
      <c r="A32" s="26" t="s">
        <v>49</v>
      </c>
      <c r="B32" s="8">
        <f>B16</f>
        <v>192500</v>
      </c>
      <c r="G32" s="27" t="s">
        <v>50</v>
      </c>
      <c r="H32" s="48">
        <v>0.05</v>
      </c>
      <c r="I32" s="49">
        <f>$B$21*H32</f>
        <v>85</v>
      </c>
    </row>
    <row r="33" spans="1:9" x14ac:dyDescent="0.25">
      <c r="A33" s="7" t="s">
        <v>51</v>
      </c>
      <c r="B33" s="17">
        <f>B32-B18</f>
        <v>9625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255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129.53645833333334</v>
      </c>
      <c r="D39" s="7"/>
      <c r="E39" s="17"/>
    </row>
    <row r="40" spans="1:9" x14ac:dyDescent="0.25">
      <c r="A40" s="7" t="s">
        <v>58</v>
      </c>
      <c r="B40" s="17">
        <f>B25-B39</f>
        <v>1247.3135416666667</v>
      </c>
      <c r="D40" s="7"/>
      <c r="E40" s="17"/>
    </row>
    <row r="41" spans="1:9" x14ac:dyDescent="0.25">
      <c r="A41" s="7" t="s">
        <v>59</v>
      </c>
      <c r="B41" s="43">
        <f>B21-B40-I25-I34</f>
        <v>197.68645833333335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0.24646623376623378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852" priority="31" operator="equal">
      <formula>"NO"</formula>
    </cfRule>
    <cfRule type="cellIs" dxfId="7851" priority="32" operator="equal">
      <formula>"YES"</formula>
    </cfRule>
  </conditionalFormatting>
  <conditionalFormatting sqref="E38">
    <cfRule type="cellIs" dxfId="7850" priority="29" operator="equal">
      <formula>"YES"</formula>
    </cfRule>
    <cfRule type="cellIs" dxfId="7849" priority="30" operator="equal">
      <formula>"NO"</formula>
    </cfRule>
  </conditionalFormatting>
  <conditionalFormatting sqref="B23">
    <cfRule type="cellIs" dxfId="7848" priority="27" operator="equal">
      <formula>"NO"</formula>
    </cfRule>
    <cfRule type="cellIs" dxfId="7847" priority="28" operator="equal">
      <formula>"YES"</formula>
    </cfRule>
  </conditionalFormatting>
  <conditionalFormatting sqref="B12">
    <cfRule type="containsText" dxfId="7846" priority="13" operator="containsText" text="Low">
      <formula>NOT(ISERROR(SEARCH("Low",B12)))</formula>
    </cfRule>
    <cfRule type="containsText" dxfId="7845" priority="14" operator="containsText" text="Medium">
      <formula>NOT(ISERROR(SEARCH("Medium",B12)))</formula>
    </cfRule>
    <cfRule type="containsText" dxfId="7844" priority="15" operator="containsText" text="High">
      <formula>NOT(ISERROR(SEARCH("High",B12)))</formula>
    </cfRule>
  </conditionalFormatting>
  <conditionalFormatting sqref="B29">
    <cfRule type="cellIs" dxfId="7843" priority="23" operator="between">
      <formula>10%</formula>
      <formula>11.9%</formula>
    </cfRule>
    <cfRule type="cellIs" dxfId="7842" priority="25" operator="lessThan">
      <formula>0.1</formula>
    </cfRule>
    <cfRule type="cellIs" dxfId="7841" priority="26" operator="greaterThanOrEqual">
      <formula>0.12</formula>
    </cfRule>
  </conditionalFormatting>
  <conditionalFormatting sqref="B42">
    <cfRule type="cellIs" dxfId="7840" priority="21" operator="between">
      <formula>0.1</formula>
      <formula>0.1199</formula>
    </cfRule>
    <cfRule type="cellIs" dxfId="7839" priority="22" operator="lessThan">
      <formula>0.1</formula>
    </cfRule>
    <cfRule type="cellIs" dxfId="7838" priority="24" operator="greaterThanOrEqual">
      <formula>0.12</formula>
    </cfRule>
  </conditionalFormatting>
  <conditionalFormatting sqref="B10">
    <cfRule type="containsText" dxfId="7837" priority="16" operator="containsText" text="Full">
      <formula>NOT(ISERROR(SEARCH("Full",B10)))</formula>
    </cfRule>
    <cfRule type="containsText" dxfId="7836" priority="17" operator="containsText" text="Heavy">
      <formula>NOT(ISERROR(SEARCH("Heavy",B10)))</formula>
    </cfRule>
    <cfRule type="containsText" dxfId="7835" priority="18" operator="containsText" text="Medium">
      <formula>NOT(ISERROR(SEARCH("Medium",B10)))</formula>
    </cfRule>
    <cfRule type="containsText" dxfId="7834" priority="19" operator="containsText" text="Light">
      <formula>NOT(ISERROR(SEARCH("Light",B10)))</formula>
    </cfRule>
    <cfRule type="containsText" dxfId="7833" priority="20" operator="containsText" text="None">
      <formula>NOT(ISERROR(SEARCH("None",B10)))</formula>
    </cfRule>
  </conditionalFormatting>
  <conditionalFormatting sqref="E42">
    <cfRule type="cellIs" dxfId="7832" priority="10" operator="between">
      <formula>0.1</formula>
      <formula>0.119</formula>
    </cfRule>
    <cfRule type="cellIs" dxfId="7831" priority="11" operator="lessThan">
      <formula>0.1</formula>
    </cfRule>
    <cfRule type="cellIs" dxfId="7830" priority="12" operator="greaterThanOrEqual">
      <formula>0.12</formula>
    </cfRule>
  </conditionalFormatting>
  <conditionalFormatting sqref="B28">
    <cfRule type="cellIs" dxfId="7829" priority="33" operator="lessThan">
      <formula>$B$8*100</formula>
    </cfRule>
    <cfRule type="cellIs" dxfId="7828" priority="34" operator="greaterThanOrEqual">
      <formula>$B$8*100</formula>
    </cfRule>
  </conditionalFormatting>
  <conditionalFormatting sqref="B41">
    <cfRule type="cellIs" dxfId="7827" priority="35" operator="lessThan">
      <formula>$B$8*100</formula>
    </cfRule>
    <cfRule type="cellIs" dxfId="7826" priority="36" operator="greaterThan">
      <formula>$B$8*100</formula>
    </cfRule>
    <cfRule type="cellIs" dxfId="7825" priority="37" operator="greaterThan">
      <formula>$B$8*100</formula>
    </cfRule>
  </conditionalFormatting>
  <conditionalFormatting sqref="E41">
    <cfRule type="cellIs" dxfId="7824" priority="38" operator="greaterThan">
      <formula>$B$8*100</formula>
    </cfRule>
    <cfRule type="cellIs" dxfId="7823" priority="39" operator="lessThan">
      <formula>$B$8*100</formula>
    </cfRule>
  </conditionalFormatting>
  <conditionalFormatting sqref="B38">
    <cfRule type="cellIs" dxfId="7822" priority="8" operator="equal">
      <formula>"YES"</formula>
    </cfRule>
    <cfRule type="cellIs" dxfId="7821" priority="9" operator="equal">
      <formula>"NO"</formula>
    </cfRule>
  </conditionalFormatting>
  <conditionalFormatting sqref="E23:E26">
    <cfRule type="cellIs" dxfId="7820" priority="4" operator="equal">
      <formula>"NO"</formula>
    </cfRule>
    <cfRule type="cellIs" dxfId="7819" priority="5" operator="equal">
      <formula>"YES"</formula>
    </cfRule>
  </conditionalFormatting>
  <conditionalFormatting sqref="E29">
    <cfRule type="cellIs" dxfId="7818" priority="1" operator="between">
      <formula>10%</formula>
      <formula>12%</formula>
    </cfRule>
    <cfRule type="cellIs" dxfId="7817" priority="2" operator="lessThan">
      <formula>0.1</formula>
    </cfRule>
    <cfRule type="cellIs" dxfId="7816" priority="3" operator="greaterThan">
      <formula>0.12</formula>
    </cfRule>
  </conditionalFormatting>
  <conditionalFormatting sqref="E28">
    <cfRule type="cellIs" dxfId="7815" priority="6" operator="lessThan">
      <formula>$B$8*100</formula>
    </cfRule>
    <cfRule type="cellIs" dxfId="7814" priority="7" operator="greaterThan">
      <formula>$B$8*100</formula>
    </cfRule>
  </conditionalFormatting>
  <hyperlinks>
    <hyperlink ref="A32" r:id="rId1" display="https://www.zillow.com/homes/recently_sold/" xr:uid="{A938358D-A2B9-4C08-AECE-880BE2BB2EED}"/>
    <hyperlink ref="A21" r:id="rId2" xr:uid="{757C3126-F2CD-4810-9188-51F038878B19}"/>
    <hyperlink ref="A25" r:id="rId3" display="www.mortgagecalculator.org" xr:uid="{76B3AFC9-7300-4EB4-8D04-6DC29C11C773}"/>
    <hyperlink ref="A12" r:id="rId4" xr:uid="{374A725F-8266-4CB9-9C2C-8A709545DFC1}"/>
  </hyperlinks>
  <pageMargins left="0.7" right="0.7" top="0.75" bottom="0.75" header="0.3" footer="0.3"/>
  <drawing r:id="rId5"/>
  <legacyDrawing r:id="rId6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53BB1-FA85-4966-89C9-32DBA61923C3}">
  <sheetPr codeName="Sheet19">
    <tabColor rgb="FFFF0000"/>
  </sheetPr>
  <dimension ref="A1:P42"/>
  <sheetViews>
    <sheetView topLeftCell="A4" workbookViewId="0">
      <selection activeCell="A36" sqref="A36:B3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95500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81175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53150</v>
      </c>
      <c r="D15" s="2"/>
      <c r="E15" s="3"/>
    </row>
    <row r="16" spans="1:10" x14ac:dyDescent="0.25">
      <c r="A16" s="7" t="s">
        <v>20</v>
      </c>
      <c r="B16" s="17">
        <f>B15+B13</f>
        <v>134325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4701.375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129623.625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1260</v>
      </c>
      <c r="D21" s="23" t="s">
        <v>28</v>
      </c>
      <c r="E21" s="8">
        <f>400*4</f>
        <v>1600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1343.25</v>
      </c>
      <c r="D22" s="7" t="s">
        <v>77</v>
      </c>
      <c r="E22" s="17">
        <f>B16*0.01</f>
        <v>1343.25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1035.6600000000001</v>
      </c>
      <c r="D25" s="7" t="s">
        <v>38</v>
      </c>
      <c r="E25" s="35">
        <f>B25</f>
        <v>1035.6600000000001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1224.6600000000001</v>
      </c>
      <c r="D26" s="7" t="s">
        <v>41</v>
      </c>
      <c r="E26" s="17">
        <f>E25+I25+I34</f>
        <v>1224.6600000000001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35.339999999999918</v>
      </c>
      <c r="D28" s="7" t="s">
        <v>43</v>
      </c>
      <c r="E28" s="44">
        <f>E21-E25-I25-I34+I24+I33</f>
        <v>375.33999999999992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9.0203397942091201E-2</v>
      </c>
      <c r="D29" s="46" t="s">
        <v>44</v>
      </c>
      <c r="E29" s="47">
        <f>(E28*12)/B17</f>
        <v>0.95803461753210473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63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63</v>
      </c>
    </row>
    <row r="32" spans="1:16" x14ac:dyDescent="0.25">
      <c r="A32" s="26" t="s">
        <v>49</v>
      </c>
      <c r="B32" s="8">
        <f>B16</f>
        <v>134325</v>
      </c>
      <c r="G32" s="27" t="s">
        <v>50</v>
      </c>
      <c r="H32" s="48">
        <v>0.05</v>
      </c>
      <c r="I32" s="49">
        <f>$B$21*H32</f>
        <v>63</v>
      </c>
    </row>
    <row r="33" spans="1:9" x14ac:dyDescent="0.25">
      <c r="A33" s="7" t="s">
        <v>51</v>
      </c>
      <c r="B33" s="17">
        <f>B32-B18</f>
        <v>4701.375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189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0.96499999999999997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91.81673437500001</v>
      </c>
      <c r="D39" s="7"/>
      <c r="E39" s="17"/>
    </row>
    <row r="40" spans="1:9" x14ac:dyDescent="0.25">
      <c r="A40" s="7" t="s">
        <v>58</v>
      </c>
      <c r="B40" s="17">
        <f>B25-B39</f>
        <v>943.84326562500007</v>
      </c>
      <c r="D40" s="7"/>
      <c r="E40" s="17"/>
    </row>
    <row r="41" spans="1:9" x14ac:dyDescent="0.25">
      <c r="A41" s="7" t="s">
        <v>59</v>
      </c>
      <c r="B41" s="43">
        <f>B21-B40-I25-I34</f>
        <v>127.15673437499993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0.32456054079923408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813" priority="31" operator="equal">
      <formula>"NO"</formula>
    </cfRule>
    <cfRule type="cellIs" dxfId="7812" priority="32" operator="equal">
      <formula>"YES"</formula>
    </cfRule>
  </conditionalFormatting>
  <conditionalFormatting sqref="E38">
    <cfRule type="cellIs" dxfId="7811" priority="29" operator="equal">
      <formula>"YES"</formula>
    </cfRule>
    <cfRule type="cellIs" dxfId="7810" priority="30" operator="equal">
      <formula>"NO"</formula>
    </cfRule>
  </conditionalFormatting>
  <conditionalFormatting sqref="B23">
    <cfRule type="cellIs" dxfId="7809" priority="27" operator="equal">
      <formula>"NO"</formula>
    </cfRule>
    <cfRule type="cellIs" dxfId="7808" priority="28" operator="equal">
      <formula>"YES"</formula>
    </cfRule>
  </conditionalFormatting>
  <conditionalFormatting sqref="B12">
    <cfRule type="containsText" dxfId="7807" priority="13" operator="containsText" text="Low">
      <formula>NOT(ISERROR(SEARCH("Low",B12)))</formula>
    </cfRule>
    <cfRule type="containsText" dxfId="7806" priority="14" operator="containsText" text="Medium">
      <formula>NOT(ISERROR(SEARCH("Medium",B12)))</formula>
    </cfRule>
    <cfRule type="containsText" dxfId="7805" priority="15" operator="containsText" text="High">
      <formula>NOT(ISERROR(SEARCH("High",B12)))</formula>
    </cfRule>
  </conditionalFormatting>
  <conditionalFormatting sqref="B29">
    <cfRule type="cellIs" dxfId="7804" priority="23" operator="between">
      <formula>10%</formula>
      <formula>11.9%</formula>
    </cfRule>
    <cfRule type="cellIs" dxfId="7803" priority="25" operator="lessThan">
      <formula>0.1</formula>
    </cfRule>
    <cfRule type="cellIs" dxfId="7802" priority="26" operator="greaterThanOrEqual">
      <formula>0.12</formula>
    </cfRule>
  </conditionalFormatting>
  <conditionalFormatting sqref="B42">
    <cfRule type="cellIs" dxfId="7801" priority="21" operator="between">
      <formula>0.1</formula>
      <formula>0.1199</formula>
    </cfRule>
    <cfRule type="cellIs" dxfId="7800" priority="22" operator="lessThan">
      <formula>0.1</formula>
    </cfRule>
    <cfRule type="cellIs" dxfId="7799" priority="24" operator="greaterThanOrEqual">
      <formula>0.12</formula>
    </cfRule>
  </conditionalFormatting>
  <conditionalFormatting sqref="B10">
    <cfRule type="containsText" dxfId="7798" priority="16" operator="containsText" text="Full">
      <formula>NOT(ISERROR(SEARCH("Full",B10)))</formula>
    </cfRule>
    <cfRule type="containsText" dxfId="7797" priority="17" operator="containsText" text="Heavy">
      <formula>NOT(ISERROR(SEARCH("Heavy",B10)))</formula>
    </cfRule>
    <cfRule type="containsText" dxfId="7796" priority="18" operator="containsText" text="Medium">
      <formula>NOT(ISERROR(SEARCH("Medium",B10)))</formula>
    </cfRule>
    <cfRule type="containsText" dxfId="7795" priority="19" operator="containsText" text="Light">
      <formula>NOT(ISERROR(SEARCH("Light",B10)))</formula>
    </cfRule>
    <cfRule type="containsText" dxfId="7794" priority="20" operator="containsText" text="None">
      <formula>NOT(ISERROR(SEARCH("None",B10)))</formula>
    </cfRule>
  </conditionalFormatting>
  <conditionalFormatting sqref="E42">
    <cfRule type="cellIs" dxfId="7793" priority="10" operator="between">
      <formula>0.1</formula>
      <formula>0.119</formula>
    </cfRule>
    <cfRule type="cellIs" dxfId="7792" priority="11" operator="lessThan">
      <formula>0.1</formula>
    </cfRule>
    <cfRule type="cellIs" dxfId="7791" priority="12" operator="greaterThanOrEqual">
      <formula>0.12</formula>
    </cfRule>
  </conditionalFormatting>
  <conditionalFormatting sqref="B28">
    <cfRule type="cellIs" dxfId="7790" priority="33" operator="lessThan">
      <formula>$B$8*100</formula>
    </cfRule>
    <cfRule type="cellIs" dxfId="7789" priority="34" operator="greaterThanOrEqual">
      <formula>$B$8*100</formula>
    </cfRule>
  </conditionalFormatting>
  <conditionalFormatting sqref="B41">
    <cfRule type="cellIs" dxfId="7788" priority="35" operator="lessThan">
      <formula>$B$8*100</formula>
    </cfRule>
    <cfRule type="cellIs" dxfId="7787" priority="36" operator="greaterThan">
      <formula>$B$8*100</formula>
    </cfRule>
    <cfRule type="cellIs" dxfId="7786" priority="37" operator="greaterThan">
      <formula>$B$8*100</formula>
    </cfRule>
  </conditionalFormatting>
  <conditionalFormatting sqref="E41">
    <cfRule type="cellIs" dxfId="7785" priority="38" operator="greaterThan">
      <formula>$B$8*100</formula>
    </cfRule>
    <cfRule type="cellIs" dxfId="7784" priority="39" operator="lessThan">
      <formula>$B$8*100</formula>
    </cfRule>
  </conditionalFormatting>
  <conditionalFormatting sqref="B38">
    <cfRule type="cellIs" dxfId="7783" priority="8" operator="equal">
      <formula>"YES"</formula>
    </cfRule>
    <cfRule type="cellIs" dxfId="7782" priority="9" operator="equal">
      <formula>"NO"</formula>
    </cfRule>
  </conditionalFormatting>
  <conditionalFormatting sqref="E23:E26">
    <cfRule type="cellIs" dxfId="7781" priority="4" operator="equal">
      <formula>"NO"</formula>
    </cfRule>
    <cfRule type="cellIs" dxfId="7780" priority="5" operator="equal">
      <formula>"YES"</formula>
    </cfRule>
  </conditionalFormatting>
  <conditionalFormatting sqref="E29">
    <cfRule type="cellIs" dxfId="7779" priority="1" operator="between">
      <formula>10%</formula>
      <formula>12%</formula>
    </cfRule>
    <cfRule type="cellIs" dxfId="7778" priority="2" operator="lessThan">
      <formula>0.1</formula>
    </cfRule>
    <cfRule type="cellIs" dxfId="7777" priority="3" operator="greaterThan">
      <formula>0.12</formula>
    </cfRule>
  </conditionalFormatting>
  <conditionalFormatting sqref="E28">
    <cfRule type="cellIs" dxfId="7776" priority="6" operator="lessThan">
      <formula>$B$8*100</formula>
    </cfRule>
    <cfRule type="cellIs" dxfId="7775" priority="7" operator="greaterThan">
      <formula>$B$8*100</formula>
    </cfRule>
  </conditionalFormatting>
  <hyperlinks>
    <hyperlink ref="A32" r:id="rId1" display="https://www.zillow.com/homes/recently_sold/" xr:uid="{0DC89BA5-0503-486E-90ED-833E5B7A573C}"/>
    <hyperlink ref="A21" r:id="rId2" xr:uid="{B42E5958-2E66-48A6-904A-94966C5C25ED}"/>
    <hyperlink ref="A25" r:id="rId3" display="www.mortgagecalculator.org" xr:uid="{C3CEE9A6-B841-4E0B-8073-51342C0A9C09}"/>
    <hyperlink ref="A12" r:id="rId4" xr:uid="{2E74BF08-E078-4492-A090-203FFC6E9EFC}"/>
  </hyperlinks>
  <pageMargins left="0.7" right="0.7" top="0.75" bottom="0.75" header="0.3" footer="0.3"/>
  <drawing r:id="rId5"/>
  <legacy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6532-740B-4898-B59C-77A24692A219}">
  <sheetPr codeName="Sheet20">
    <tabColor rgb="FFFF0000"/>
  </sheetPr>
  <dimension ref="A1:P42"/>
  <sheetViews>
    <sheetView topLeftCell="A11" workbookViewId="0">
      <selection activeCell="A30" sqref="A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1355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184900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184900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9245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175655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1565</v>
      </c>
      <c r="D21" s="23" t="s">
        <v>28</v>
      </c>
      <c r="E21" s="8">
        <f>400*3</f>
        <v>1200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1849</v>
      </c>
      <c r="D22" s="7" t="s">
        <v>77</v>
      </c>
      <c r="E22" s="17">
        <f>B16*0.01</f>
        <v>1849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1315.91</v>
      </c>
      <c r="D25" s="7" t="s">
        <v>38</v>
      </c>
      <c r="E25" s="35">
        <f>B25</f>
        <v>1315.91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1550.66</v>
      </c>
      <c r="D26" s="7" t="s">
        <v>41</v>
      </c>
      <c r="E26" s="17">
        <f>E25+I25+I34</f>
        <v>1550.66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14.339999999999918</v>
      </c>
      <c r="D28" s="7" t="s">
        <v>43</v>
      </c>
      <c r="E28" s="44">
        <f>E21-E25-I25-I34+I24+I33</f>
        <v>-350.66000000000008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1.8613304488912821E-2</v>
      </c>
      <c r="D29" s="46" t="s">
        <v>44</v>
      </c>
      <c r="E29" s="47">
        <f>(E28*12)/B17</f>
        <v>-0.45515630070308283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78.25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78.25</v>
      </c>
    </row>
    <row r="32" spans="1:16" x14ac:dyDescent="0.25">
      <c r="A32" s="26" t="s">
        <v>49</v>
      </c>
      <c r="B32" s="8">
        <f>B16</f>
        <v>184900</v>
      </c>
      <c r="G32" s="27" t="s">
        <v>50</v>
      </c>
      <c r="H32" s="48">
        <v>0.05</v>
      </c>
      <c r="I32" s="49">
        <f>$B$21*H32</f>
        <v>78.25</v>
      </c>
    </row>
    <row r="33" spans="1:9" x14ac:dyDescent="0.25">
      <c r="A33" s="7" t="s">
        <v>51</v>
      </c>
      <c r="B33" s="17">
        <f>B32-B18</f>
        <v>9245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234.75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124.42229166666668</v>
      </c>
      <c r="D39" s="7"/>
      <c r="E39" s="17"/>
    </row>
    <row r="40" spans="1:9" x14ac:dyDescent="0.25">
      <c r="A40" s="7" t="s">
        <v>58</v>
      </c>
      <c r="B40" s="17">
        <f>B25-B39</f>
        <v>1191.4877083333333</v>
      </c>
      <c r="D40" s="7"/>
      <c r="E40" s="17"/>
    </row>
    <row r="41" spans="1:9" x14ac:dyDescent="0.25">
      <c r="A41" s="7" t="s">
        <v>59</v>
      </c>
      <c r="B41" s="43">
        <f>B21-B40-I25-I34</f>
        <v>138.76229166666667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0.18011330448891294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774" priority="31" operator="equal">
      <formula>"NO"</formula>
    </cfRule>
    <cfRule type="cellIs" dxfId="7773" priority="32" operator="equal">
      <formula>"YES"</formula>
    </cfRule>
  </conditionalFormatting>
  <conditionalFormatting sqref="E38">
    <cfRule type="cellIs" dxfId="7772" priority="29" operator="equal">
      <formula>"YES"</formula>
    </cfRule>
    <cfRule type="cellIs" dxfId="7771" priority="30" operator="equal">
      <formula>"NO"</formula>
    </cfRule>
  </conditionalFormatting>
  <conditionalFormatting sqref="B23">
    <cfRule type="cellIs" dxfId="7770" priority="27" operator="equal">
      <formula>"NO"</formula>
    </cfRule>
    <cfRule type="cellIs" dxfId="7769" priority="28" operator="equal">
      <formula>"YES"</formula>
    </cfRule>
  </conditionalFormatting>
  <conditionalFormatting sqref="B12">
    <cfRule type="containsText" dxfId="7768" priority="13" operator="containsText" text="Low">
      <formula>NOT(ISERROR(SEARCH("Low",B12)))</formula>
    </cfRule>
    <cfRule type="containsText" dxfId="7767" priority="14" operator="containsText" text="Medium">
      <formula>NOT(ISERROR(SEARCH("Medium",B12)))</formula>
    </cfRule>
    <cfRule type="containsText" dxfId="7766" priority="15" operator="containsText" text="High">
      <formula>NOT(ISERROR(SEARCH("High",B12)))</formula>
    </cfRule>
  </conditionalFormatting>
  <conditionalFormatting sqref="B29">
    <cfRule type="cellIs" dxfId="7765" priority="23" operator="between">
      <formula>10%</formula>
      <formula>11.9%</formula>
    </cfRule>
    <cfRule type="cellIs" dxfId="7764" priority="25" operator="lessThan">
      <formula>0.1</formula>
    </cfRule>
    <cfRule type="cellIs" dxfId="7763" priority="26" operator="greaterThanOrEqual">
      <formula>0.12</formula>
    </cfRule>
  </conditionalFormatting>
  <conditionalFormatting sqref="B42">
    <cfRule type="cellIs" dxfId="7762" priority="21" operator="between">
      <formula>0.1</formula>
      <formula>0.1199</formula>
    </cfRule>
    <cfRule type="cellIs" dxfId="7761" priority="22" operator="lessThan">
      <formula>0.1</formula>
    </cfRule>
    <cfRule type="cellIs" dxfId="7760" priority="24" operator="greaterThanOrEqual">
      <formula>0.12</formula>
    </cfRule>
  </conditionalFormatting>
  <conditionalFormatting sqref="B10">
    <cfRule type="containsText" dxfId="7759" priority="16" operator="containsText" text="Full">
      <formula>NOT(ISERROR(SEARCH("Full",B10)))</formula>
    </cfRule>
    <cfRule type="containsText" dxfId="7758" priority="17" operator="containsText" text="Heavy">
      <formula>NOT(ISERROR(SEARCH("Heavy",B10)))</formula>
    </cfRule>
    <cfRule type="containsText" dxfId="7757" priority="18" operator="containsText" text="Medium">
      <formula>NOT(ISERROR(SEARCH("Medium",B10)))</formula>
    </cfRule>
    <cfRule type="containsText" dxfId="7756" priority="19" operator="containsText" text="Light">
      <formula>NOT(ISERROR(SEARCH("Light",B10)))</formula>
    </cfRule>
    <cfRule type="containsText" dxfId="7755" priority="20" operator="containsText" text="None">
      <formula>NOT(ISERROR(SEARCH("None",B10)))</formula>
    </cfRule>
  </conditionalFormatting>
  <conditionalFormatting sqref="E42">
    <cfRule type="cellIs" dxfId="7754" priority="10" operator="between">
      <formula>0.1</formula>
      <formula>0.119</formula>
    </cfRule>
    <cfRule type="cellIs" dxfId="7753" priority="11" operator="lessThan">
      <formula>0.1</formula>
    </cfRule>
    <cfRule type="cellIs" dxfId="7752" priority="12" operator="greaterThanOrEqual">
      <formula>0.12</formula>
    </cfRule>
  </conditionalFormatting>
  <conditionalFormatting sqref="B28">
    <cfRule type="cellIs" dxfId="7751" priority="33" operator="lessThan">
      <formula>$B$8*100</formula>
    </cfRule>
    <cfRule type="cellIs" dxfId="7750" priority="34" operator="greaterThanOrEqual">
      <formula>$B$8*100</formula>
    </cfRule>
  </conditionalFormatting>
  <conditionalFormatting sqref="B41">
    <cfRule type="cellIs" dxfId="7749" priority="35" operator="lessThan">
      <formula>$B$8*100</formula>
    </cfRule>
    <cfRule type="cellIs" dxfId="7748" priority="36" operator="greaterThan">
      <formula>$B$8*100</formula>
    </cfRule>
    <cfRule type="cellIs" dxfId="7747" priority="37" operator="greaterThan">
      <formula>$B$8*100</formula>
    </cfRule>
  </conditionalFormatting>
  <conditionalFormatting sqref="E41">
    <cfRule type="cellIs" dxfId="7746" priority="38" operator="greaterThan">
      <formula>$B$8*100</formula>
    </cfRule>
    <cfRule type="cellIs" dxfId="7745" priority="39" operator="lessThan">
      <formula>$B$8*100</formula>
    </cfRule>
  </conditionalFormatting>
  <conditionalFormatting sqref="B38">
    <cfRule type="cellIs" dxfId="7744" priority="8" operator="equal">
      <formula>"YES"</formula>
    </cfRule>
    <cfRule type="cellIs" dxfId="7743" priority="9" operator="equal">
      <formula>"NO"</formula>
    </cfRule>
  </conditionalFormatting>
  <conditionalFormatting sqref="E23:E26">
    <cfRule type="cellIs" dxfId="7742" priority="4" operator="equal">
      <formula>"NO"</formula>
    </cfRule>
    <cfRule type="cellIs" dxfId="7741" priority="5" operator="equal">
      <formula>"YES"</formula>
    </cfRule>
  </conditionalFormatting>
  <conditionalFormatting sqref="E29">
    <cfRule type="cellIs" dxfId="7740" priority="1" operator="between">
      <formula>10%</formula>
      <formula>12%</formula>
    </cfRule>
    <cfRule type="cellIs" dxfId="7739" priority="2" operator="lessThan">
      <formula>0.1</formula>
    </cfRule>
    <cfRule type="cellIs" dxfId="7738" priority="3" operator="greaterThan">
      <formula>0.12</formula>
    </cfRule>
  </conditionalFormatting>
  <conditionalFormatting sqref="E28">
    <cfRule type="cellIs" dxfId="7737" priority="6" operator="lessThan">
      <formula>$B$8*100</formula>
    </cfRule>
    <cfRule type="cellIs" dxfId="7736" priority="7" operator="greaterThan">
      <formula>$B$8*100</formula>
    </cfRule>
  </conditionalFormatting>
  <hyperlinks>
    <hyperlink ref="A32" r:id="rId1" display="https://www.zillow.com/homes/recently_sold/" xr:uid="{78E28C6A-1FF6-47E0-9FD5-4AFD534C39FF}"/>
    <hyperlink ref="A21" r:id="rId2" xr:uid="{AAF0B9E8-DC8E-49DA-87DC-96E67AF261BE}"/>
    <hyperlink ref="A25" r:id="rId3" display="www.mortgagecalculator.org" xr:uid="{0E469D3B-99A9-4DE4-8BC7-770FEB98B4A4}"/>
    <hyperlink ref="A12" r:id="rId4" xr:uid="{654D6365-0019-48B9-AA6E-6F35539463D0}"/>
  </hyperlinks>
  <pageMargins left="0.7" right="0.7" top="0.75" bottom="0.75" header="0.3" footer="0.3"/>
  <drawing r:id="rId5"/>
  <legacy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CD2F-A879-4CE7-A44D-F73093EFE018}">
  <sheetPr codeName="Sheet21">
    <tabColor rgb="FF92D050"/>
  </sheetPr>
  <dimension ref="A1:P42"/>
  <sheetViews>
    <sheetView topLeftCell="A4" workbookViewId="0">
      <selection activeCell="A22" sqref="A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1820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215000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215000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10750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204250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1895</v>
      </c>
      <c r="D21" s="23" t="s">
        <v>28</v>
      </c>
      <c r="E21" s="8">
        <f>400*3</f>
        <v>1200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2150</v>
      </c>
      <c r="D22" s="7" t="s">
        <v>77</v>
      </c>
      <c r="E22" s="17">
        <f>B16*0.01</f>
        <v>2150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1458.23</v>
      </c>
      <c r="D25" s="7" t="s">
        <v>38</v>
      </c>
      <c r="E25" s="35">
        <f>B25</f>
        <v>1458.23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1742.48</v>
      </c>
      <c r="D26" s="7" t="s">
        <v>41</v>
      </c>
      <c r="E26" s="17">
        <f>E25+I25+I34</f>
        <v>1742.48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152.51999999999998</v>
      </c>
      <c r="D28" s="7" t="s">
        <v>43</v>
      </c>
      <c r="E28" s="44">
        <f>E21-E25-I25-I34+I24+I33</f>
        <v>-542.48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0.1702548837209302</v>
      </c>
      <c r="D29" s="46" t="s">
        <v>44</v>
      </c>
      <c r="E29" s="47">
        <f>(E28*12)/B17</f>
        <v>-0.60555906976744189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94.75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94.75</v>
      </c>
    </row>
    <row r="32" spans="1:16" x14ac:dyDescent="0.25">
      <c r="A32" s="26" t="s">
        <v>49</v>
      </c>
      <c r="B32" s="8">
        <f>B16</f>
        <v>215000</v>
      </c>
      <c r="G32" s="27" t="s">
        <v>50</v>
      </c>
      <c r="H32" s="48">
        <v>0.05</v>
      </c>
      <c r="I32" s="49">
        <f>$B$21*H32</f>
        <v>94.75</v>
      </c>
    </row>
    <row r="33" spans="1:9" x14ac:dyDescent="0.25">
      <c r="A33" s="7" t="s">
        <v>51</v>
      </c>
      <c r="B33" s="17">
        <f>B32-B18</f>
        <v>10750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284.25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144.67708333333334</v>
      </c>
      <c r="D39" s="7"/>
      <c r="E39" s="17"/>
    </row>
    <row r="40" spans="1:9" x14ac:dyDescent="0.25">
      <c r="A40" s="7" t="s">
        <v>58</v>
      </c>
      <c r="B40" s="17">
        <f>B25-B39</f>
        <v>1313.5529166666668</v>
      </c>
      <c r="D40" s="7"/>
      <c r="E40" s="17"/>
    </row>
    <row r="41" spans="1:9" x14ac:dyDescent="0.25">
      <c r="A41" s="7" t="s">
        <v>59</v>
      </c>
      <c r="B41" s="43">
        <f>B21-B40-I25-I34</f>
        <v>297.19708333333324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0.33175488372093015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735" priority="31" operator="equal">
      <formula>"NO"</formula>
    </cfRule>
    <cfRule type="cellIs" dxfId="7734" priority="32" operator="equal">
      <formula>"YES"</formula>
    </cfRule>
  </conditionalFormatting>
  <conditionalFormatting sqref="E38">
    <cfRule type="cellIs" dxfId="7733" priority="29" operator="equal">
      <formula>"YES"</formula>
    </cfRule>
    <cfRule type="cellIs" dxfId="7732" priority="30" operator="equal">
      <formula>"NO"</formula>
    </cfRule>
  </conditionalFormatting>
  <conditionalFormatting sqref="B23">
    <cfRule type="cellIs" dxfId="7731" priority="27" operator="equal">
      <formula>"NO"</formula>
    </cfRule>
    <cfRule type="cellIs" dxfId="7730" priority="28" operator="equal">
      <formula>"YES"</formula>
    </cfRule>
  </conditionalFormatting>
  <conditionalFormatting sqref="B12">
    <cfRule type="containsText" dxfId="7729" priority="13" operator="containsText" text="Low">
      <formula>NOT(ISERROR(SEARCH("Low",B12)))</formula>
    </cfRule>
    <cfRule type="containsText" dxfId="7728" priority="14" operator="containsText" text="Medium">
      <formula>NOT(ISERROR(SEARCH("Medium",B12)))</formula>
    </cfRule>
    <cfRule type="containsText" dxfId="7727" priority="15" operator="containsText" text="High">
      <formula>NOT(ISERROR(SEARCH("High",B12)))</formula>
    </cfRule>
  </conditionalFormatting>
  <conditionalFormatting sqref="B29">
    <cfRule type="cellIs" dxfId="7726" priority="23" operator="between">
      <formula>10%</formula>
      <formula>11.9%</formula>
    </cfRule>
    <cfRule type="cellIs" dxfId="7725" priority="25" operator="lessThan">
      <formula>0.1</formula>
    </cfRule>
    <cfRule type="cellIs" dxfId="7724" priority="26" operator="greaterThanOrEqual">
      <formula>0.12</formula>
    </cfRule>
  </conditionalFormatting>
  <conditionalFormatting sqref="B42">
    <cfRule type="cellIs" dxfId="7723" priority="21" operator="between">
      <formula>0.1</formula>
      <formula>0.1199</formula>
    </cfRule>
    <cfRule type="cellIs" dxfId="7722" priority="22" operator="lessThan">
      <formula>0.1</formula>
    </cfRule>
    <cfRule type="cellIs" dxfId="7721" priority="24" operator="greaterThanOrEqual">
      <formula>0.12</formula>
    </cfRule>
  </conditionalFormatting>
  <conditionalFormatting sqref="B10">
    <cfRule type="containsText" dxfId="7720" priority="16" operator="containsText" text="Full">
      <formula>NOT(ISERROR(SEARCH("Full",B10)))</formula>
    </cfRule>
    <cfRule type="containsText" dxfId="7719" priority="17" operator="containsText" text="Heavy">
      <formula>NOT(ISERROR(SEARCH("Heavy",B10)))</formula>
    </cfRule>
    <cfRule type="containsText" dxfId="7718" priority="18" operator="containsText" text="Medium">
      <formula>NOT(ISERROR(SEARCH("Medium",B10)))</formula>
    </cfRule>
    <cfRule type="containsText" dxfId="7717" priority="19" operator="containsText" text="Light">
      <formula>NOT(ISERROR(SEARCH("Light",B10)))</formula>
    </cfRule>
    <cfRule type="containsText" dxfId="7716" priority="20" operator="containsText" text="None">
      <formula>NOT(ISERROR(SEARCH("None",B10)))</formula>
    </cfRule>
  </conditionalFormatting>
  <conditionalFormatting sqref="E42">
    <cfRule type="cellIs" dxfId="7715" priority="10" operator="between">
      <formula>0.1</formula>
      <formula>0.119</formula>
    </cfRule>
    <cfRule type="cellIs" dxfId="7714" priority="11" operator="lessThan">
      <formula>0.1</formula>
    </cfRule>
    <cfRule type="cellIs" dxfId="7713" priority="12" operator="greaterThanOrEqual">
      <formula>0.12</formula>
    </cfRule>
  </conditionalFormatting>
  <conditionalFormatting sqref="B28">
    <cfRule type="cellIs" dxfId="7712" priority="33" operator="lessThan">
      <formula>$B$8*100</formula>
    </cfRule>
    <cfRule type="cellIs" dxfId="7711" priority="34" operator="greaterThanOrEqual">
      <formula>$B$8*100</formula>
    </cfRule>
  </conditionalFormatting>
  <conditionalFormatting sqref="B41">
    <cfRule type="cellIs" dxfId="7710" priority="35" operator="lessThan">
      <formula>$B$8*100</formula>
    </cfRule>
    <cfRule type="cellIs" dxfId="7709" priority="36" operator="greaterThan">
      <formula>$B$8*100</formula>
    </cfRule>
    <cfRule type="cellIs" dxfId="7708" priority="37" operator="greaterThan">
      <formula>$B$8*100</formula>
    </cfRule>
  </conditionalFormatting>
  <conditionalFormatting sqref="E41">
    <cfRule type="cellIs" dxfId="7707" priority="38" operator="greaterThan">
      <formula>$B$8*100</formula>
    </cfRule>
    <cfRule type="cellIs" dxfId="7706" priority="39" operator="lessThan">
      <formula>$B$8*100</formula>
    </cfRule>
  </conditionalFormatting>
  <conditionalFormatting sqref="B38">
    <cfRule type="cellIs" dxfId="7705" priority="8" operator="equal">
      <formula>"YES"</formula>
    </cfRule>
    <cfRule type="cellIs" dxfId="7704" priority="9" operator="equal">
      <formula>"NO"</formula>
    </cfRule>
  </conditionalFormatting>
  <conditionalFormatting sqref="E23:E26">
    <cfRule type="cellIs" dxfId="7703" priority="4" operator="equal">
      <formula>"NO"</formula>
    </cfRule>
    <cfRule type="cellIs" dxfId="7702" priority="5" operator="equal">
      <formula>"YES"</formula>
    </cfRule>
  </conditionalFormatting>
  <conditionalFormatting sqref="E29">
    <cfRule type="cellIs" dxfId="7701" priority="1" operator="between">
      <formula>10%</formula>
      <formula>12%</formula>
    </cfRule>
    <cfRule type="cellIs" dxfId="7700" priority="2" operator="lessThan">
      <formula>0.1</formula>
    </cfRule>
    <cfRule type="cellIs" dxfId="7699" priority="3" operator="greaterThan">
      <formula>0.12</formula>
    </cfRule>
  </conditionalFormatting>
  <conditionalFormatting sqref="E28">
    <cfRule type="cellIs" dxfId="7698" priority="6" operator="lessThan">
      <formula>$B$8*100</formula>
    </cfRule>
    <cfRule type="cellIs" dxfId="7697" priority="7" operator="greaterThan">
      <formula>$B$8*100</formula>
    </cfRule>
  </conditionalFormatting>
  <hyperlinks>
    <hyperlink ref="A32" r:id="rId1" display="https://www.zillow.com/homes/recently_sold/" xr:uid="{55835890-44A2-4991-A577-8E44824F7826}"/>
    <hyperlink ref="A21" r:id="rId2" xr:uid="{9A7BE7DC-9684-487C-8BF5-276446042739}"/>
    <hyperlink ref="A25" r:id="rId3" display="www.mortgagecalculator.org" xr:uid="{F0CB7B06-4FE6-43AF-8996-53EDB5D19FD8}"/>
    <hyperlink ref="A12" r:id="rId4" xr:uid="{5C5CC424-5125-4E36-974A-BBE5CA99DC8A}"/>
  </hyperlinks>
  <pageMargins left="0.7" right="0.7" top="0.75" bottom="0.75" header="0.3" footer="0.3"/>
  <drawing r:id="rId5"/>
  <legacyDrawing r:id="rId6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C75A-F0DB-45AF-A187-D71DAB5E0506}">
  <sheetPr codeName="Sheet22">
    <tabColor rgb="FFFF0000"/>
  </sheetPr>
  <dimension ref="A1:P42"/>
  <sheetViews>
    <sheetView topLeftCell="A10" workbookViewId="0">
      <selection activeCell="A28" sqref="A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259900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843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259900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259900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12995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246905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1790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2599</v>
      </c>
      <c r="D22" s="7" t="s">
        <v>77</v>
      </c>
      <c r="E22" s="17">
        <f>B16*0.01</f>
        <v>2599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1712.2</v>
      </c>
      <c r="D25" s="7" t="s">
        <v>38</v>
      </c>
      <c r="E25" s="35">
        <f>B25</f>
        <v>1712.2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1980.7</v>
      </c>
      <c r="D26" s="7" t="s">
        <v>41</v>
      </c>
      <c r="E26" s="17">
        <f>E25+I25+I34</f>
        <v>1980.7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-190.70000000000005</v>
      </c>
      <c r="D28" s="7" t="s">
        <v>43</v>
      </c>
      <c r="E28" s="44">
        <f>E21-E25-I25-I34+I24+I33</f>
        <v>-930.7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-0.17609849942285499</v>
      </c>
      <c r="D29" s="46" t="s">
        <v>44</v>
      </c>
      <c r="E29" s="47">
        <f>(E28*12)/B17</f>
        <v>-0.85943824547903047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89.5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89.5</v>
      </c>
    </row>
    <row r="32" spans="1:16" x14ac:dyDescent="0.25">
      <c r="A32" s="26" t="s">
        <v>49</v>
      </c>
      <c r="B32" s="8">
        <f>B16</f>
        <v>259900</v>
      </c>
      <c r="G32" s="27" t="s">
        <v>50</v>
      </c>
      <c r="H32" s="48">
        <v>0.05</v>
      </c>
      <c r="I32" s="49">
        <f>$B$21*H32</f>
        <v>89.5</v>
      </c>
    </row>
    <row r="33" spans="1:9" x14ac:dyDescent="0.25">
      <c r="A33" s="7" t="s">
        <v>51</v>
      </c>
      <c r="B33" s="17">
        <f>B32-B18</f>
        <v>12995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268.5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174.89104166666667</v>
      </c>
      <c r="D39" s="7"/>
      <c r="E39" s="17"/>
    </row>
    <row r="40" spans="1:9" x14ac:dyDescent="0.25">
      <c r="A40" s="7" t="s">
        <v>58</v>
      </c>
      <c r="B40" s="17">
        <f>B25-B39</f>
        <v>1537.3089583333333</v>
      </c>
      <c r="D40" s="7"/>
      <c r="E40" s="17"/>
    </row>
    <row r="41" spans="1:9" x14ac:dyDescent="0.25">
      <c r="A41" s="7" t="s">
        <v>59</v>
      </c>
      <c r="B41" s="43">
        <f>B21-B40-I25-I34</f>
        <v>-15.808958333333294</v>
      </c>
      <c r="D41" s="53"/>
      <c r="E41" s="54"/>
    </row>
    <row r="42" spans="1:9" ht="15.75" thickBot="1" x14ac:dyDescent="0.3">
      <c r="A42" s="46" t="s">
        <v>44</v>
      </c>
      <c r="B42" s="47">
        <f>(B41*12)/B17</f>
        <v>-1.4598499422854908E-2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696" priority="31" operator="equal">
      <formula>"NO"</formula>
    </cfRule>
    <cfRule type="cellIs" dxfId="7695" priority="32" operator="equal">
      <formula>"YES"</formula>
    </cfRule>
  </conditionalFormatting>
  <conditionalFormatting sqref="E38">
    <cfRule type="cellIs" dxfId="7694" priority="29" operator="equal">
      <formula>"YES"</formula>
    </cfRule>
    <cfRule type="cellIs" dxfId="7693" priority="30" operator="equal">
      <formula>"NO"</formula>
    </cfRule>
  </conditionalFormatting>
  <conditionalFormatting sqref="B23">
    <cfRule type="cellIs" dxfId="7692" priority="27" operator="equal">
      <formula>"NO"</formula>
    </cfRule>
    <cfRule type="cellIs" dxfId="7691" priority="28" operator="equal">
      <formula>"YES"</formula>
    </cfRule>
  </conditionalFormatting>
  <conditionalFormatting sqref="B12">
    <cfRule type="containsText" dxfId="7690" priority="13" operator="containsText" text="Low">
      <formula>NOT(ISERROR(SEARCH("Low",B12)))</formula>
    </cfRule>
    <cfRule type="containsText" dxfId="7689" priority="14" operator="containsText" text="Medium">
      <formula>NOT(ISERROR(SEARCH("Medium",B12)))</formula>
    </cfRule>
    <cfRule type="containsText" dxfId="7688" priority="15" operator="containsText" text="High">
      <formula>NOT(ISERROR(SEARCH("High",B12)))</formula>
    </cfRule>
  </conditionalFormatting>
  <conditionalFormatting sqref="B29">
    <cfRule type="cellIs" dxfId="7687" priority="23" operator="between">
      <formula>10%</formula>
      <formula>11.9%</formula>
    </cfRule>
    <cfRule type="cellIs" dxfId="7686" priority="25" operator="lessThan">
      <formula>0.1</formula>
    </cfRule>
    <cfRule type="cellIs" dxfId="7685" priority="26" operator="greaterThanOrEqual">
      <formula>0.12</formula>
    </cfRule>
  </conditionalFormatting>
  <conditionalFormatting sqref="B42">
    <cfRule type="cellIs" dxfId="7684" priority="21" operator="between">
      <formula>0.1</formula>
      <formula>0.1199</formula>
    </cfRule>
    <cfRule type="cellIs" dxfId="7683" priority="22" operator="lessThan">
      <formula>0.1</formula>
    </cfRule>
    <cfRule type="cellIs" dxfId="7682" priority="24" operator="greaterThanOrEqual">
      <formula>0.12</formula>
    </cfRule>
  </conditionalFormatting>
  <conditionalFormatting sqref="B10">
    <cfRule type="containsText" dxfId="7681" priority="16" operator="containsText" text="Full">
      <formula>NOT(ISERROR(SEARCH("Full",B10)))</formula>
    </cfRule>
    <cfRule type="containsText" dxfId="7680" priority="17" operator="containsText" text="Heavy">
      <formula>NOT(ISERROR(SEARCH("Heavy",B10)))</formula>
    </cfRule>
    <cfRule type="containsText" dxfId="7679" priority="18" operator="containsText" text="Medium">
      <formula>NOT(ISERROR(SEARCH("Medium",B10)))</formula>
    </cfRule>
    <cfRule type="containsText" dxfId="7678" priority="19" operator="containsText" text="Light">
      <formula>NOT(ISERROR(SEARCH("Light",B10)))</formula>
    </cfRule>
    <cfRule type="containsText" dxfId="7677" priority="20" operator="containsText" text="None">
      <formula>NOT(ISERROR(SEARCH("None",B10)))</formula>
    </cfRule>
  </conditionalFormatting>
  <conditionalFormatting sqref="E42">
    <cfRule type="cellIs" dxfId="7676" priority="10" operator="between">
      <formula>0.1</formula>
      <formula>0.119</formula>
    </cfRule>
    <cfRule type="cellIs" dxfId="7675" priority="11" operator="lessThan">
      <formula>0.1</formula>
    </cfRule>
    <cfRule type="cellIs" dxfId="7674" priority="12" operator="greaterThanOrEqual">
      <formula>0.12</formula>
    </cfRule>
  </conditionalFormatting>
  <conditionalFormatting sqref="B28">
    <cfRule type="cellIs" dxfId="7673" priority="33" operator="lessThan">
      <formula>$B$8*100</formula>
    </cfRule>
    <cfRule type="cellIs" dxfId="7672" priority="34" operator="greaterThanOrEqual">
      <formula>$B$8*100</formula>
    </cfRule>
  </conditionalFormatting>
  <conditionalFormatting sqref="B41">
    <cfRule type="cellIs" dxfId="7671" priority="35" operator="lessThan">
      <formula>$B$8*100</formula>
    </cfRule>
    <cfRule type="cellIs" dxfId="7670" priority="36" operator="greaterThan">
      <formula>$B$8*100</formula>
    </cfRule>
    <cfRule type="cellIs" dxfId="7669" priority="37" operator="greaterThan">
      <formula>$B$8*100</formula>
    </cfRule>
  </conditionalFormatting>
  <conditionalFormatting sqref="E41">
    <cfRule type="cellIs" dxfId="7668" priority="38" operator="greaterThan">
      <formula>$B$8*100</formula>
    </cfRule>
    <cfRule type="cellIs" dxfId="7667" priority="39" operator="lessThan">
      <formula>$B$8*100</formula>
    </cfRule>
  </conditionalFormatting>
  <conditionalFormatting sqref="B38">
    <cfRule type="cellIs" dxfId="7666" priority="8" operator="equal">
      <formula>"YES"</formula>
    </cfRule>
    <cfRule type="cellIs" dxfId="7665" priority="9" operator="equal">
      <formula>"NO"</formula>
    </cfRule>
  </conditionalFormatting>
  <conditionalFormatting sqref="E23:E26">
    <cfRule type="cellIs" dxfId="7664" priority="4" operator="equal">
      <formula>"NO"</formula>
    </cfRule>
    <cfRule type="cellIs" dxfId="7663" priority="5" operator="equal">
      <formula>"YES"</formula>
    </cfRule>
  </conditionalFormatting>
  <conditionalFormatting sqref="E29">
    <cfRule type="cellIs" dxfId="7662" priority="1" operator="between">
      <formula>10%</formula>
      <formula>12%</formula>
    </cfRule>
    <cfRule type="cellIs" dxfId="7661" priority="2" operator="lessThan">
      <formula>0.1</formula>
    </cfRule>
    <cfRule type="cellIs" dxfId="7660" priority="3" operator="greaterThan">
      <formula>0.12</formula>
    </cfRule>
  </conditionalFormatting>
  <conditionalFormatting sqref="E28">
    <cfRule type="cellIs" dxfId="7659" priority="6" operator="lessThan">
      <formula>$B$8*100</formula>
    </cfRule>
    <cfRule type="cellIs" dxfId="7658" priority="7" operator="greaterThan">
      <formula>$B$8*100</formula>
    </cfRule>
  </conditionalFormatting>
  <hyperlinks>
    <hyperlink ref="A32" r:id="rId1" display="https://www.zillow.com/homes/recently_sold/" xr:uid="{C460D1D4-5C4E-4CB7-9207-EB4EC4A9E9E1}"/>
    <hyperlink ref="A21" r:id="rId2" xr:uid="{10CC1D95-7706-41EE-B8EB-CFA113F4B418}"/>
    <hyperlink ref="A25" r:id="rId3" display="www.mortgagecalculator.org" xr:uid="{835DEA4F-D529-49BE-919E-17DF05F700B5}"/>
    <hyperlink ref="A12" r:id="rId4" xr:uid="{40B1CC07-C2F7-47E8-AB2B-936A947AACEC}"/>
  </hyperlinks>
  <pageMargins left="0.7" right="0.7" top="0.75" bottom="0.75" header="0.3" footer="0.3"/>
  <drawing r:id="rId5"/>
  <legacyDrawing r:id="rId6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DAD24-B205-4E62-A34A-715DBDFFA9E9}">
  <sheetPr codeName="Sheet23">
    <tabColor rgb="FFFF0000"/>
  </sheetPr>
  <dimension ref="A1:P42"/>
  <sheetViews>
    <sheetView topLeftCell="A12" workbookViewId="0">
      <selection activeCell="B25" sqref="B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1016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150000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7500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142500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1173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1500</v>
      </c>
      <c r="D22" s="7" t="s">
        <v>77</v>
      </c>
      <c r="E22" s="17">
        <f>B16*0.01</f>
        <v>1500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1109.23</v>
      </c>
      <c r="D25" s="7" t="s">
        <v>38</v>
      </c>
      <c r="E25" s="35">
        <f>B25</f>
        <v>1109.23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1285.18</v>
      </c>
      <c r="D26" s="7" t="s">
        <v>41</v>
      </c>
      <c r="E26" s="17">
        <f>E25+I25+I34</f>
        <v>1285.18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-112.18000000000006</v>
      </c>
      <c r="D28" s="7" t="s">
        <v>43</v>
      </c>
      <c r="E28" s="44">
        <f>E21-E25-I25-I34+I24+I33</f>
        <v>-235.18000000000004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-0.17948800000000009</v>
      </c>
      <c r="D29" s="46" t="s">
        <v>44</v>
      </c>
      <c r="E29" s="47">
        <f>(E28*12)/B17</f>
        <v>-0.37628800000000007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58.650000000000006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58.650000000000006</v>
      </c>
    </row>
    <row r="32" spans="1:16" x14ac:dyDescent="0.25">
      <c r="A32" s="26" t="s">
        <v>49</v>
      </c>
      <c r="B32" s="8">
        <f>B16</f>
        <v>150000</v>
      </c>
      <c r="G32" s="27" t="s">
        <v>50</v>
      </c>
      <c r="H32" s="48">
        <v>0.05</v>
      </c>
      <c r="I32" s="49">
        <f>$B$21*H32</f>
        <v>58.650000000000006</v>
      </c>
    </row>
    <row r="33" spans="1:9" x14ac:dyDescent="0.25">
      <c r="A33" s="7" t="s">
        <v>51</v>
      </c>
      <c r="B33" s="17">
        <f>B32-B18</f>
        <v>7500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175.95000000000002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100.9375</v>
      </c>
      <c r="D39" s="7"/>
      <c r="E39" s="17"/>
    </row>
    <row r="40" spans="1:9" x14ac:dyDescent="0.25">
      <c r="A40" s="7" t="s">
        <v>58</v>
      </c>
      <c r="B40" s="17">
        <f>B25-B39</f>
        <v>1008.2925</v>
      </c>
      <c r="D40" s="7"/>
      <c r="E40" s="17"/>
    </row>
    <row r="41" spans="1:9" x14ac:dyDescent="0.25">
      <c r="A41" s="7" t="s">
        <v>59</v>
      </c>
      <c r="B41" s="43">
        <f>B21-B40-I25-I34</f>
        <v>-11.242500000000035</v>
      </c>
      <c r="D41" s="53"/>
      <c r="E41" s="54"/>
    </row>
    <row r="42" spans="1:9" ht="15.75" thickBot="1" x14ac:dyDescent="0.3">
      <c r="A42" s="46" t="s">
        <v>44</v>
      </c>
      <c r="B42" s="47">
        <f>(B41*12)/B17</f>
        <v>-1.7988000000000056E-2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657" priority="31" operator="equal">
      <formula>"NO"</formula>
    </cfRule>
    <cfRule type="cellIs" dxfId="7656" priority="32" operator="equal">
      <formula>"YES"</formula>
    </cfRule>
  </conditionalFormatting>
  <conditionalFormatting sqref="E38">
    <cfRule type="cellIs" dxfId="7655" priority="29" operator="equal">
      <formula>"YES"</formula>
    </cfRule>
    <cfRule type="cellIs" dxfId="7654" priority="30" operator="equal">
      <formula>"NO"</formula>
    </cfRule>
  </conditionalFormatting>
  <conditionalFormatting sqref="B23">
    <cfRule type="cellIs" dxfId="7653" priority="27" operator="equal">
      <formula>"NO"</formula>
    </cfRule>
    <cfRule type="cellIs" dxfId="7652" priority="28" operator="equal">
      <formula>"YES"</formula>
    </cfRule>
  </conditionalFormatting>
  <conditionalFormatting sqref="B12">
    <cfRule type="containsText" dxfId="7651" priority="13" operator="containsText" text="Low">
      <formula>NOT(ISERROR(SEARCH("Low",B12)))</formula>
    </cfRule>
    <cfRule type="containsText" dxfId="7650" priority="14" operator="containsText" text="Medium">
      <formula>NOT(ISERROR(SEARCH("Medium",B12)))</formula>
    </cfRule>
    <cfRule type="containsText" dxfId="7649" priority="15" operator="containsText" text="High">
      <formula>NOT(ISERROR(SEARCH("High",B12)))</formula>
    </cfRule>
  </conditionalFormatting>
  <conditionalFormatting sqref="B29">
    <cfRule type="cellIs" dxfId="7648" priority="23" operator="between">
      <formula>10%</formula>
      <formula>11.9%</formula>
    </cfRule>
    <cfRule type="cellIs" dxfId="7647" priority="25" operator="lessThan">
      <formula>0.1</formula>
    </cfRule>
    <cfRule type="cellIs" dxfId="7646" priority="26" operator="greaterThanOrEqual">
      <formula>0.12</formula>
    </cfRule>
  </conditionalFormatting>
  <conditionalFormatting sqref="B42">
    <cfRule type="cellIs" dxfId="7645" priority="21" operator="between">
      <formula>0.1</formula>
      <formula>0.1199</formula>
    </cfRule>
    <cfRule type="cellIs" dxfId="7644" priority="22" operator="lessThan">
      <formula>0.1</formula>
    </cfRule>
    <cfRule type="cellIs" dxfId="7643" priority="24" operator="greaterThanOrEqual">
      <formula>0.12</formula>
    </cfRule>
  </conditionalFormatting>
  <conditionalFormatting sqref="B10">
    <cfRule type="containsText" dxfId="7642" priority="16" operator="containsText" text="Full">
      <formula>NOT(ISERROR(SEARCH("Full",B10)))</formula>
    </cfRule>
    <cfRule type="containsText" dxfId="7641" priority="17" operator="containsText" text="Heavy">
      <formula>NOT(ISERROR(SEARCH("Heavy",B10)))</formula>
    </cfRule>
    <cfRule type="containsText" dxfId="7640" priority="18" operator="containsText" text="Medium">
      <formula>NOT(ISERROR(SEARCH("Medium",B10)))</formula>
    </cfRule>
    <cfRule type="containsText" dxfId="7639" priority="19" operator="containsText" text="Light">
      <formula>NOT(ISERROR(SEARCH("Light",B10)))</formula>
    </cfRule>
    <cfRule type="containsText" dxfId="7638" priority="20" operator="containsText" text="None">
      <formula>NOT(ISERROR(SEARCH("None",B10)))</formula>
    </cfRule>
  </conditionalFormatting>
  <conditionalFormatting sqref="E42">
    <cfRule type="cellIs" dxfId="7637" priority="10" operator="between">
      <formula>0.1</formula>
      <formula>0.119</formula>
    </cfRule>
    <cfRule type="cellIs" dxfId="7636" priority="11" operator="lessThan">
      <formula>0.1</formula>
    </cfRule>
    <cfRule type="cellIs" dxfId="7635" priority="12" operator="greaterThanOrEqual">
      <formula>0.12</formula>
    </cfRule>
  </conditionalFormatting>
  <conditionalFormatting sqref="B28">
    <cfRule type="cellIs" dxfId="7634" priority="33" operator="lessThan">
      <formula>$B$8*100</formula>
    </cfRule>
    <cfRule type="cellIs" dxfId="7633" priority="34" operator="greaterThanOrEqual">
      <formula>$B$8*100</formula>
    </cfRule>
  </conditionalFormatting>
  <conditionalFormatting sqref="B41">
    <cfRule type="cellIs" dxfId="7632" priority="35" operator="lessThan">
      <formula>$B$8*100</formula>
    </cfRule>
    <cfRule type="cellIs" dxfId="7631" priority="36" operator="greaterThan">
      <formula>$B$8*100</formula>
    </cfRule>
    <cfRule type="cellIs" dxfId="7630" priority="37" operator="greaterThan">
      <formula>$B$8*100</formula>
    </cfRule>
  </conditionalFormatting>
  <conditionalFormatting sqref="E41">
    <cfRule type="cellIs" dxfId="7629" priority="38" operator="greaterThan">
      <formula>$B$8*100</formula>
    </cfRule>
    <cfRule type="cellIs" dxfId="7628" priority="39" operator="lessThan">
      <formula>$B$8*100</formula>
    </cfRule>
  </conditionalFormatting>
  <conditionalFormatting sqref="B38">
    <cfRule type="cellIs" dxfId="7627" priority="8" operator="equal">
      <formula>"YES"</formula>
    </cfRule>
    <cfRule type="cellIs" dxfId="7626" priority="9" operator="equal">
      <formula>"NO"</formula>
    </cfRule>
  </conditionalFormatting>
  <conditionalFormatting sqref="E23:E26">
    <cfRule type="cellIs" dxfId="7625" priority="4" operator="equal">
      <formula>"NO"</formula>
    </cfRule>
    <cfRule type="cellIs" dxfId="7624" priority="5" operator="equal">
      <formula>"YES"</formula>
    </cfRule>
  </conditionalFormatting>
  <conditionalFormatting sqref="E29">
    <cfRule type="cellIs" dxfId="7623" priority="1" operator="between">
      <formula>10%</formula>
      <formula>12%</formula>
    </cfRule>
    <cfRule type="cellIs" dxfId="7622" priority="2" operator="lessThan">
      <formula>0.1</formula>
    </cfRule>
    <cfRule type="cellIs" dxfId="7621" priority="3" operator="greaterThan">
      <formula>0.12</formula>
    </cfRule>
  </conditionalFormatting>
  <conditionalFormatting sqref="E28">
    <cfRule type="cellIs" dxfId="7620" priority="6" operator="lessThan">
      <formula>$B$8*100</formula>
    </cfRule>
    <cfRule type="cellIs" dxfId="7619" priority="7" operator="greaterThan">
      <formula>$B$8*100</formula>
    </cfRule>
  </conditionalFormatting>
  <hyperlinks>
    <hyperlink ref="A32" r:id="rId1" display="https://www.zillow.com/homes/recently_sold/" xr:uid="{C2449011-277E-416E-8190-B3FAF2EA3F7B}"/>
    <hyperlink ref="A21" r:id="rId2" xr:uid="{25750808-12E2-487E-A4BF-6230B5320DBF}"/>
    <hyperlink ref="A25" r:id="rId3" display="www.mortgagecalculator.org" xr:uid="{1C1A6F21-65F2-43F5-86ED-F10D99E408C7}"/>
    <hyperlink ref="A12" r:id="rId4" xr:uid="{3A17DF10-B042-4AAE-B023-D7A7963B7351}"/>
  </hyperlinks>
  <pageMargins left="0.7" right="0.7" top="0.75" bottom="0.75" header="0.3" footer="0.3"/>
  <drawing r:id="rId5"/>
  <legacyDrawing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86A86-7070-4A54-BF15-F75B1C66E735}">
  <sheetPr codeName="Sheet24">
    <tabColor rgb="FF00B050"/>
  </sheetPr>
  <dimension ref="A1:P42"/>
  <sheetViews>
    <sheetView topLeftCell="A2" workbookViewId="0">
      <selection activeCell="A16" sqref="A1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99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267420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267420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267420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13371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254049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2280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2674.2000000000003</v>
      </c>
      <c r="D22" s="7" t="s">
        <v>77</v>
      </c>
      <c r="E22" s="17">
        <f>B16*0.01</f>
        <v>2674.2000000000003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1664.42</v>
      </c>
      <c r="D25" s="7" t="s">
        <v>38</v>
      </c>
      <c r="E25" s="35">
        <f>B25</f>
        <v>1664.42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2006.42</v>
      </c>
      <c r="D26" s="7" t="s">
        <v>41</v>
      </c>
      <c r="E26" s="17">
        <f>E25+I25+I34</f>
        <v>2006.42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273.57999999999993</v>
      </c>
      <c r="D28" s="7" t="s">
        <v>43</v>
      </c>
      <c r="E28" s="44">
        <f>E21-E25-I25-I34+I24+I33</f>
        <v>-956.42000000000007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0.24552838231994609</v>
      </c>
      <c r="D29" s="46" t="s">
        <v>44</v>
      </c>
      <c r="E29" s="47">
        <f>(E28*12)/B17</f>
        <v>-0.8583531523446265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114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114</v>
      </c>
    </row>
    <row r="32" spans="1:16" x14ac:dyDescent="0.25">
      <c r="A32" s="26" t="s">
        <v>49</v>
      </c>
      <c r="B32" s="8">
        <f>B16</f>
        <v>267420</v>
      </c>
      <c r="G32" s="27" t="s">
        <v>50</v>
      </c>
      <c r="H32" s="48">
        <v>0.05</v>
      </c>
      <c r="I32" s="49">
        <f>$B$21*H32</f>
        <v>114</v>
      </c>
    </row>
    <row r="33" spans="1:9" x14ac:dyDescent="0.25">
      <c r="A33" s="7" t="s">
        <v>51</v>
      </c>
      <c r="B33" s="17">
        <f>B32-B18</f>
        <v>13371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342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179.95137500000001</v>
      </c>
      <c r="D39" s="7"/>
      <c r="E39" s="17"/>
    </row>
    <row r="40" spans="1:9" x14ac:dyDescent="0.25">
      <c r="A40" s="7" t="s">
        <v>58</v>
      </c>
      <c r="B40" s="17">
        <f>B25-B39</f>
        <v>1484.468625</v>
      </c>
      <c r="D40" s="7"/>
      <c r="E40" s="17"/>
    </row>
    <row r="41" spans="1:9" x14ac:dyDescent="0.25">
      <c r="A41" s="7" t="s">
        <v>59</v>
      </c>
      <c r="B41" s="43">
        <f>B21-B40-I25-I34</f>
        <v>453.53137500000003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0.4070283823199462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618" priority="31" operator="equal">
      <formula>"NO"</formula>
    </cfRule>
    <cfRule type="cellIs" dxfId="7617" priority="32" operator="equal">
      <formula>"YES"</formula>
    </cfRule>
  </conditionalFormatting>
  <conditionalFormatting sqref="E38">
    <cfRule type="cellIs" dxfId="7616" priority="29" operator="equal">
      <formula>"YES"</formula>
    </cfRule>
    <cfRule type="cellIs" dxfId="7615" priority="30" operator="equal">
      <formula>"NO"</formula>
    </cfRule>
  </conditionalFormatting>
  <conditionalFormatting sqref="B23">
    <cfRule type="cellIs" dxfId="7614" priority="27" operator="equal">
      <formula>"NO"</formula>
    </cfRule>
    <cfRule type="cellIs" dxfId="7613" priority="28" operator="equal">
      <formula>"YES"</formula>
    </cfRule>
  </conditionalFormatting>
  <conditionalFormatting sqref="B12">
    <cfRule type="containsText" dxfId="7612" priority="13" operator="containsText" text="Low">
      <formula>NOT(ISERROR(SEARCH("Low",B12)))</formula>
    </cfRule>
    <cfRule type="containsText" dxfId="7611" priority="14" operator="containsText" text="Medium">
      <formula>NOT(ISERROR(SEARCH("Medium",B12)))</formula>
    </cfRule>
    <cfRule type="containsText" dxfId="7610" priority="15" operator="containsText" text="High">
      <formula>NOT(ISERROR(SEARCH("High",B12)))</formula>
    </cfRule>
  </conditionalFormatting>
  <conditionalFormatting sqref="B29">
    <cfRule type="cellIs" dxfId="7609" priority="23" operator="between">
      <formula>10%</formula>
      <formula>11.9%</formula>
    </cfRule>
    <cfRule type="cellIs" dxfId="7608" priority="25" operator="lessThan">
      <formula>0.1</formula>
    </cfRule>
    <cfRule type="cellIs" dxfId="7607" priority="26" operator="greaterThanOrEqual">
      <formula>0.12</formula>
    </cfRule>
  </conditionalFormatting>
  <conditionalFormatting sqref="B42">
    <cfRule type="cellIs" dxfId="7606" priority="21" operator="between">
      <formula>0.1</formula>
      <formula>0.1199</formula>
    </cfRule>
    <cfRule type="cellIs" dxfId="7605" priority="22" operator="lessThan">
      <formula>0.1</formula>
    </cfRule>
    <cfRule type="cellIs" dxfId="7604" priority="24" operator="greaterThanOrEqual">
      <formula>0.12</formula>
    </cfRule>
  </conditionalFormatting>
  <conditionalFormatting sqref="B10">
    <cfRule type="containsText" dxfId="7603" priority="16" operator="containsText" text="Full">
      <formula>NOT(ISERROR(SEARCH("Full",B10)))</formula>
    </cfRule>
    <cfRule type="containsText" dxfId="7602" priority="17" operator="containsText" text="Heavy">
      <formula>NOT(ISERROR(SEARCH("Heavy",B10)))</formula>
    </cfRule>
    <cfRule type="containsText" dxfId="7601" priority="18" operator="containsText" text="Medium">
      <formula>NOT(ISERROR(SEARCH("Medium",B10)))</formula>
    </cfRule>
    <cfRule type="containsText" dxfId="7600" priority="19" operator="containsText" text="Light">
      <formula>NOT(ISERROR(SEARCH("Light",B10)))</formula>
    </cfRule>
    <cfRule type="containsText" dxfId="7599" priority="20" operator="containsText" text="None">
      <formula>NOT(ISERROR(SEARCH("None",B10)))</formula>
    </cfRule>
  </conditionalFormatting>
  <conditionalFormatting sqref="E42">
    <cfRule type="cellIs" dxfId="7598" priority="10" operator="between">
      <formula>0.1</formula>
      <formula>0.119</formula>
    </cfRule>
    <cfRule type="cellIs" dxfId="7597" priority="11" operator="lessThan">
      <formula>0.1</formula>
    </cfRule>
    <cfRule type="cellIs" dxfId="7596" priority="12" operator="greaterThanOrEqual">
      <formula>0.12</formula>
    </cfRule>
  </conditionalFormatting>
  <conditionalFormatting sqref="B28">
    <cfRule type="cellIs" dxfId="7595" priority="33" operator="lessThan">
      <formula>$B$8*100</formula>
    </cfRule>
    <cfRule type="cellIs" dxfId="7594" priority="34" operator="greaterThanOrEqual">
      <formula>$B$8*100</formula>
    </cfRule>
  </conditionalFormatting>
  <conditionalFormatting sqref="B41">
    <cfRule type="cellIs" dxfId="7593" priority="35" operator="lessThan">
      <formula>$B$8*100</formula>
    </cfRule>
    <cfRule type="cellIs" dxfId="7592" priority="36" operator="greaterThan">
      <formula>$B$8*100</formula>
    </cfRule>
    <cfRule type="cellIs" dxfId="7591" priority="37" operator="greaterThan">
      <formula>$B$8*100</formula>
    </cfRule>
  </conditionalFormatting>
  <conditionalFormatting sqref="E41">
    <cfRule type="cellIs" dxfId="7590" priority="38" operator="greaterThan">
      <formula>$B$8*100</formula>
    </cfRule>
    <cfRule type="cellIs" dxfId="7589" priority="39" operator="lessThan">
      <formula>$B$8*100</formula>
    </cfRule>
  </conditionalFormatting>
  <conditionalFormatting sqref="B38">
    <cfRule type="cellIs" dxfId="7588" priority="8" operator="equal">
      <formula>"YES"</formula>
    </cfRule>
    <cfRule type="cellIs" dxfId="7587" priority="9" operator="equal">
      <formula>"NO"</formula>
    </cfRule>
  </conditionalFormatting>
  <conditionalFormatting sqref="E23:E26">
    <cfRule type="cellIs" dxfId="7586" priority="4" operator="equal">
      <formula>"NO"</formula>
    </cfRule>
    <cfRule type="cellIs" dxfId="7585" priority="5" operator="equal">
      <formula>"YES"</formula>
    </cfRule>
  </conditionalFormatting>
  <conditionalFormatting sqref="E29">
    <cfRule type="cellIs" dxfId="7584" priority="1" operator="between">
      <formula>10%</formula>
      <formula>12%</formula>
    </cfRule>
    <cfRule type="cellIs" dxfId="7583" priority="2" operator="lessThan">
      <formula>0.1</formula>
    </cfRule>
    <cfRule type="cellIs" dxfId="7582" priority="3" operator="greaterThan">
      <formula>0.12</formula>
    </cfRule>
  </conditionalFormatting>
  <conditionalFormatting sqref="E28">
    <cfRule type="cellIs" dxfId="7581" priority="6" operator="lessThan">
      <formula>$B$8*100</formula>
    </cfRule>
    <cfRule type="cellIs" dxfId="7580" priority="7" operator="greaterThan">
      <formula>$B$8*100</formula>
    </cfRule>
  </conditionalFormatting>
  <hyperlinks>
    <hyperlink ref="A32" r:id="rId1" display="https://www.zillow.com/homes/recently_sold/" xr:uid="{92B94C3B-BE80-4C27-A392-504A1F0ED4B4}"/>
    <hyperlink ref="A21" r:id="rId2" xr:uid="{C1869934-1584-4E0D-9249-2D1F843D2B20}"/>
    <hyperlink ref="A25" r:id="rId3" display="www.mortgagecalculator.org" xr:uid="{F0E1C291-4730-4209-9DA0-00A055C4B42E}"/>
    <hyperlink ref="A12" r:id="rId4" xr:uid="{6C7BF09D-06C5-42B5-8996-E4C38AC49C96}"/>
  </hyperlinks>
  <pageMargins left="0.7" right="0.7" top="0.75" bottom="0.75" header="0.3" footer="0.3"/>
  <drawing r:id="rId5"/>
  <legacyDrawing r:id="rId6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8A865-9FD3-4D7D-ADB9-18959DA9F895}">
  <sheetPr codeName="Sheet25">
    <tabColor rgb="FFFF0000"/>
  </sheetPr>
  <dimension ref="A1:P42"/>
  <sheetViews>
    <sheetView topLeftCell="A8" workbookViewId="0">
      <selection activeCell="B21" sqref="B2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167900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1276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142715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142715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7135.75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135579.25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1242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1427.15</v>
      </c>
      <c r="D22" s="7" t="s">
        <v>77</v>
      </c>
      <c r="E22" s="17">
        <f>B16*0.01</f>
        <v>1427.15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1116.45</v>
      </c>
      <c r="D25" s="7" t="s">
        <v>38</v>
      </c>
      <c r="E25" s="35">
        <f>B25</f>
        <v>1116.45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1302.75</v>
      </c>
      <c r="D26" s="7" t="s">
        <v>41</v>
      </c>
      <c r="E26" s="17">
        <f>E25+I25+I34</f>
        <v>1302.75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-60.75</v>
      </c>
      <c r="D28" s="7" t="s">
        <v>43</v>
      </c>
      <c r="E28" s="44">
        <f>E21-E25-I25-I34+I24+I33</f>
        <v>-252.75000000000006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-0.10216165084258838</v>
      </c>
      <c r="D29" s="46" t="s">
        <v>44</v>
      </c>
      <c r="E29" s="47">
        <f>(E28*12)/B17</f>
        <v>-0.42504291770311475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62.1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62.1</v>
      </c>
    </row>
    <row r="32" spans="1:16" x14ac:dyDescent="0.25">
      <c r="A32" s="26" t="s">
        <v>49</v>
      </c>
      <c r="B32" s="8">
        <f>B16</f>
        <v>142715</v>
      </c>
      <c r="G32" s="27" t="s">
        <v>50</v>
      </c>
      <c r="H32" s="48">
        <v>0.05</v>
      </c>
      <c r="I32" s="49">
        <f>$B$21*H32</f>
        <v>62.1</v>
      </c>
    </row>
    <row r="33" spans="1:9" x14ac:dyDescent="0.25">
      <c r="A33" s="7" t="s">
        <v>51</v>
      </c>
      <c r="B33" s="17">
        <f>B32-B18</f>
        <v>7135.75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186.3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96.035302083333349</v>
      </c>
      <c r="D39" s="7"/>
      <c r="E39" s="17"/>
    </row>
    <row r="40" spans="1:9" x14ac:dyDescent="0.25">
      <c r="A40" s="7" t="s">
        <v>58</v>
      </c>
      <c r="B40" s="17">
        <f>B25-B39</f>
        <v>1020.4146979166667</v>
      </c>
      <c r="D40" s="7"/>
      <c r="E40" s="17"/>
    </row>
    <row r="41" spans="1:9" x14ac:dyDescent="0.25">
      <c r="A41" s="7" t="s">
        <v>59</v>
      </c>
      <c r="B41" s="43">
        <f>B21-B40-I25-I34</f>
        <v>35.285302083333306</v>
      </c>
      <c r="D41" s="53"/>
      <c r="E41" s="54"/>
    </row>
    <row r="42" spans="1:9" ht="15.75" thickBot="1" x14ac:dyDescent="0.3">
      <c r="A42" s="46" t="s">
        <v>44</v>
      </c>
      <c r="B42" s="47">
        <f>(B41*12)/B17</f>
        <v>5.9338349157411582E-2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579" priority="31" operator="equal">
      <formula>"NO"</formula>
    </cfRule>
    <cfRule type="cellIs" dxfId="7578" priority="32" operator="equal">
      <formula>"YES"</formula>
    </cfRule>
  </conditionalFormatting>
  <conditionalFormatting sqref="E38">
    <cfRule type="cellIs" dxfId="7577" priority="29" operator="equal">
      <formula>"YES"</formula>
    </cfRule>
    <cfRule type="cellIs" dxfId="7576" priority="30" operator="equal">
      <formula>"NO"</formula>
    </cfRule>
  </conditionalFormatting>
  <conditionalFormatting sqref="B23">
    <cfRule type="cellIs" dxfId="7575" priority="27" operator="equal">
      <formula>"NO"</formula>
    </cfRule>
    <cfRule type="cellIs" dxfId="7574" priority="28" operator="equal">
      <formula>"YES"</formula>
    </cfRule>
  </conditionalFormatting>
  <conditionalFormatting sqref="B12">
    <cfRule type="containsText" dxfId="7573" priority="13" operator="containsText" text="Low">
      <formula>NOT(ISERROR(SEARCH("Low",B12)))</formula>
    </cfRule>
    <cfRule type="containsText" dxfId="7572" priority="14" operator="containsText" text="Medium">
      <formula>NOT(ISERROR(SEARCH("Medium",B12)))</formula>
    </cfRule>
    <cfRule type="containsText" dxfId="7571" priority="15" operator="containsText" text="High">
      <formula>NOT(ISERROR(SEARCH("High",B12)))</formula>
    </cfRule>
  </conditionalFormatting>
  <conditionalFormatting sqref="B29">
    <cfRule type="cellIs" dxfId="7570" priority="23" operator="between">
      <formula>10%</formula>
      <formula>11.9%</formula>
    </cfRule>
    <cfRule type="cellIs" dxfId="7569" priority="25" operator="lessThan">
      <formula>0.1</formula>
    </cfRule>
    <cfRule type="cellIs" dxfId="7568" priority="26" operator="greaterThanOrEqual">
      <formula>0.12</formula>
    </cfRule>
  </conditionalFormatting>
  <conditionalFormatting sqref="B42">
    <cfRule type="cellIs" dxfId="7567" priority="21" operator="between">
      <formula>0.1</formula>
      <formula>0.1199</formula>
    </cfRule>
    <cfRule type="cellIs" dxfId="7566" priority="22" operator="lessThan">
      <formula>0.1</formula>
    </cfRule>
    <cfRule type="cellIs" dxfId="7565" priority="24" operator="greaterThanOrEqual">
      <formula>0.12</formula>
    </cfRule>
  </conditionalFormatting>
  <conditionalFormatting sqref="B10">
    <cfRule type="containsText" dxfId="7564" priority="16" operator="containsText" text="Full">
      <formula>NOT(ISERROR(SEARCH("Full",B10)))</formula>
    </cfRule>
    <cfRule type="containsText" dxfId="7563" priority="17" operator="containsText" text="Heavy">
      <formula>NOT(ISERROR(SEARCH("Heavy",B10)))</formula>
    </cfRule>
    <cfRule type="containsText" dxfId="7562" priority="18" operator="containsText" text="Medium">
      <formula>NOT(ISERROR(SEARCH("Medium",B10)))</formula>
    </cfRule>
    <cfRule type="containsText" dxfId="7561" priority="19" operator="containsText" text="Light">
      <formula>NOT(ISERROR(SEARCH("Light",B10)))</formula>
    </cfRule>
    <cfRule type="containsText" dxfId="7560" priority="20" operator="containsText" text="None">
      <formula>NOT(ISERROR(SEARCH("None",B10)))</formula>
    </cfRule>
  </conditionalFormatting>
  <conditionalFormatting sqref="E42">
    <cfRule type="cellIs" dxfId="7559" priority="10" operator="between">
      <formula>0.1</formula>
      <formula>0.119</formula>
    </cfRule>
    <cfRule type="cellIs" dxfId="7558" priority="11" operator="lessThan">
      <formula>0.1</formula>
    </cfRule>
    <cfRule type="cellIs" dxfId="7557" priority="12" operator="greaterThanOrEqual">
      <formula>0.12</formula>
    </cfRule>
  </conditionalFormatting>
  <conditionalFormatting sqref="B28">
    <cfRule type="cellIs" dxfId="7556" priority="33" operator="lessThan">
      <formula>$B$8*100</formula>
    </cfRule>
    <cfRule type="cellIs" dxfId="7555" priority="34" operator="greaterThanOrEqual">
      <formula>$B$8*100</formula>
    </cfRule>
  </conditionalFormatting>
  <conditionalFormatting sqref="B41">
    <cfRule type="cellIs" dxfId="7554" priority="35" operator="lessThan">
      <formula>$B$8*100</formula>
    </cfRule>
    <cfRule type="cellIs" dxfId="7553" priority="36" operator="greaterThan">
      <formula>$B$8*100</formula>
    </cfRule>
    <cfRule type="cellIs" dxfId="7552" priority="37" operator="greaterThan">
      <formula>$B$8*100</formula>
    </cfRule>
  </conditionalFormatting>
  <conditionalFormatting sqref="E41">
    <cfRule type="cellIs" dxfId="7551" priority="38" operator="greaterThan">
      <formula>$B$8*100</formula>
    </cfRule>
    <cfRule type="cellIs" dxfId="7550" priority="39" operator="lessThan">
      <formula>$B$8*100</formula>
    </cfRule>
  </conditionalFormatting>
  <conditionalFormatting sqref="B38">
    <cfRule type="cellIs" dxfId="7549" priority="8" operator="equal">
      <formula>"YES"</formula>
    </cfRule>
    <cfRule type="cellIs" dxfId="7548" priority="9" operator="equal">
      <formula>"NO"</formula>
    </cfRule>
  </conditionalFormatting>
  <conditionalFormatting sqref="E23:E26">
    <cfRule type="cellIs" dxfId="7547" priority="4" operator="equal">
      <formula>"NO"</formula>
    </cfRule>
    <cfRule type="cellIs" dxfId="7546" priority="5" operator="equal">
      <formula>"YES"</formula>
    </cfRule>
  </conditionalFormatting>
  <conditionalFormatting sqref="E29">
    <cfRule type="cellIs" dxfId="7545" priority="1" operator="between">
      <formula>10%</formula>
      <formula>12%</formula>
    </cfRule>
    <cfRule type="cellIs" dxfId="7544" priority="2" operator="lessThan">
      <formula>0.1</formula>
    </cfRule>
    <cfRule type="cellIs" dxfId="7543" priority="3" operator="greaterThan">
      <formula>0.12</formula>
    </cfRule>
  </conditionalFormatting>
  <conditionalFormatting sqref="E28">
    <cfRule type="cellIs" dxfId="7542" priority="6" operator="lessThan">
      <formula>$B$8*100</formula>
    </cfRule>
    <cfRule type="cellIs" dxfId="7541" priority="7" operator="greaterThan">
      <formula>$B$8*100</formula>
    </cfRule>
  </conditionalFormatting>
  <hyperlinks>
    <hyperlink ref="A32" r:id="rId1" display="https://www.zillow.com/homes/recently_sold/" xr:uid="{0FCF1C23-D27E-46E5-B36B-4AD3CE812103}"/>
    <hyperlink ref="A21" r:id="rId2" xr:uid="{0C3760BB-9F04-4CA3-BABC-1D28350E5A13}"/>
    <hyperlink ref="A25" r:id="rId3" display="www.mortgagecalculator.org" xr:uid="{6B8729DE-D5F3-4F0C-A4FE-1F9D750AA017}"/>
    <hyperlink ref="A12" r:id="rId4" xr:uid="{032D2DBB-B4C1-4484-A518-44C83E53AE72}"/>
  </hyperlinks>
  <pageMargins left="0.7" right="0.7" top="0.75" bottom="0.75" header="0.3" footer="0.3"/>
  <drawing r:id="rId5"/>
  <legacyDrawing r:id="rId6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BF67-F6DB-4227-8BE2-0974A776D5BC}">
  <sheetPr codeName="Sheet26">
    <tabColor rgb="FF00B050"/>
  </sheetPr>
  <dimension ref="A1:P42"/>
  <sheetViews>
    <sheetView topLeftCell="A3" workbookViewId="0">
      <selection activeCell="C20" sqref="C2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864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149900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30240</v>
      </c>
      <c r="D15" s="2"/>
      <c r="E15" s="3"/>
    </row>
    <row r="16" spans="1:10" x14ac:dyDescent="0.25">
      <c r="A16" s="7" t="s">
        <v>20</v>
      </c>
      <c r="B16" s="17">
        <f>B15+B13</f>
        <v>180140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6304.9000000000005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173835.1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1801.4</v>
      </c>
      <c r="D22" s="7" t="s">
        <v>77</v>
      </c>
      <c r="E22" s="17">
        <f>B16*0.01</f>
        <v>1801.4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1251.3900000000001</v>
      </c>
      <c r="D25" s="7" t="s">
        <v>38</v>
      </c>
      <c r="E25" s="35">
        <f>B25</f>
        <v>1251.3900000000001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1521.39</v>
      </c>
      <c r="D26" s="7" t="s">
        <v>41</v>
      </c>
      <c r="E26" s="17">
        <f>E25+I25+I34</f>
        <v>1521.39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278.6099999999999</v>
      </c>
      <c r="D28" s="7" t="s">
        <v>43</v>
      </c>
      <c r="E28" s="44">
        <f>E21-E25-I25-I34+I24+I33</f>
        <v>-471.3900000000001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0.53027327951275971</v>
      </c>
      <c r="D29" s="46" t="s">
        <v>44</v>
      </c>
      <c r="E29" s="47">
        <f>(E28*12)/B17</f>
        <v>-0.89718790147345728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</v>
      </c>
    </row>
    <row r="32" spans="1:16" x14ac:dyDescent="0.25">
      <c r="A32" s="26" t="s">
        <v>49</v>
      </c>
      <c r="B32" s="8">
        <f>B16</f>
        <v>180140</v>
      </c>
      <c r="G32" s="27" t="s">
        <v>50</v>
      </c>
      <c r="H32" s="48">
        <v>0.05</v>
      </c>
      <c r="I32" s="49">
        <f>$B$21*H32</f>
        <v>90</v>
      </c>
    </row>
    <row r="33" spans="1:9" x14ac:dyDescent="0.25">
      <c r="A33" s="7" t="s">
        <v>51</v>
      </c>
      <c r="B33" s="17">
        <f>B32-B18</f>
        <v>6304.8999999999942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</v>
      </c>
      <c r="G34" s="36" t="s">
        <v>39</v>
      </c>
      <c r="H34" s="37"/>
      <c r="I34" s="51">
        <f>SUM(I30:I33)</f>
        <v>270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0.96500000000000008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123.13319583333335</v>
      </c>
      <c r="D39" s="7"/>
      <c r="E39" s="17"/>
    </row>
    <row r="40" spans="1:9" x14ac:dyDescent="0.25">
      <c r="A40" s="7" t="s">
        <v>58</v>
      </c>
      <c r="B40" s="17">
        <f>B25-B39</f>
        <v>1128.2568041666668</v>
      </c>
      <c r="D40" s="7"/>
      <c r="E40" s="17"/>
    </row>
    <row r="41" spans="1:9" x14ac:dyDescent="0.25">
      <c r="A41" s="7" t="s">
        <v>59</v>
      </c>
      <c r="B41" s="43">
        <f>B21-B40-I25-I34</f>
        <v>401.74319583333317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0.76463042236990242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540" priority="31" operator="equal">
      <formula>"NO"</formula>
    </cfRule>
    <cfRule type="cellIs" dxfId="7539" priority="32" operator="equal">
      <formula>"YES"</formula>
    </cfRule>
  </conditionalFormatting>
  <conditionalFormatting sqref="E38">
    <cfRule type="cellIs" dxfId="7538" priority="29" operator="equal">
      <formula>"YES"</formula>
    </cfRule>
    <cfRule type="cellIs" dxfId="7537" priority="30" operator="equal">
      <formula>"NO"</formula>
    </cfRule>
  </conditionalFormatting>
  <conditionalFormatting sqref="B23">
    <cfRule type="cellIs" dxfId="7536" priority="27" operator="equal">
      <formula>"NO"</formula>
    </cfRule>
    <cfRule type="cellIs" dxfId="7535" priority="28" operator="equal">
      <formula>"YES"</formula>
    </cfRule>
  </conditionalFormatting>
  <conditionalFormatting sqref="B12">
    <cfRule type="containsText" dxfId="7534" priority="13" operator="containsText" text="Low">
      <formula>NOT(ISERROR(SEARCH("Low",B12)))</formula>
    </cfRule>
    <cfRule type="containsText" dxfId="7533" priority="14" operator="containsText" text="Medium">
      <formula>NOT(ISERROR(SEARCH("Medium",B12)))</formula>
    </cfRule>
    <cfRule type="containsText" dxfId="7532" priority="15" operator="containsText" text="High">
      <formula>NOT(ISERROR(SEARCH("High",B12)))</formula>
    </cfRule>
  </conditionalFormatting>
  <conditionalFormatting sqref="B29">
    <cfRule type="cellIs" dxfId="7531" priority="23" operator="between">
      <formula>10%</formula>
      <formula>11.9%</formula>
    </cfRule>
    <cfRule type="cellIs" dxfId="7530" priority="25" operator="lessThan">
      <formula>0.1</formula>
    </cfRule>
    <cfRule type="cellIs" dxfId="7529" priority="26" operator="greaterThanOrEqual">
      <formula>0.12</formula>
    </cfRule>
  </conditionalFormatting>
  <conditionalFormatting sqref="B42">
    <cfRule type="cellIs" dxfId="7528" priority="21" operator="between">
      <formula>0.1</formula>
      <formula>0.1199</formula>
    </cfRule>
    <cfRule type="cellIs" dxfId="7527" priority="22" operator="lessThan">
      <formula>0.1</formula>
    </cfRule>
    <cfRule type="cellIs" dxfId="7526" priority="24" operator="greaterThanOrEqual">
      <formula>0.12</formula>
    </cfRule>
  </conditionalFormatting>
  <conditionalFormatting sqref="B10">
    <cfRule type="containsText" dxfId="7525" priority="16" operator="containsText" text="Full">
      <formula>NOT(ISERROR(SEARCH("Full",B10)))</formula>
    </cfRule>
    <cfRule type="containsText" dxfId="7524" priority="17" operator="containsText" text="Heavy">
      <formula>NOT(ISERROR(SEARCH("Heavy",B10)))</formula>
    </cfRule>
    <cfRule type="containsText" dxfId="7523" priority="18" operator="containsText" text="Medium">
      <formula>NOT(ISERROR(SEARCH("Medium",B10)))</formula>
    </cfRule>
    <cfRule type="containsText" dxfId="7522" priority="19" operator="containsText" text="Light">
      <formula>NOT(ISERROR(SEARCH("Light",B10)))</formula>
    </cfRule>
    <cfRule type="containsText" dxfId="7521" priority="20" operator="containsText" text="None">
      <formula>NOT(ISERROR(SEARCH("None",B10)))</formula>
    </cfRule>
  </conditionalFormatting>
  <conditionalFormatting sqref="E42">
    <cfRule type="cellIs" dxfId="7520" priority="10" operator="between">
      <formula>0.1</formula>
      <formula>0.119</formula>
    </cfRule>
    <cfRule type="cellIs" dxfId="7519" priority="11" operator="lessThan">
      <formula>0.1</formula>
    </cfRule>
    <cfRule type="cellIs" dxfId="7518" priority="12" operator="greaterThanOrEqual">
      <formula>0.12</formula>
    </cfRule>
  </conditionalFormatting>
  <conditionalFormatting sqref="B28">
    <cfRule type="cellIs" dxfId="7517" priority="33" operator="lessThan">
      <formula>$B$8*100</formula>
    </cfRule>
    <cfRule type="cellIs" dxfId="7516" priority="34" operator="greaterThanOrEqual">
      <formula>$B$8*100</formula>
    </cfRule>
  </conditionalFormatting>
  <conditionalFormatting sqref="B41">
    <cfRule type="cellIs" dxfId="7515" priority="35" operator="lessThan">
      <formula>$B$8*100</formula>
    </cfRule>
    <cfRule type="cellIs" dxfId="7514" priority="36" operator="greaterThan">
      <formula>$B$8*100</formula>
    </cfRule>
    <cfRule type="cellIs" dxfId="7513" priority="37" operator="greaterThan">
      <formula>$B$8*100</formula>
    </cfRule>
  </conditionalFormatting>
  <conditionalFormatting sqref="E41">
    <cfRule type="cellIs" dxfId="7512" priority="38" operator="greaterThan">
      <formula>$B$8*100</formula>
    </cfRule>
    <cfRule type="cellIs" dxfId="7511" priority="39" operator="lessThan">
      <formula>$B$8*100</formula>
    </cfRule>
  </conditionalFormatting>
  <conditionalFormatting sqref="B38">
    <cfRule type="cellIs" dxfId="7510" priority="8" operator="equal">
      <formula>"YES"</formula>
    </cfRule>
    <cfRule type="cellIs" dxfId="7509" priority="9" operator="equal">
      <formula>"NO"</formula>
    </cfRule>
  </conditionalFormatting>
  <conditionalFormatting sqref="E23:E26">
    <cfRule type="cellIs" dxfId="7508" priority="4" operator="equal">
      <formula>"NO"</formula>
    </cfRule>
    <cfRule type="cellIs" dxfId="7507" priority="5" operator="equal">
      <formula>"YES"</formula>
    </cfRule>
  </conditionalFormatting>
  <conditionalFormatting sqref="E29">
    <cfRule type="cellIs" dxfId="7506" priority="1" operator="between">
      <formula>10%</formula>
      <formula>12%</formula>
    </cfRule>
    <cfRule type="cellIs" dxfId="7505" priority="2" operator="lessThan">
      <formula>0.1</formula>
    </cfRule>
    <cfRule type="cellIs" dxfId="7504" priority="3" operator="greaterThan">
      <formula>0.12</formula>
    </cfRule>
  </conditionalFormatting>
  <conditionalFormatting sqref="E28">
    <cfRule type="cellIs" dxfId="7503" priority="6" operator="lessThan">
      <formula>$B$8*100</formula>
    </cfRule>
    <cfRule type="cellIs" dxfId="7502" priority="7" operator="greaterThan">
      <formula>$B$8*100</formula>
    </cfRule>
  </conditionalFormatting>
  <hyperlinks>
    <hyperlink ref="A32" r:id="rId1" display="https://www.zillow.com/homes/recently_sold/" xr:uid="{7965A0AE-5D49-4064-AE1F-F51268FEE1BA}"/>
    <hyperlink ref="A21" r:id="rId2" xr:uid="{D40F23B1-F438-40CC-BC13-4CE730B60EC7}"/>
    <hyperlink ref="A25" r:id="rId3" display="www.mortgagecalculator.org" xr:uid="{6BC424D7-A459-4273-9283-E7BA375C6C77}"/>
    <hyperlink ref="A12" r:id="rId4" xr:uid="{FD4EF85B-6FAE-4F37-B001-6C34AD9EF59C}"/>
  </hyperlinks>
  <pageMargins left="0.7" right="0.7" top="0.75" bottom="0.75" header="0.3" footer="0.3"/>
  <drawing r:id="rId5"/>
  <legacyDrawing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0E2F3-CC29-4CB6-9F19-BECBCB2FB386}">
  <sheetPr codeName="Sheet27">
    <tabColor rgb="FF00B050"/>
  </sheetPr>
  <dimension ref="A1:P42"/>
  <sheetViews>
    <sheetView topLeftCell="A14" workbookViewId="0">
      <selection activeCell="C17" sqref="C1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223750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223750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223750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11187.5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212562.5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2148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2237.5</v>
      </c>
      <c r="D22" s="7" t="s">
        <v>77</v>
      </c>
      <c r="E22" s="17">
        <f>B16*0.01</f>
        <v>2237.5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1499</v>
      </c>
      <c r="D25" s="7" t="s">
        <v>38</v>
      </c>
      <c r="E25" s="35">
        <f>B25</f>
        <v>1499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1821.2</v>
      </c>
      <c r="D26" s="7" t="s">
        <v>41</v>
      </c>
      <c r="E26" s="17">
        <f>E25+I25+I34</f>
        <v>1821.2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326.79999999999995</v>
      </c>
      <c r="D28" s="7" t="s">
        <v>43</v>
      </c>
      <c r="E28" s="44">
        <f>E21-E25-I25-I34+I24+I33</f>
        <v>-771.2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0.35053407821229043</v>
      </c>
      <c r="D29" s="46" t="s">
        <v>44</v>
      </c>
      <c r="E29" s="47">
        <f>(E28*12)/B17</f>
        <v>-0.82720893854748612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107.4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107.4</v>
      </c>
    </row>
    <row r="32" spans="1:16" x14ac:dyDescent="0.25">
      <c r="A32" s="26" t="s">
        <v>49</v>
      </c>
      <c r="B32" s="8">
        <f>B16</f>
        <v>223750</v>
      </c>
      <c r="G32" s="27" t="s">
        <v>50</v>
      </c>
      <c r="H32" s="48">
        <v>0.05</v>
      </c>
      <c r="I32" s="49">
        <f>$B$21*H32</f>
        <v>107.4</v>
      </c>
    </row>
    <row r="33" spans="1:9" x14ac:dyDescent="0.25">
      <c r="A33" s="7" t="s">
        <v>51</v>
      </c>
      <c r="B33" s="17">
        <f>B32-B18</f>
        <v>11187.5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322.20000000000005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150.56510416666669</v>
      </c>
      <c r="D39" s="7"/>
      <c r="E39" s="17"/>
    </row>
    <row r="40" spans="1:9" x14ac:dyDescent="0.25">
      <c r="A40" s="7" t="s">
        <v>58</v>
      </c>
      <c r="B40" s="17">
        <f>B25-B39</f>
        <v>1348.4348958333333</v>
      </c>
      <c r="D40" s="7"/>
      <c r="E40" s="17"/>
    </row>
    <row r="41" spans="1:9" x14ac:dyDescent="0.25">
      <c r="A41" s="7" t="s">
        <v>59</v>
      </c>
      <c r="B41" s="43">
        <f>B21-B40-I25-I34</f>
        <v>477.3651041666667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0.51203407821229052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501" priority="31" operator="equal">
      <formula>"NO"</formula>
    </cfRule>
    <cfRule type="cellIs" dxfId="7500" priority="32" operator="equal">
      <formula>"YES"</formula>
    </cfRule>
  </conditionalFormatting>
  <conditionalFormatting sqref="E38">
    <cfRule type="cellIs" dxfId="7499" priority="29" operator="equal">
      <formula>"YES"</formula>
    </cfRule>
    <cfRule type="cellIs" dxfId="7498" priority="30" operator="equal">
      <formula>"NO"</formula>
    </cfRule>
  </conditionalFormatting>
  <conditionalFormatting sqref="B23">
    <cfRule type="cellIs" dxfId="7497" priority="27" operator="equal">
      <formula>"NO"</formula>
    </cfRule>
    <cfRule type="cellIs" dxfId="7496" priority="28" operator="equal">
      <formula>"YES"</formula>
    </cfRule>
  </conditionalFormatting>
  <conditionalFormatting sqref="B12">
    <cfRule type="containsText" dxfId="7495" priority="13" operator="containsText" text="Low">
      <formula>NOT(ISERROR(SEARCH("Low",B12)))</formula>
    </cfRule>
    <cfRule type="containsText" dxfId="7494" priority="14" operator="containsText" text="Medium">
      <formula>NOT(ISERROR(SEARCH("Medium",B12)))</formula>
    </cfRule>
    <cfRule type="containsText" dxfId="7493" priority="15" operator="containsText" text="High">
      <formula>NOT(ISERROR(SEARCH("High",B12)))</formula>
    </cfRule>
  </conditionalFormatting>
  <conditionalFormatting sqref="B29">
    <cfRule type="cellIs" dxfId="7492" priority="23" operator="between">
      <formula>10%</formula>
      <formula>11.9%</formula>
    </cfRule>
    <cfRule type="cellIs" dxfId="7491" priority="25" operator="lessThan">
      <formula>0.1</formula>
    </cfRule>
    <cfRule type="cellIs" dxfId="7490" priority="26" operator="greaterThanOrEqual">
      <formula>0.12</formula>
    </cfRule>
  </conditionalFormatting>
  <conditionalFormatting sqref="B42">
    <cfRule type="cellIs" dxfId="7489" priority="21" operator="between">
      <formula>0.1</formula>
      <formula>0.1199</formula>
    </cfRule>
    <cfRule type="cellIs" dxfId="7488" priority="22" operator="lessThan">
      <formula>0.1</formula>
    </cfRule>
    <cfRule type="cellIs" dxfId="7487" priority="24" operator="greaterThanOrEqual">
      <formula>0.12</formula>
    </cfRule>
  </conditionalFormatting>
  <conditionalFormatting sqref="B10">
    <cfRule type="containsText" dxfId="7486" priority="16" operator="containsText" text="Full">
      <formula>NOT(ISERROR(SEARCH("Full",B10)))</formula>
    </cfRule>
    <cfRule type="containsText" dxfId="7485" priority="17" operator="containsText" text="Heavy">
      <formula>NOT(ISERROR(SEARCH("Heavy",B10)))</formula>
    </cfRule>
    <cfRule type="containsText" dxfId="7484" priority="18" operator="containsText" text="Medium">
      <formula>NOT(ISERROR(SEARCH("Medium",B10)))</formula>
    </cfRule>
    <cfRule type="containsText" dxfId="7483" priority="19" operator="containsText" text="Light">
      <formula>NOT(ISERROR(SEARCH("Light",B10)))</formula>
    </cfRule>
    <cfRule type="containsText" dxfId="7482" priority="20" operator="containsText" text="None">
      <formula>NOT(ISERROR(SEARCH("None",B10)))</formula>
    </cfRule>
  </conditionalFormatting>
  <conditionalFormatting sqref="E42">
    <cfRule type="cellIs" dxfId="7481" priority="10" operator="between">
      <formula>0.1</formula>
      <formula>0.119</formula>
    </cfRule>
    <cfRule type="cellIs" dxfId="7480" priority="11" operator="lessThan">
      <formula>0.1</formula>
    </cfRule>
    <cfRule type="cellIs" dxfId="7479" priority="12" operator="greaterThanOrEqual">
      <formula>0.12</formula>
    </cfRule>
  </conditionalFormatting>
  <conditionalFormatting sqref="B28">
    <cfRule type="cellIs" dxfId="7478" priority="33" operator="lessThan">
      <formula>$B$8*100</formula>
    </cfRule>
    <cfRule type="cellIs" dxfId="7477" priority="34" operator="greaterThanOrEqual">
      <formula>$B$8*100</formula>
    </cfRule>
  </conditionalFormatting>
  <conditionalFormatting sqref="B41">
    <cfRule type="cellIs" dxfId="7476" priority="35" operator="lessThan">
      <formula>$B$8*100</formula>
    </cfRule>
    <cfRule type="cellIs" dxfId="7475" priority="36" operator="greaterThan">
      <formula>$B$8*100</formula>
    </cfRule>
    <cfRule type="cellIs" dxfId="7474" priority="37" operator="greaterThan">
      <formula>$B$8*100</formula>
    </cfRule>
  </conditionalFormatting>
  <conditionalFormatting sqref="E41">
    <cfRule type="cellIs" dxfId="7473" priority="38" operator="greaterThan">
      <formula>$B$8*100</formula>
    </cfRule>
    <cfRule type="cellIs" dxfId="7472" priority="39" operator="lessThan">
      <formula>$B$8*100</formula>
    </cfRule>
  </conditionalFormatting>
  <conditionalFormatting sqref="B38">
    <cfRule type="cellIs" dxfId="7471" priority="8" operator="equal">
      <formula>"YES"</formula>
    </cfRule>
    <cfRule type="cellIs" dxfId="7470" priority="9" operator="equal">
      <formula>"NO"</formula>
    </cfRule>
  </conditionalFormatting>
  <conditionalFormatting sqref="E23:E26">
    <cfRule type="cellIs" dxfId="7469" priority="4" operator="equal">
      <formula>"NO"</formula>
    </cfRule>
    <cfRule type="cellIs" dxfId="7468" priority="5" operator="equal">
      <formula>"YES"</formula>
    </cfRule>
  </conditionalFormatting>
  <conditionalFormatting sqref="E29">
    <cfRule type="cellIs" dxfId="7467" priority="1" operator="between">
      <formula>10%</formula>
      <formula>12%</formula>
    </cfRule>
    <cfRule type="cellIs" dxfId="7466" priority="2" operator="lessThan">
      <formula>0.1</formula>
    </cfRule>
    <cfRule type="cellIs" dxfId="7465" priority="3" operator="greaterThan">
      <formula>0.12</formula>
    </cfRule>
  </conditionalFormatting>
  <conditionalFormatting sqref="E28">
    <cfRule type="cellIs" dxfId="7464" priority="6" operator="lessThan">
      <formula>$B$8*100</formula>
    </cfRule>
    <cfRule type="cellIs" dxfId="7463" priority="7" operator="greaterThan">
      <formula>$B$8*100</formula>
    </cfRule>
  </conditionalFormatting>
  <hyperlinks>
    <hyperlink ref="A32" r:id="rId1" display="https://www.zillow.com/homes/recently_sold/" xr:uid="{04D62620-A0F4-42B2-B319-A7CAA32CE2F7}"/>
    <hyperlink ref="A21" r:id="rId2" xr:uid="{67212F83-BA15-4015-9769-E32021747E83}"/>
    <hyperlink ref="A25" r:id="rId3" display="www.mortgagecalculator.org" xr:uid="{09CD3BA6-9435-4333-BA02-21DF340808EB}"/>
    <hyperlink ref="A12" r:id="rId4" xr:uid="{1B856B2F-E432-421E-8B8B-6950EF341AC6}"/>
  </hyperlinks>
  <pageMargins left="0.7" right="0.7" top="0.75" bottom="0.75" header="0.3" footer="0.3"/>
  <drawing r:id="rId5"/>
  <legacyDrawing r:id="rId6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89B7-1228-402A-BCEC-55AE044EEB14}">
  <sheetPr codeName="Sheet28">
    <tabColor rgb="FFFF0000"/>
  </sheetPr>
  <dimension ref="A1:P42"/>
  <sheetViews>
    <sheetView topLeftCell="A10" workbookViewId="0">
      <selection activeCell="A18" sqref="A1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269990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1771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269990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269990</v>
      </c>
      <c r="D16" s="2"/>
      <c r="E16" s="18"/>
    </row>
    <row r="17" spans="1:16" ht="15.75" thickBot="1" x14ac:dyDescent="0.3">
      <c r="A17" s="7" t="s">
        <v>106</v>
      </c>
      <c r="B17" s="17">
        <f>B16*0.2</f>
        <v>53998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215992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2080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2699.9</v>
      </c>
      <c r="D22" s="7" t="s">
        <v>77</v>
      </c>
      <c r="E22" s="17">
        <f>B16*0.01</f>
        <v>2699.9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1651.72</v>
      </c>
      <c r="D25" s="7" t="s">
        <v>38</v>
      </c>
      <c r="E25" s="35">
        <f>B25</f>
        <v>1651.72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1963.72</v>
      </c>
      <c r="D26" s="7" t="s">
        <v>41</v>
      </c>
      <c r="E26" s="17">
        <f>E25+I25+I34</f>
        <v>1963.72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116.27999999999997</v>
      </c>
      <c r="D28" s="7" t="s">
        <v>43</v>
      </c>
      <c r="E28" s="44">
        <f>E21-E25-I25-I34+I24+I33</f>
        <v>-913.72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2.5840957072484159E-2</v>
      </c>
      <c r="D29" s="46" t="s">
        <v>44</v>
      </c>
      <c r="E29" s="47">
        <f>(E28*12)/B17</f>
        <v>-0.20305640949664802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104</v>
      </c>
    </row>
    <row r="32" spans="1:16" x14ac:dyDescent="0.25">
      <c r="A32" s="26" t="s">
        <v>49</v>
      </c>
      <c r="B32" s="8">
        <f>B16</f>
        <v>269990</v>
      </c>
      <c r="G32" s="27" t="s">
        <v>50</v>
      </c>
      <c r="H32" s="48">
        <v>0.05</v>
      </c>
      <c r="I32" s="49">
        <f>$B$21*H32</f>
        <v>104</v>
      </c>
    </row>
    <row r="33" spans="1:9" x14ac:dyDescent="0.25">
      <c r="A33" s="7" t="s">
        <v>51</v>
      </c>
      <c r="B33" s="17">
        <f>B32-B18</f>
        <v>53998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152.99433333333334</v>
      </c>
      <c r="D39" s="7"/>
      <c r="E39" s="17"/>
    </row>
    <row r="40" spans="1:9" x14ac:dyDescent="0.25">
      <c r="A40" s="7" t="s">
        <v>58</v>
      </c>
      <c r="B40" s="17">
        <f>B25-B39</f>
        <v>1498.7256666666667</v>
      </c>
      <c r="D40" s="7"/>
      <c r="E40" s="17"/>
    </row>
    <row r="41" spans="1:9" x14ac:dyDescent="0.25">
      <c r="A41" s="7" t="s">
        <v>59</v>
      </c>
      <c r="B41" s="43">
        <f>B21-B40-I25-I34</f>
        <v>269.27433333333329</v>
      </c>
      <c r="D41" s="53"/>
      <c r="E41" s="54"/>
    </row>
    <row r="42" spans="1:9" ht="15.75" thickBot="1" x14ac:dyDescent="0.3">
      <c r="A42" s="46" t="s">
        <v>44</v>
      </c>
      <c r="B42" s="47">
        <f>(B41*12)/B17</f>
        <v>5.9840957072484158E-2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462" priority="31" operator="equal">
      <formula>"NO"</formula>
    </cfRule>
    <cfRule type="cellIs" dxfId="7461" priority="32" operator="equal">
      <formula>"YES"</formula>
    </cfRule>
  </conditionalFormatting>
  <conditionalFormatting sqref="E38">
    <cfRule type="cellIs" dxfId="7460" priority="29" operator="equal">
      <formula>"YES"</formula>
    </cfRule>
    <cfRule type="cellIs" dxfId="7459" priority="30" operator="equal">
      <formula>"NO"</formula>
    </cfRule>
  </conditionalFormatting>
  <conditionalFormatting sqref="B23">
    <cfRule type="cellIs" dxfId="7458" priority="27" operator="equal">
      <formula>"NO"</formula>
    </cfRule>
    <cfRule type="cellIs" dxfId="7457" priority="28" operator="equal">
      <formula>"YES"</formula>
    </cfRule>
  </conditionalFormatting>
  <conditionalFormatting sqref="B12">
    <cfRule type="containsText" dxfId="7456" priority="13" operator="containsText" text="Low">
      <formula>NOT(ISERROR(SEARCH("Low",B12)))</formula>
    </cfRule>
    <cfRule type="containsText" dxfId="7455" priority="14" operator="containsText" text="Medium">
      <formula>NOT(ISERROR(SEARCH("Medium",B12)))</formula>
    </cfRule>
    <cfRule type="containsText" dxfId="7454" priority="15" operator="containsText" text="High">
      <formula>NOT(ISERROR(SEARCH("High",B12)))</formula>
    </cfRule>
  </conditionalFormatting>
  <conditionalFormatting sqref="B29">
    <cfRule type="cellIs" dxfId="7453" priority="23" operator="between">
      <formula>10%</formula>
      <formula>11.9%</formula>
    </cfRule>
    <cfRule type="cellIs" dxfId="7452" priority="25" operator="lessThan">
      <formula>0.1</formula>
    </cfRule>
    <cfRule type="cellIs" dxfId="7451" priority="26" operator="greaterThanOrEqual">
      <formula>0.12</formula>
    </cfRule>
  </conditionalFormatting>
  <conditionalFormatting sqref="B42">
    <cfRule type="cellIs" dxfId="7450" priority="21" operator="between">
      <formula>0.1</formula>
      <formula>0.1199</formula>
    </cfRule>
    <cfRule type="cellIs" dxfId="7449" priority="22" operator="lessThan">
      <formula>0.1</formula>
    </cfRule>
    <cfRule type="cellIs" dxfId="7448" priority="24" operator="greaterThanOrEqual">
      <formula>0.12</formula>
    </cfRule>
  </conditionalFormatting>
  <conditionalFormatting sqref="B10">
    <cfRule type="containsText" dxfId="7447" priority="16" operator="containsText" text="Full">
      <formula>NOT(ISERROR(SEARCH("Full",B10)))</formula>
    </cfRule>
    <cfRule type="containsText" dxfId="7446" priority="17" operator="containsText" text="Heavy">
      <formula>NOT(ISERROR(SEARCH("Heavy",B10)))</formula>
    </cfRule>
    <cfRule type="containsText" dxfId="7445" priority="18" operator="containsText" text="Medium">
      <formula>NOT(ISERROR(SEARCH("Medium",B10)))</formula>
    </cfRule>
    <cfRule type="containsText" dxfId="7444" priority="19" operator="containsText" text="Light">
      <formula>NOT(ISERROR(SEARCH("Light",B10)))</formula>
    </cfRule>
    <cfRule type="containsText" dxfId="7443" priority="20" operator="containsText" text="None">
      <formula>NOT(ISERROR(SEARCH("None",B10)))</formula>
    </cfRule>
  </conditionalFormatting>
  <conditionalFormatting sqref="E42">
    <cfRule type="cellIs" dxfId="7442" priority="10" operator="between">
      <formula>0.1</formula>
      <formula>0.119</formula>
    </cfRule>
    <cfRule type="cellIs" dxfId="7441" priority="11" operator="lessThan">
      <formula>0.1</formula>
    </cfRule>
    <cfRule type="cellIs" dxfId="7440" priority="12" operator="greaterThanOrEqual">
      <formula>0.12</formula>
    </cfRule>
  </conditionalFormatting>
  <conditionalFormatting sqref="B28">
    <cfRule type="cellIs" dxfId="7439" priority="33" operator="lessThan">
      <formula>$B$8*100</formula>
    </cfRule>
    <cfRule type="cellIs" dxfId="7438" priority="34" operator="greaterThanOrEqual">
      <formula>$B$8*100</formula>
    </cfRule>
  </conditionalFormatting>
  <conditionalFormatting sqref="B41">
    <cfRule type="cellIs" dxfId="7437" priority="35" operator="lessThan">
      <formula>$B$8*100</formula>
    </cfRule>
    <cfRule type="cellIs" dxfId="7436" priority="36" operator="greaterThan">
      <formula>$B$8*100</formula>
    </cfRule>
    <cfRule type="cellIs" dxfId="7435" priority="37" operator="greaterThan">
      <formula>$B$8*100</formula>
    </cfRule>
  </conditionalFormatting>
  <conditionalFormatting sqref="E41">
    <cfRule type="cellIs" dxfId="7434" priority="38" operator="greaterThan">
      <formula>$B$8*100</formula>
    </cfRule>
    <cfRule type="cellIs" dxfId="7433" priority="39" operator="lessThan">
      <formula>$B$8*100</formula>
    </cfRule>
  </conditionalFormatting>
  <conditionalFormatting sqref="B38">
    <cfRule type="cellIs" dxfId="7432" priority="8" operator="equal">
      <formula>"YES"</formula>
    </cfRule>
    <cfRule type="cellIs" dxfId="7431" priority="9" operator="equal">
      <formula>"NO"</formula>
    </cfRule>
  </conditionalFormatting>
  <conditionalFormatting sqref="E23:E26">
    <cfRule type="cellIs" dxfId="7430" priority="4" operator="equal">
      <formula>"NO"</formula>
    </cfRule>
    <cfRule type="cellIs" dxfId="7429" priority="5" operator="equal">
      <formula>"YES"</formula>
    </cfRule>
  </conditionalFormatting>
  <conditionalFormatting sqref="E29">
    <cfRule type="cellIs" dxfId="7428" priority="1" operator="between">
      <formula>10%</formula>
      <formula>12%</formula>
    </cfRule>
    <cfRule type="cellIs" dxfId="7427" priority="2" operator="lessThan">
      <formula>0.1</formula>
    </cfRule>
    <cfRule type="cellIs" dxfId="7426" priority="3" operator="greaterThan">
      <formula>0.12</formula>
    </cfRule>
  </conditionalFormatting>
  <conditionalFormatting sqref="E28">
    <cfRule type="cellIs" dxfId="7425" priority="6" operator="lessThan">
      <formula>$B$8*100</formula>
    </cfRule>
    <cfRule type="cellIs" dxfId="7424" priority="7" operator="greaterThan">
      <formula>$B$8*100</formula>
    </cfRule>
  </conditionalFormatting>
  <hyperlinks>
    <hyperlink ref="A32" r:id="rId1" display="https://www.zillow.com/homes/recently_sold/" xr:uid="{BE22EEF0-4421-4789-82EB-68AEA62902FC}"/>
    <hyperlink ref="A21" r:id="rId2" xr:uid="{64578B9F-E535-4E73-B823-1B5A79812C1F}"/>
    <hyperlink ref="A25" r:id="rId3" display="www.mortgagecalculator.org" xr:uid="{A095DD02-0532-4078-B45D-50FDC1652CE2}"/>
    <hyperlink ref="A12" r:id="rId4" xr:uid="{3379E738-DA59-468A-8E43-E7316CE1EDD4}"/>
  </hyperlinks>
  <pageMargins left="0.7" right="0.7" top="0.75" bottom="0.75" header="0.3" footer="0.3"/>
  <drawing r:id="rId5"/>
  <legacyDrawing r:id="rId6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8B4D-C519-4B5A-BC84-707F80E4AE85}">
  <sheetPr codeName="Sheet29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264900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1286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264900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264900</v>
      </c>
      <c r="D16" s="2"/>
      <c r="E16" s="18"/>
    </row>
    <row r="17" spans="1:16" ht="15.75" thickBot="1" x14ac:dyDescent="0.3">
      <c r="A17" s="7" t="s">
        <v>106</v>
      </c>
      <c r="B17" s="17">
        <f>B16*0.2</f>
        <v>52980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211920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2080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2649</v>
      </c>
      <c r="D22" s="7" t="s">
        <v>77</v>
      </c>
      <c r="E22" s="17">
        <f>B16*0.01</f>
        <v>2649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1630.48</v>
      </c>
      <c r="D25" s="7" t="s">
        <v>38</v>
      </c>
      <c r="E25" s="35">
        <f>B25</f>
        <v>1630.48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1942.48</v>
      </c>
      <c r="D26" s="7" t="s">
        <v>41</v>
      </c>
      <c r="E26" s="17">
        <f>E25+I25+I34</f>
        <v>1942.48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137.51999999999998</v>
      </c>
      <c r="D28" s="7" t="s">
        <v>43</v>
      </c>
      <c r="E28" s="44">
        <f>E21-E25-I25-I34+I24+I33</f>
        <v>-892.48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3.1148357870894674E-2</v>
      </c>
      <c r="D29" s="46" t="s">
        <v>44</v>
      </c>
      <c r="E29" s="47">
        <f>(E28*12)/B17</f>
        <v>-0.20214722536806343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104</v>
      </c>
    </row>
    <row r="32" spans="1:16" x14ac:dyDescent="0.25">
      <c r="A32" s="26" t="s">
        <v>49</v>
      </c>
      <c r="B32" s="8">
        <f>B16</f>
        <v>264900</v>
      </c>
      <c r="G32" s="27" t="s">
        <v>50</v>
      </c>
      <c r="H32" s="48">
        <v>0.05</v>
      </c>
      <c r="I32" s="49">
        <f>$B$21*H32</f>
        <v>104</v>
      </c>
    </row>
    <row r="33" spans="1:9" x14ac:dyDescent="0.25">
      <c r="A33" s="7" t="s">
        <v>51</v>
      </c>
      <c r="B33" s="17">
        <f>B32-B18</f>
        <v>52980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150.11000000000001</v>
      </c>
      <c r="D39" s="7"/>
      <c r="E39" s="17"/>
    </row>
    <row r="40" spans="1:9" x14ac:dyDescent="0.25">
      <c r="A40" s="7" t="s">
        <v>58</v>
      </c>
      <c r="B40" s="17">
        <f>B25-B39</f>
        <v>1480.37</v>
      </c>
      <c r="D40" s="7"/>
      <c r="E40" s="17"/>
    </row>
    <row r="41" spans="1:9" x14ac:dyDescent="0.25">
      <c r="A41" s="7" t="s">
        <v>59</v>
      </c>
      <c r="B41" s="43">
        <f>B21-B40-I25-I34</f>
        <v>287.63000000000011</v>
      </c>
      <c r="D41" s="53"/>
      <c r="E41" s="54"/>
    </row>
    <row r="42" spans="1:9" ht="15.75" thickBot="1" x14ac:dyDescent="0.3">
      <c r="A42" s="46" t="s">
        <v>44</v>
      </c>
      <c r="B42" s="47">
        <f>(B41*12)/B17</f>
        <v>6.5148357870894708E-2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423" priority="31" operator="equal">
      <formula>"NO"</formula>
    </cfRule>
    <cfRule type="cellIs" dxfId="7422" priority="32" operator="equal">
      <formula>"YES"</formula>
    </cfRule>
  </conditionalFormatting>
  <conditionalFormatting sqref="E38">
    <cfRule type="cellIs" dxfId="7421" priority="29" operator="equal">
      <formula>"YES"</formula>
    </cfRule>
    <cfRule type="cellIs" dxfId="7420" priority="30" operator="equal">
      <formula>"NO"</formula>
    </cfRule>
  </conditionalFormatting>
  <conditionalFormatting sqref="B23">
    <cfRule type="cellIs" dxfId="7419" priority="27" operator="equal">
      <formula>"NO"</formula>
    </cfRule>
    <cfRule type="cellIs" dxfId="7418" priority="28" operator="equal">
      <formula>"YES"</formula>
    </cfRule>
  </conditionalFormatting>
  <conditionalFormatting sqref="B12">
    <cfRule type="containsText" dxfId="7417" priority="13" operator="containsText" text="Low">
      <formula>NOT(ISERROR(SEARCH("Low",B12)))</formula>
    </cfRule>
    <cfRule type="containsText" dxfId="7416" priority="14" operator="containsText" text="Medium">
      <formula>NOT(ISERROR(SEARCH("Medium",B12)))</formula>
    </cfRule>
    <cfRule type="containsText" dxfId="7415" priority="15" operator="containsText" text="High">
      <formula>NOT(ISERROR(SEARCH("High",B12)))</formula>
    </cfRule>
  </conditionalFormatting>
  <conditionalFormatting sqref="B29">
    <cfRule type="cellIs" dxfId="7414" priority="23" operator="between">
      <formula>10%</formula>
      <formula>11.9%</formula>
    </cfRule>
    <cfRule type="cellIs" dxfId="7413" priority="25" operator="lessThan">
      <formula>0.1</formula>
    </cfRule>
    <cfRule type="cellIs" dxfId="7412" priority="26" operator="greaterThanOrEqual">
      <formula>0.12</formula>
    </cfRule>
  </conditionalFormatting>
  <conditionalFormatting sqref="B42">
    <cfRule type="cellIs" dxfId="7411" priority="21" operator="between">
      <formula>0.1</formula>
      <formula>0.1199</formula>
    </cfRule>
    <cfRule type="cellIs" dxfId="7410" priority="22" operator="lessThan">
      <formula>0.1</formula>
    </cfRule>
    <cfRule type="cellIs" dxfId="7409" priority="24" operator="greaterThanOrEqual">
      <formula>0.12</formula>
    </cfRule>
  </conditionalFormatting>
  <conditionalFormatting sqref="B10">
    <cfRule type="containsText" dxfId="7408" priority="16" operator="containsText" text="Full">
      <formula>NOT(ISERROR(SEARCH("Full",B10)))</formula>
    </cfRule>
    <cfRule type="containsText" dxfId="7407" priority="17" operator="containsText" text="Heavy">
      <formula>NOT(ISERROR(SEARCH("Heavy",B10)))</formula>
    </cfRule>
    <cfRule type="containsText" dxfId="7406" priority="18" operator="containsText" text="Medium">
      <formula>NOT(ISERROR(SEARCH("Medium",B10)))</formula>
    </cfRule>
    <cfRule type="containsText" dxfId="7405" priority="19" operator="containsText" text="Light">
      <formula>NOT(ISERROR(SEARCH("Light",B10)))</formula>
    </cfRule>
    <cfRule type="containsText" dxfId="7404" priority="20" operator="containsText" text="None">
      <formula>NOT(ISERROR(SEARCH("None",B10)))</formula>
    </cfRule>
  </conditionalFormatting>
  <conditionalFormatting sqref="E42">
    <cfRule type="cellIs" dxfId="7403" priority="10" operator="between">
      <formula>0.1</formula>
      <formula>0.119</formula>
    </cfRule>
    <cfRule type="cellIs" dxfId="7402" priority="11" operator="lessThan">
      <formula>0.1</formula>
    </cfRule>
    <cfRule type="cellIs" dxfId="7401" priority="12" operator="greaterThanOrEqual">
      <formula>0.12</formula>
    </cfRule>
  </conditionalFormatting>
  <conditionalFormatting sqref="B28">
    <cfRule type="cellIs" dxfId="7400" priority="33" operator="lessThan">
      <formula>$B$8*100</formula>
    </cfRule>
    <cfRule type="cellIs" dxfId="7399" priority="34" operator="greaterThanOrEqual">
      <formula>$B$8*100</formula>
    </cfRule>
  </conditionalFormatting>
  <conditionalFormatting sqref="B41">
    <cfRule type="cellIs" dxfId="7398" priority="35" operator="lessThan">
      <formula>$B$8*100</formula>
    </cfRule>
    <cfRule type="cellIs" dxfId="7397" priority="36" operator="greaterThan">
      <formula>$B$8*100</formula>
    </cfRule>
    <cfRule type="cellIs" dxfId="7396" priority="37" operator="greaterThan">
      <formula>$B$8*100</formula>
    </cfRule>
  </conditionalFormatting>
  <conditionalFormatting sqref="E41">
    <cfRule type="cellIs" dxfId="7395" priority="38" operator="greaterThan">
      <formula>$B$8*100</formula>
    </cfRule>
    <cfRule type="cellIs" dxfId="7394" priority="39" operator="lessThan">
      <formula>$B$8*100</formula>
    </cfRule>
  </conditionalFormatting>
  <conditionalFormatting sqref="B38">
    <cfRule type="cellIs" dxfId="7393" priority="8" operator="equal">
      <formula>"YES"</formula>
    </cfRule>
    <cfRule type="cellIs" dxfId="7392" priority="9" operator="equal">
      <formula>"NO"</formula>
    </cfRule>
  </conditionalFormatting>
  <conditionalFormatting sqref="E23:E26">
    <cfRule type="cellIs" dxfId="7391" priority="4" operator="equal">
      <formula>"NO"</formula>
    </cfRule>
    <cfRule type="cellIs" dxfId="7390" priority="5" operator="equal">
      <formula>"YES"</formula>
    </cfRule>
  </conditionalFormatting>
  <conditionalFormatting sqref="E29">
    <cfRule type="cellIs" dxfId="7389" priority="1" operator="between">
      <formula>10%</formula>
      <formula>12%</formula>
    </cfRule>
    <cfRule type="cellIs" dxfId="7388" priority="2" operator="lessThan">
      <formula>0.1</formula>
    </cfRule>
    <cfRule type="cellIs" dxfId="7387" priority="3" operator="greaterThan">
      <formula>0.12</formula>
    </cfRule>
  </conditionalFormatting>
  <conditionalFormatting sqref="E28">
    <cfRule type="cellIs" dxfId="7386" priority="6" operator="lessThan">
      <formula>$B$8*100</formula>
    </cfRule>
    <cfRule type="cellIs" dxfId="7385" priority="7" operator="greaterThan">
      <formula>$B$8*100</formula>
    </cfRule>
  </conditionalFormatting>
  <hyperlinks>
    <hyperlink ref="A32" r:id="rId1" display="https://www.zillow.com/homes/recently_sold/" xr:uid="{C0CD9D91-1DCB-4915-B8EC-8EC3EA631030}"/>
    <hyperlink ref="A21" r:id="rId2" xr:uid="{D1B5D492-6E30-46FA-A25A-74CEDDBFCCD3}"/>
    <hyperlink ref="A25" r:id="rId3" display="www.mortgagecalculator.org" xr:uid="{25612778-F2A4-42D1-98E2-E5E4BB632E4B}"/>
    <hyperlink ref="A12" r:id="rId4" xr:uid="{48540077-9FB0-4301-B4B6-A73A077937BC}"/>
  </hyperlinks>
  <pageMargins left="0.7" right="0.7" top="0.75" bottom="0.75" header="0.3" footer="0.3"/>
  <drawing r:id="rId5"/>
  <legacyDrawing r:id="rId6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C23F4-4E0F-4BCC-B38C-B5841FEC677E}">
  <sheetPr codeName="Sheet30">
    <tabColor rgb="FFFF0000"/>
  </sheetPr>
  <dimension ref="A1:P42"/>
  <sheetViews>
    <sheetView topLeftCell="A10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80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1035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225000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225000</v>
      </c>
      <c r="D16" s="2"/>
      <c r="E16" s="18"/>
    </row>
    <row r="17" spans="1:16" ht="15.75" thickBot="1" x14ac:dyDescent="0.3">
      <c r="A17" s="7" t="s">
        <v>106</v>
      </c>
      <c r="B17" s="17">
        <f>B16*0.2</f>
        <v>45000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180000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1900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2250</v>
      </c>
      <c r="D22" s="7" t="s">
        <v>77</v>
      </c>
      <c r="E22" s="17">
        <f>B16*0.01</f>
        <v>2250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1388.97</v>
      </c>
      <c r="D25" s="7" t="s">
        <v>38</v>
      </c>
      <c r="E25" s="35">
        <f>B25</f>
        <v>1388.97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1673.97</v>
      </c>
      <c r="D26" s="7" t="s">
        <v>41</v>
      </c>
      <c r="E26" s="17">
        <f>E25+I25+I34</f>
        <v>1673.97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226.02999999999997</v>
      </c>
      <c r="D28" s="7" t="s">
        <v>43</v>
      </c>
      <c r="E28" s="44">
        <f>E21-E25-I25-I34+I24+I33</f>
        <v>-623.97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6.0274666666666657E-2</v>
      </c>
      <c r="D29" s="46" t="s">
        <v>44</v>
      </c>
      <c r="E29" s="47">
        <f>(E28*12)/B17</f>
        <v>-0.16639200000000001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95</v>
      </c>
    </row>
    <row r="32" spans="1:16" x14ac:dyDescent="0.25">
      <c r="A32" s="26" t="s">
        <v>49</v>
      </c>
      <c r="B32" s="8">
        <f>B16</f>
        <v>225000</v>
      </c>
      <c r="G32" s="27" t="s">
        <v>50</v>
      </c>
      <c r="H32" s="48">
        <v>0.05</v>
      </c>
      <c r="I32" s="49">
        <f>$B$21*H32</f>
        <v>95</v>
      </c>
    </row>
    <row r="33" spans="1:9" x14ac:dyDescent="0.25">
      <c r="A33" s="7" t="s">
        <v>51</v>
      </c>
      <c r="B33" s="17">
        <f>B32-B18</f>
        <v>45000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285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127.5</v>
      </c>
      <c r="D39" s="7"/>
      <c r="E39" s="17"/>
    </row>
    <row r="40" spans="1:9" x14ac:dyDescent="0.25">
      <c r="A40" s="7" t="s">
        <v>58</v>
      </c>
      <c r="B40" s="17">
        <f>B25-B39</f>
        <v>1261.47</v>
      </c>
      <c r="D40" s="7"/>
      <c r="E40" s="17"/>
    </row>
    <row r="41" spans="1:9" x14ac:dyDescent="0.25">
      <c r="A41" s="7" t="s">
        <v>59</v>
      </c>
      <c r="B41" s="43">
        <f>B21-B40-I25-I34</f>
        <v>353.53</v>
      </c>
      <c r="D41" s="53"/>
      <c r="E41" s="54"/>
    </row>
    <row r="42" spans="1:9" ht="15.75" thickBot="1" x14ac:dyDescent="0.3">
      <c r="A42" s="46" t="s">
        <v>44</v>
      </c>
      <c r="B42" s="47">
        <f>(B41*12)/B17</f>
        <v>9.4274666666666659E-2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384" priority="31" operator="equal">
      <formula>"NO"</formula>
    </cfRule>
    <cfRule type="cellIs" dxfId="7383" priority="32" operator="equal">
      <formula>"YES"</formula>
    </cfRule>
  </conditionalFormatting>
  <conditionalFormatting sqref="E38">
    <cfRule type="cellIs" dxfId="7382" priority="29" operator="equal">
      <formula>"YES"</formula>
    </cfRule>
    <cfRule type="cellIs" dxfId="7381" priority="30" operator="equal">
      <formula>"NO"</formula>
    </cfRule>
  </conditionalFormatting>
  <conditionalFormatting sqref="B23">
    <cfRule type="cellIs" dxfId="7380" priority="27" operator="equal">
      <formula>"NO"</formula>
    </cfRule>
    <cfRule type="cellIs" dxfId="7379" priority="28" operator="equal">
      <formula>"YES"</formula>
    </cfRule>
  </conditionalFormatting>
  <conditionalFormatting sqref="B12">
    <cfRule type="containsText" dxfId="7378" priority="13" operator="containsText" text="Low">
      <formula>NOT(ISERROR(SEARCH("Low",B12)))</formula>
    </cfRule>
    <cfRule type="containsText" dxfId="7377" priority="14" operator="containsText" text="Medium">
      <formula>NOT(ISERROR(SEARCH("Medium",B12)))</formula>
    </cfRule>
    <cfRule type="containsText" dxfId="7376" priority="15" operator="containsText" text="High">
      <formula>NOT(ISERROR(SEARCH("High",B12)))</formula>
    </cfRule>
  </conditionalFormatting>
  <conditionalFormatting sqref="B29">
    <cfRule type="cellIs" dxfId="7375" priority="23" operator="between">
      <formula>10%</formula>
      <formula>11.9%</formula>
    </cfRule>
    <cfRule type="cellIs" dxfId="7374" priority="25" operator="lessThan">
      <formula>0.1</formula>
    </cfRule>
    <cfRule type="cellIs" dxfId="7373" priority="26" operator="greaterThanOrEqual">
      <formula>0.12</formula>
    </cfRule>
  </conditionalFormatting>
  <conditionalFormatting sqref="B42">
    <cfRule type="cellIs" dxfId="7372" priority="21" operator="between">
      <formula>0.1</formula>
      <formula>0.1199</formula>
    </cfRule>
    <cfRule type="cellIs" dxfId="7371" priority="22" operator="lessThan">
      <formula>0.1</formula>
    </cfRule>
    <cfRule type="cellIs" dxfId="7370" priority="24" operator="greaterThanOrEqual">
      <formula>0.12</formula>
    </cfRule>
  </conditionalFormatting>
  <conditionalFormatting sqref="B10">
    <cfRule type="containsText" dxfId="7369" priority="16" operator="containsText" text="Full">
      <formula>NOT(ISERROR(SEARCH("Full",B10)))</formula>
    </cfRule>
    <cfRule type="containsText" dxfId="7368" priority="17" operator="containsText" text="Heavy">
      <formula>NOT(ISERROR(SEARCH("Heavy",B10)))</formula>
    </cfRule>
    <cfRule type="containsText" dxfId="7367" priority="18" operator="containsText" text="Medium">
      <formula>NOT(ISERROR(SEARCH("Medium",B10)))</formula>
    </cfRule>
    <cfRule type="containsText" dxfId="7366" priority="19" operator="containsText" text="Light">
      <formula>NOT(ISERROR(SEARCH("Light",B10)))</formula>
    </cfRule>
    <cfRule type="containsText" dxfId="7365" priority="20" operator="containsText" text="None">
      <formula>NOT(ISERROR(SEARCH("None",B10)))</formula>
    </cfRule>
  </conditionalFormatting>
  <conditionalFormatting sqref="E42">
    <cfRule type="cellIs" dxfId="7364" priority="10" operator="between">
      <formula>0.1</formula>
      <formula>0.119</formula>
    </cfRule>
    <cfRule type="cellIs" dxfId="7363" priority="11" operator="lessThan">
      <formula>0.1</formula>
    </cfRule>
    <cfRule type="cellIs" dxfId="7362" priority="12" operator="greaterThanOrEqual">
      <formula>0.12</formula>
    </cfRule>
  </conditionalFormatting>
  <conditionalFormatting sqref="B28">
    <cfRule type="cellIs" dxfId="7361" priority="33" operator="lessThan">
      <formula>$B$8*100</formula>
    </cfRule>
    <cfRule type="cellIs" dxfId="7360" priority="34" operator="greaterThanOrEqual">
      <formula>$B$8*100</formula>
    </cfRule>
  </conditionalFormatting>
  <conditionalFormatting sqref="B41">
    <cfRule type="cellIs" dxfId="7359" priority="35" operator="lessThan">
      <formula>$B$8*100</formula>
    </cfRule>
    <cfRule type="cellIs" dxfId="7358" priority="36" operator="greaterThan">
      <formula>$B$8*100</formula>
    </cfRule>
    <cfRule type="cellIs" dxfId="7357" priority="37" operator="greaterThan">
      <formula>$B$8*100</formula>
    </cfRule>
  </conditionalFormatting>
  <conditionalFormatting sqref="E41">
    <cfRule type="cellIs" dxfId="7356" priority="38" operator="greaterThan">
      <formula>$B$8*100</formula>
    </cfRule>
    <cfRule type="cellIs" dxfId="7355" priority="39" operator="lessThan">
      <formula>$B$8*100</formula>
    </cfRule>
  </conditionalFormatting>
  <conditionalFormatting sqref="B38">
    <cfRule type="cellIs" dxfId="7354" priority="8" operator="equal">
      <formula>"YES"</formula>
    </cfRule>
    <cfRule type="cellIs" dxfId="7353" priority="9" operator="equal">
      <formula>"NO"</formula>
    </cfRule>
  </conditionalFormatting>
  <conditionalFormatting sqref="E23:E26">
    <cfRule type="cellIs" dxfId="7352" priority="4" operator="equal">
      <formula>"NO"</formula>
    </cfRule>
    <cfRule type="cellIs" dxfId="7351" priority="5" operator="equal">
      <formula>"YES"</formula>
    </cfRule>
  </conditionalFormatting>
  <conditionalFormatting sqref="E29">
    <cfRule type="cellIs" dxfId="7350" priority="1" operator="between">
      <formula>10%</formula>
      <formula>12%</formula>
    </cfRule>
    <cfRule type="cellIs" dxfId="7349" priority="2" operator="lessThan">
      <formula>0.1</formula>
    </cfRule>
    <cfRule type="cellIs" dxfId="7348" priority="3" operator="greaterThan">
      <formula>0.12</formula>
    </cfRule>
  </conditionalFormatting>
  <conditionalFormatting sqref="E28">
    <cfRule type="cellIs" dxfId="7347" priority="6" operator="lessThan">
      <formula>$B$8*100</formula>
    </cfRule>
    <cfRule type="cellIs" dxfId="7346" priority="7" operator="greaterThan">
      <formula>$B$8*100</formula>
    </cfRule>
  </conditionalFormatting>
  <hyperlinks>
    <hyperlink ref="A32" r:id="rId1" display="https://www.zillow.com/homes/recently_sold/" xr:uid="{C54D10EC-1C0C-4A00-942C-CE1197070C42}"/>
    <hyperlink ref="A21" r:id="rId2" xr:uid="{2685F37A-1E50-443C-81F0-AE93623EC6DA}"/>
    <hyperlink ref="A25" r:id="rId3" display="www.mortgagecalculator.org" xr:uid="{AA70EF94-80C7-4618-8A83-598499613EC6}"/>
    <hyperlink ref="A12" r:id="rId4" xr:uid="{99291F31-D498-40DA-9EDD-381415E757AE}"/>
  </hyperlinks>
  <pageMargins left="0.7" right="0.7" top="0.75" bottom="0.75" header="0.3" footer="0.3"/>
  <drawing r:id="rId5"/>
  <legacyDrawing r:id="rId6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52F4-688D-4913-B70C-FA25B6873309}">
  <sheetPr codeName="Sheet31">
    <tabColor rgb="FF92D050"/>
  </sheetPr>
  <dimension ref="A1:P42"/>
  <sheetViews>
    <sheetView topLeftCell="A13" workbookViewId="0">
      <selection activeCell="A31" sqref="A31:B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1870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118915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5945.75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112969.25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1209</v>
      </c>
      <c r="D21" s="23" t="s">
        <v>28</v>
      </c>
      <c r="E21" s="8">
        <f>500*3</f>
        <v>1500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1189.1500000000001</v>
      </c>
      <c r="D22" s="7" t="s">
        <v>77</v>
      </c>
      <c r="E22" s="17">
        <f>B16*0.01</f>
        <v>1189.1500000000001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895.59</v>
      </c>
      <c r="D25" s="7" t="s">
        <v>38</v>
      </c>
      <c r="E25" s="35">
        <f>B25</f>
        <v>895.59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1076.94</v>
      </c>
      <c r="D26" s="7" t="s">
        <v>41</v>
      </c>
      <c r="E26" s="17">
        <f>E25+I25+I34</f>
        <v>1076.94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132.05999999999995</v>
      </c>
      <c r="D28" s="7" t="s">
        <v>43</v>
      </c>
      <c r="E28" s="44">
        <f>E21-E25-I25-I34+I24+I33</f>
        <v>423.05999999999995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0.26652987427994773</v>
      </c>
      <c r="D29" s="46" t="s">
        <v>44</v>
      </c>
      <c r="E29" s="47">
        <f>(E28*12)/B17</f>
        <v>0.85384013791363567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60.45</v>
      </c>
    </row>
    <row r="32" spans="1:16" x14ac:dyDescent="0.25">
      <c r="A32" s="26" t="s">
        <v>49</v>
      </c>
      <c r="B32" s="8">
        <f>B16</f>
        <v>118915</v>
      </c>
      <c r="G32" s="27" t="s">
        <v>50</v>
      </c>
      <c r="H32" s="48">
        <v>0.05</v>
      </c>
      <c r="I32" s="49">
        <f>$B$21*H32</f>
        <v>60.45</v>
      </c>
    </row>
    <row r="33" spans="1:9" x14ac:dyDescent="0.25">
      <c r="A33" s="7" t="s">
        <v>51</v>
      </c>
      <c r="B33" s="17">
        <f>B32-B18</f>
        <v>5945.75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181.35000000000002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80.019885416666668</v>
      </c>
      <c r="D39" s="7"/>
      <c r="E39" s="17"/>
    </row>
    <row r="40" spans="1:9" x14ac:dyDescent="0.25">
      <c r="A40" s="7" t="s">
        <v>58</v>
      </c>
      <c r="B40" s="17">
        <f>B25-B39</f>
        <v>815.57011458333341</v>
      </c>
      <c r="D40" s="7"/>
      <c r="E40" s="17"/>
    </row>
    <row r="41" spans="1:9" x14ac:dyDescent="0.25">
      <c r="A41" s="7" t="s">
        <v>59</v>
      </c>
      <c r="B41" s="43">
        <f>B21-B40-I25-I34</f>
        <v>212.07988541666657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0.42802987427994765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345" priority="31" operator="equal">
      <formula>"NO"</formula>
    </cfRule>
    <cfRule type="cellIs" dxfId="7344" priority="32" operator="equal">
      <formula>"YES"</formula>
    </cfRule>
  </conditionalFormatting>
  <conditionalFormatting sqref="E38">
    <cfRule type="cellIs" dxfId="7343" priority="29" operator="equal">
      <formula>"YES"</formula>
    </cfRule>
    <cfRule type="cellIs" dxfId="7342" priority="30" operator="equal">
      <formula>"NO"</formula>
    </cfRule>
  </conditionalFormatting>
  <conditionalFormatting sqref="B23">
    <cfRule type="cellIs" dxfId="7341" priority="27" operator="equal">
      <formula>"NO"</formula>
    </cfRule>
    <cfRule type="cellIs" dxfId="7340" priority="28" operator="equal">
      <formula>"YES"</formula>
    </cfRule>
  </conditionalFormatting>
  <conditionalFormatting sqref="B12">
    <cfRule type="containsText" dxfId="7339" priority="13" operator="containsText" text="Low">
      <formula>NOT(ISERROR(SEARCH("Low",B12)))</formula>
    </cfRule>
    <cfRule type="containsText" dxfId="7338" priority="14" operator="containsText" text="Medium">
      <formula>NOT(ISERROR(SEARCH("Medium",B12)))</formula>
    </cfRule>
    <cfRule type="containsText" dxfId="7337" priority="15" operator="containsText" text="High">
      <formula>NOT(ISERROR(SEARCH("High",B12)))</formula>
    </cfRule>
  </conditionalFormatting>
  <conditionalFormatting sqref="B29">
    <cfRule type="cellIs" dxfId="7336" priority="23" operator="between">
      <formula>10%</formula>
      <formula>11.9%</formula>
    </cfRule>
    <cfRule type="cellIs" dxfId="7335" priority="25" operator="lessThan">
      <formula>0.1</formula>
    </cfRule>
    <cfRule type="cellIs" dxfId="7334" priority="26" operator="greaterThanOrEqual">
      <formula>0.12</formula>
    </cfRule>
  </conditionalFormatting>
  <conditionalFormatting sqref="B42">
    <cfRule type="cellIs" dxfId="7333" priority="21" operator="between">
      <formula>0.1</formula>
      <formula>0.1199</formula>
    </cfRule>
    <cfRule type="cellIs" dxfId="7332" priority="22" operator="lessThan">
      <formula>0.1</formula>
    </cfRule>
    <cfRule type="cellIs" dxfId="7331" priority="24" operator="greaterThanOrEqual">
      <formula>0.12</formula>
    </cfRule>
  </conditionalFormatting>
  <conditionalFormatting sqref="B10">
    <cfRule type="containsText" dxfId="7330" priority="16" operator="containsText" text="Full">
      <formula>NOT(ISERROR(SEARCH("Full",B10)))</formula>
    </cfRule>
    <cfRule type="containsText" dxfId="7329" priority="17" operator="containsText" text="Heavy">
      <formula>NOT(ISERROR(SEARCH("Heavy",B10)))</formula>
    </cfRule>
    <cfRule type="containsText" dxfId="7328" priority="18" operator="containsText" text="Medium">
      <formula>NOT(ISERROR(SEARCH("Medium",B10)))</formula>
    </cfRule>
    <cfRule type="containsText" dxfId="7327" priority="19" operator="containsText" text="Light">
      <formula>NOT(ISERROR(SEARCH("Light",B10)))</formula>
    </cfRule>
    <cfRule type="containsText" dxfId="7326" priority="20" operator="containsText" text="None">
      <formula>NOT(ISERROR(SEARCH("None",B10)))</formula>
    </cfRule>
  </conditionalFormatting>
  <conditionalFormatting sqref="E42">
    <cfRule type="cellIs" dxfId="7325" priority="10" operator="between">
      <formula>0.1</formula>
      <formula>0.119</formula>
    </cfRule>
    <cfRule type="cellIs" dxfId="7324" priority="11" operator="lessThan">
      <formula>0.1</formula>
    </cfRule>
    <cfRule type="cellIs" dxfId="7323" priority="12" operator="greaterThanOrEqual">
      <formula>0.12</formula>
    </cfRule>
  </conditionalFormatting>
  <conditionalFormatting sqref="B28">
    <cfRule type="cellIs" dxfId="7322" priority="33" operator="lessThan">
      <formula>$B$8*100</formula>
    </cfRule>
    <cfRule type="cellIs" dxfId="7321" priority="34" operator="greaterThanOrEqual">
      <formula>$B$8*100</formula>
    </cfRule>
  </conditionalFormatting>
  <conditionalFormatting sqref="B41">
    <cfRule type="cellIs" dxfId="7320" priority="35" operator="lessThan">
      <formula>$B$8*100</formula>
    </cfRule>
    <cfRule type="cellIs" dxfId="7319" priority="36" operator="greaterThan">
      <formula>$B$8*100</formula>
    </cfRule>
    <cfRule type="cellIs" dxfId="7318" priority="37" operator="greaterThan">
      <formula>$B$8*100</formula>
    </cfRule>
  </conditionalFormatting>
  <conditionalFormatting sqref="E41">
    <cfRule type="cellIs" dxfId="7317" priority="38" operator="greaterThan">
      <formula>$B$8*100</formula>
    </cfRule>
    <cfRule type="cellIs" dxfId="7316" priority="39" operator="lessThan">
      <formula>$B$8*100</formula>
    </cfRule>
  </conditionalFormatting>
  <conditionalFormatting sqref="B38">
    <cfRule type="cellIs" dxfId="7315" priority="8" operator="equal">
      <formula>"YES"</formula>
    </cfRule>
    <cfRule type="cellIs" dxfId="7314" priority="9" operator="equal">
      <formula>"NO"</formula>
    </cfRule>
  </conditionalFormatting>
  <conditionalFormatting sqref="E23:E26">
    <cfRule type="cellIs" dxfId="7313" priority="4" operator="equal">
      <formula>"NO"</formula>
    </cfRule>
    <cfRule type="cellIs" dxfId="7312" priority="5" operator="equal">
      <formula>"YES"</formula>
    </cfRule>
  </conditionalFormatting>
  <conditionalFormatting sqref="E29">
    <cfRule type="cellIs" dxfId="7311" priority="1" operator="between">
      <formula>10%</formula>
      <formula>12%</formula>
    </cfRule>
    <cfRule type="cellIs" dxfId="7310" priority="2" operator="lessThan">
      <formula>0.1</formula>
    </cfRule>
    <cfRule type="cellIs" dxfId="7309" priority="3" operator="greaterThan">
      <formula>0.12</formula>
    </cfRule>
  </conditionalFormatting>
  <conditionalFormatting sqref="E28">
    <cfRule type="cellIs" dxfId="7308" priority="6" operator="lessThan">
      <formula>$B$8*100</formula>
    </cfRule>
    <cfRule type="cellIs" dxfId="7307" priority="7" operator="greaterThan">
      <formula>$B$8*100</formula>
    </cfRule>
  </conditionalFormatting>
  <hyperlinks>
    <hyperlink ref="A32" r:id="rId1" display="https://www.zillow.com/homes/recently_sold/" xr:uid="{19914A31-5CD0-4DD2-AA5A-E565DE75B342}"/>
    <hyperlink ref="A21" r:id="rId2" xr:uid="{16EA1C0E-0C5D-4260-8E59-C92577E37756}"/>
    <hyperlink ref="A25" r:id="rId3" display="www.mortgagecalculator.org" xr:uid="{3DFD9EA4-6255-4DBA-8543-806DD888517A}"/>
    <hyperlink ref="A12" r:id="rId4" xr:uid="{78B56831-C645-4C94-A354-D1ED2C8B0670}"/>
  </hyperlinks>
  <pageMargins left="0.7" right="0.7" top="0.75" bottom="0.75" header="0.3" footer="0.3"/>
  <drawing r:id="rId5"/>
  <legacyDrawing r:id="rId6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EDBEF-226C-4260-BEF8-C86BE3A55E0A}">
  <sheetPr codeName="Sheet32">
    <tabColor rgb="FF92D050"/>
  </sheetPr>
  <dimension ref="A1:P42"/>
  <sheetViews>
    <sheetView topLeftCell="A11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179910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179910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8995.5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170914.5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1636</v>
      </c>
      <c r="D21" s="23" t="s">
        <v>28</v>
      </c>
      <c r="E21" s="8">
        <f>500*3</f>
        <v>1500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1799.1000000000001</v>
      </c>
      <c r="D22" s="7" t="s">
        <v>77</v>
      </c>
      <c r="E22" s="17">
        <f>B16*0.01</f>
        <v>1799.1000000000001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1233.99</v>
      </c>
      <c r="D25" s="7" t="s">
        <v>38</v>
      </c>
      <c r="E25" s="35">
        <f>B25</f>
        <v>1233.99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1479.39</v>
      </c>
      <c r="D26" s="7" t="s">
        <v>41</v>
      </c>
      <c r="E26" s="17">
        <f>E25+I25+I34</f>
        <v>1479.39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156.6099999999999</v>
      </c>
      <c r="D28" s="7" t="s">
        <v>43</v>
      </c>
      <c r="E28" s="44">
        <f>E21-E25-I25-I34+I24+I33</f>
        <v>20.609999999999957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0.20891779222944792</v>
      </c>
      <c r="D29" s="46" t="s">
        <v>44</v>
      </c>
      <c r="E29" s="47">
        <f>(E28*12)/B17</f>
        <v>2.7493746873436659E-2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81.800000000000011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81.800000000000011</v>
      </c>
    </row>
    <row r="32" spans="1:16" x14ac:dyDescent="0.25">
      <c r="A32" s="26" t="s">
        <v>49</v>
      </c>
      <c r="B32" s="8">
        <f>B16</f>
        <v>179910</v>
      </c>
      <c r="G32" s="27" t="s">
        <v>50</v>
      </c>
      <c r="H32" s="48">
        <v>0.05</v>
      </c>
      <c r="I32" s="49">
        <f>$B$21*H32</f>
        <v>81.800000000000011</v>
      </c>
    </row>
    <row r="33" spans="1:9" x14ac:dyDescent="0.25">
      <c r="A33" s="7" t="s">
        <v>51</v>
      </c>
      <c r="B33" s="17">
        <f>B32-B18</f>
        <v>8995.5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245.40000000000003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121.06443750000001</v>
      </c>
      <c r="D39" s="7"/>
      <c r="E39" s="17"/>
    </row>
    <row r="40" spans="1:9" x14ac:dyDescent="0.25">
      <c r="A40" s="7" t="s">
        <v>58</v>
      </c>
      <c r="B40" s="17">
        <f>B25-B39</f>
        <v>1112.9255625000001</v>
      </c>
      <c r="D40" s="7"/>
      <c r="E40" s="17"/>
    </row>
    <row r="41" spans="1:9" x14ac:dyDescent="0.25">
      <c r="A41" s="7" t="s">
        <v>59</v>
      </c>
      <c r="B41" s="43">
        <f>B21-B40-I25-I34</f>
        <v>277.6744374999999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0.37041779222944793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306" priority="31" operator="equal">
      <formula>"NO"</formula>
    </cfRule>
    <cfRule type="cellIs" dxfId="7305" priority="32" operator="equal">
      <formula>"YES"</formula>
    </cfRule>
  </conditionalFormatting>
  <conditionalFormatting sqref="E38">
    <cfRule type="cellIs" dxfId="7304" priority="29" operator="equal">
      <formula>"YES"</formula>
    </cfRule>
    <cfRule type="cellIs" dxfId="7303" priority="30" operator="equal">
      <formula>"NO"</formula>
    </cfRule>
  </conditionalFormatting>
  <conditionalFormatting sqref="B23">
    <cfRule type="cellIs" dxfId="7302" priority="27" operator="equal">
      <formula>"NO"</formula>
    </cfRule>
    <cfRule type="cellIs" dxfId="7301" priority="28" operator="equal">
      <formula>"YES"</formula>
    </cfRule>
  </conditionalFormatting>
  <conditionalFormatting sqref="B12">
    <cfRule type="containsText" dxfId="7300" priority="13" operator="containsText" text="Low">
      <formula>NOT(ISERROR(SEARCH("Low",B12)))</formula>
    </cfRule>
    <cfRule type="containsText" dxfId="7299" priority="14" operator="containsText" text="Medium">
      <formula>NOT(ISERROR(SEARCH("Medium",B12)))</formula>
    </cfRule>
    <cfRule type="containsText" dxfId="7298" priority="15" operator="containsText" text="High">
      <formula>NOT(ISERROR(SEARCH("High",B12)))</formula>
    </cfRule>
  </conditionalFormatting>
  <conditionalFormatting sqref="B29">
    <cfRule type="cellIs" dxfId="7297" priority="23" operator="between">
      <formula>10%</formula>
      <formula>11.9%</formula>
    </cfRule>
    <cfRule type="cellIs" dxfId="7296" priority="25" operator="lessThan">
      <formula>0.1</formula>
    </cfRule>
    <cfRule type="cellIs" dxfId="7295" priority="26" operator="greaterThanOrEqual">
      <formula>0.12</formula>
    </cfRule>
  </conditionalFormatting>
  <conditionalFormatting sqref="B42">
    <cfRule type="cellIs" dxfId="7294" priority="21" operator="between">
      <formula>0.1</formula>
      <formula>0.1199</formula>
    </cfRule>
    <cfRule type="cellIs" dxfId="7293" priority="22" operator="lessThan">
      <formula>0.1</formula>
    </cfRule>
    <cfRule type="cellIs" dxfId="7292" priority="24" operator="greaterThanOrEqual">
      <formula>0.12</formula>
    </cfRule>
  </conditionalFormatting>
  <conditionalFormatting sqref="B10">
    <cfRule type="containsText" dxfId="7291" priority="16" operator="containsText" text="Full">
      <formula>NOT(ISERROR(SEARCH("Full",B10)))</formula>
    </cfRule>
    <cfRule type="containsText" dxfId="7290" priority="17" operator="containsText" text="Heavy">
      <formula>NOT(ISERROR(SEARCH("Heavy",B10)))</formula>
    </cfRule>
    <cfRule type="containsText" dxfId="7289" priority="18" operator="containsText" text="Medium">
      <formula>NOT(ISERROR(SEARCH("Medium",B10)))</formula>
    </cfRule>
    <cfRule type="containsText" dxfId="7288" priority="19" operator="containsText" text="Light">
      <formula>NOT(ISERROR(SEARCH("Light",B10)))</formula>
    </cfRule>
    <cfRule type="containsText" dxfId="7287" priority="20" operator="containsText" text="None">
      <formula>NOT(ISERROR(SEARCH("None",B10)))</formula>
    </cfRule>
  </conditionalFormatting>
  <conditionalFormatting sqref="E42">
    <cfRule type="cellIs" dxfId="7286" priority="10" operator="between">
      <formula>0.1</formula>
      <formula>0.119</formula>
    </cfRule>
    <cfRule type="cellIs" dxfId="7285" priority="11" operator="lessThan">
      <formula>0.1</formula>
    </cfRule>
    <cfRule type="cellIs" dxfId="7284" priority="12" operator="greaterThanOrEqual">
      <formula>0.12</formula>
    </cfRule>
  </conditionalFormatting>
  <conditionalFormatting sqref="B28">
    <cfRule type="cellIs" dxfId="7283" priority="33" operator="lessThan">
      <formula>$B$8*100</formula>
    </cfRule>
    <cfRule type="cellIs" dxfId="7282" priority="34" operator="greaterThanOrEqual">
      <formula>$B$8*100</formula>
    </cfRule>
  </conditionalFormatting>
  <conditionalFormatting sqref="B41">
    <cfRule type="cellIs" dxfId="7281" priority="35" operator="lessThan">
      <formula>$B$8*100</formula>
    </cfRule>
    <cfRule type="cellIs" dxfId="7280" priority="36" operator="greaterThan">
      <formula>$B$8*100</formula>
    </cfRule>
    <cfRule type="cellIs" dxfId="7279" priority="37" operator="greaterThan">
      <formula>$B$8*100</formula>
    </cfRule>
  </conditionalFormatting>
  <conditionalFormatting sqref="E41">
    <cfRule type="cellIs" dxfId="7278" priority="38" operator="greaterThan">
      <formula>$B$8*100</formula>
    </cfRule>
    <cfRule type="cellIs" dxfId="7277" priority="39" operator="lessThan">
      <formula>$B$8*100</formula>
    </cfRule>
  </conditionalFormatting>
  <conditionalFormatting sqref="B38">
    <cfRule type="cellIs" dxfId="7276" priority="8" operator="equal">
      <formula>"YES"</formula>
    </cfRule>
    <cfRule type="cellIs" dxfId="7275" priority="9" operator="equal">
      <formula>"NO"</formula>
    </cfRule>
  </conditionalFormatting>
  <conditionalFormatting sqref="E23:E26">
    <cfRule type="cellIs" dxfId="7274" priority="4" operator="equal">
      <formula>"NO"</formula>
    </cfRule>
    <cfRule type="cellIs" dxfId="7273" priority="5" operator="equal">
      <formula>"YES"</formula>
    </cfRule>
  </conditionalFormatting>
  <conditionalFormatting sqref="E29">
    <cfRule type="cellIs" dxfId="7272" priority="1" operator="between">
      <formula>10%</formula>
      <formula>12%</formula>
    </cfRule>
    <cfRule type="cellIs" dxfId="7271" priority="2" operator="lessThan">
      <formula>0.1</formula>
    </cfRule>
    <cfRule type="cellIs" dxfId="7270" priority="3" operator="greaterThan">
      <formula>0.12</formula>
    </cfRule>
  </conditionalFormatting>
  <conditionalFormatting sqref="E28">
    <cfRule type="cellIs" dxfId="7269" priority="6" operator="lessThan">
      <formula>$B$8*100</formula>
    </cfRule>
    <cfRule type="cellIs" dxfId="7268" priority="7" operator="greaterThan">
      <formula>$B$8*100</formula>
    </cfRule>
  </conditionalFormatting>
  <hyperlinks>
    <hyperlink ref="A32" r:id="rId1" display="https://www.zillow.com/homes/recently_sold/" xr:uid="{3741CDAF-0BD9-4B7A-B8B5-F52010FECB26}"/>
    <hyperlink ref="A21" r:id="rId2" xr:uid="{5C31A6D5-7906-4B04-B204-87F1AE536449}"/>
    <hyperlink ref="A25" r:id="rId3" display="www.mortgagecalculator.org" xr:uid="{1D038A76-6B2D-45CE-BC06-0A263F2A336D}"/>
    <hyperlink ref="A12" r:id="rId4" xr:uid="{0E669938-FD24-4212-9994-15C48C3E1303}"/>
  </hyperlinks>
  <pageMargins left="0.7" right="0.7" top="0.75" bottom="0.75" header="0.3" footer="0.3"/>
  <drawing r:id="rId5"/>
  <legacyDrawing r:id="rId6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B09C9-7748-4333-9BF6-5CD18F4D1FEE}">
  <sheetPr codeName="Sheet33">
    <tabColor rgb="FFFF0000"/>
  </sheetPr>
  <dimension ref="A1:P42"/>
  <sheetViews>
    <sheetView topLeftCell="A10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109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904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157165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157165</v>
      </c>
      <c r="D16" s="2"/>
      <c r="E16" s="18"/>
    </row>
    <row r="17" spans="1:16" ht="15.75" thickBot="1" x14ac:dyDescent="0.3">
      <c r="A17" s="7" t="s">
        <v>21</v>
      </c>
      <c r="B17" s="17">
        <f>B16*0.2</f>
        <v>31433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125732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1465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1571.65</v>
      </c>
      <c r="D22" s="7" t="s">
        <v>77</v>
      </c>
      <c r="E22" s="17">
        <f>B16*0.01</f>
        <v>1571.65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1072.54</v>
      </c>
      <c r="D25" s="7" t="s">
        <v>38</v>
      </c>
      <c r="E25" s="35">
        <f>B25</f>
        <v>1072.54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1292.29</v>
      </c>
      <c r="D26" s="7" t="s">
        <v>41</v>
      </c>
      <c r="E26" s="17">
        <f>E25+I25+I34</f>
        <v>1292.29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172.71000000000004</v>
      </c>
      <c r="D28" s="7" t="s">
        <v>43</v>
      </c>
      <c r="E28" s="44">
        <f>E21-E25-I25-I34+I24+I33</f>
        <v>-242.28999999999996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6.5934527407501678E-2</v>
      </c>
      <c r="D29" s="46" t="s">
        <v>44</v>
      </c>
      <c r="E29" s="47">
        <f>(E28*12)/B17</f>
        <v>-9.2497693506824019E-2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73.25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73.25</v>
      </c>
    </row>
    <row r="32" spans="1:16" x14ac:dyDescent="0.25">
      <c r="A32" s="26" t="s">
        <v>49</v>
      </c>
      <c r="B32" s="8">
        <f>B16</f>
        <v>157165</v>
      </c>
      <c r="G32" s="27" t="s">
        <v>50</v>
      </c>
      <c r="H32" s="48">
        <v>0.05</v>
      </c>
      <c r="I32" s="49">
        <f>$B$21*H32</f>
        <v>73.25</v>
      </c>
    </row>
    <row r="33" spans="1:9" x14ac:dyDescent="0.25">
      <c r="A33" s="7" t="s">
        <v>51</v>
      </c>
      <c r="B33" s="17">
        <f>B32-B18</f>
        <v>31433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219.75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89.06016666666666</v>
      </c>
      <c r="D39" s="7"/>
      <c r="E39" s="17"/>
    </row>
    <row r="40" spans="1:9" x14ac:dyDescent="0.25">
      <c r="A40" s="7" t="s">
        <v>58</v>
      </c>
      <c r="B40" s="17">
        <f>B25-B39</f>
        <v>983.47983333333332</v>
      </c>
      <c r="D40" s="7"/>
      <c r="E40" s="17"/>
    </row>
    <row r="41" spans="1:9" x14ac:dyDescent="0.25">
      <c r="A41" s="7" t="s">
        <v>59</v>
      </c>
      <c r="B41" s="43">
        <f>B21-B40-I25-I34</f>
        <v>261.77016666666668</v>
      </c>
      <c r="D41" s="53"/>
      <c r="E41" s="54"/>
    </row>
    <row r="42" spans="1:9" ht="15.75" thickBot="1" x14ac:dyDescent="0.3">
      <c r="A42" s="46" t="s">
        <v>44</v>
      </c>
      <c r="B42" s="47">
        <f>(B41*12)/B17</f>
        <v>9.993452740750168E-2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267" priority="31" operator="equal">
      <formula>"NO"</formula>
    </cfRule>
    <cfRule type="cellIs" dxfId="7266" priority="32" operator="equal">
      <formula>"YES"</formula>
    </cfRule>
  </conditionalFormatting>
  <conditionalFormatting sqref="E38">
    <cfRule type="cellIs" dxfId="7265" priority="29" operator="equal">
      <formula>"YES"</formula>
    </cfRule>
    <cfRule type="cellIs" dxfId="7264" priority="30" operator="equal">
      <formula>"NO"</formula>
    </cfRule>
  </conditionalFormatting>
  <conditionalFormatting sqref="B23">
    <cfRule type="cellIs" dxfId="7263" priority="27" operator="equal">
      <formula>"NO"</formula>
    </cfRule>
    <cfRule type="cellIs" dxfId="7262" priority="28" operator="equal">
      <formula>"YES"</formula>
    </cfRule>
  </conditionalFormatting>
  <conditionalFormatting sqref="B12">
    <cfRule type="containsText" dxfId="7261" priority="13" operator="containsText" text="Low">
      <formula>NOT(ISERROR(SEARCH("Low",B12)))</formula>
    </cfRule>
    <cfRule type="containsText" dxfId="7260" priority="14" operator="containsText" text="Medium">
      <formula>NOT(ISERROR(SEARCH("Medium",B12)))</formula>
    </cfRule>
    <cfRule type="containsText" dxfId="7259" priority="15" operator="containsText" text="High">
      <formula>NOT(ISERROR(SEARCH("High",B12)))</formula>
    </cfRule>
  </conditionalFormatting>
  <conditionalFormatting sqref="B29">
    <cfRule type="cellIs" dxfId="7258" priority="23" operator="between">
      <formula>10%</formula>
      <formula>11.9%</formula>
    </cfRule>
    <cfRule type="cellIs" dxfId="7257" priority="25" operator="lessThan">
      <formula>0.1</formula>
    </cfRule>
    <cfRule type="cellIs" dxfId="7256" priority="26" operator="greaterThanOrEqual">
      <formula>0.12</formula>
    </cfRule>
  </conditionalFormatting>
  <conditionalFormatting sqref="B42">
    <cfRule type="cellIs" dxfId="7255" priority="21" operator="between">
      <formula>0.1</formula>
      <formula>0.1199</formula>
    </cfRule>
    <cfRule type="cellIs" dxfId="7254" priority="22" operator="lessThan">
      <formula>0.1</formula>
    </cfRule>
    <cfRule type="cellIs" dxfId="7253" priority="24" operator="greaterThanOrEqual">
      <formula>0.12</formula>
    </cfRule>
  </conditionalFormatting>
  <conditionalFormatting sqref="B10">
    <cfRule type="containsText" dxfId="7252" priority="16" operator="containsText" text="Full">
      <formula>NOT(ISERROR(SEARCH("Full",B10)))</formula>
    </cfRule>
    <cfRule type="containsText" dxfId="7251" priority="17" operator="containsText" text="Heavy">
      <formula>NOT(ISERROR(SEARCH("Heavy",B10)))</formula>
    </cfRule>
    <cfRule type="containsText" dxfId="7250" priority="18" operator="containsText" text="Medium">
      <formula>NOT(ISERROR(SEARCH("Medium",B10)))</formula>
    </cfRule>
    <cfRule type="containsText" dxfId="7249" priority="19" operator="containsText" text="Light">
      <formula>NOT(ISERROR(SEARCH("Light",B10)))</formula>
    </cfRule>
    <cfRule type="containsText" dxfId="7248" priority="20" operator="containsText" text="None">
      <formula>NOT(ISERROR(SEARCH("None",B10)))</formula>
    </cfRule>
  </conditionalFormatting>
  <conditionalFormatting sqref="E42">
    <cfRule type="cellIs" dxfId="7247" priority="10" operator="between">
      <formula>0.1</formula>
      <formula>0.119</formula>
    </cfRule>
    <cfRule type="cellIs" dxfId="7246" priority="11" operator="lessThan">
      <formula>0.1</formula>
    </cfRule>
    <cfRule type="cellIs" dxfId="7245" priority="12" operator="greaterThanOrEqual">
      <formula>0.12</formula>
    </cfRule>
  </conditionalFormatting>
  <conditionalFormatting sqref="B28">
    <cfRule type="cellIs" dxfId="7244" priority="33" operator="lessThan">
      <formula>$B$8*100</formula>
    </cfRule>
    <cfRule type="cellIs" dxfId="7243" priority="34" operator="greaterThanOrEqual">
      <formula>$B$8*100</formula>
    </cfRule>
  </conditionalFormatting>
  <conditionalFormatting sqref="B41">
    <cfRule type="cellIs" dxfId="7242" priority="35" operator="lessThan">
      <formula>$B$8*100</formula>
    </cfRule>
    <cfRule type="cellIs" dxfId="7241" priority="36" operator="greaterThan">
      <formula>$B$8*100</formula>
    </cfRule>
    <cfRule type="cellIs" dxfId="7240" priority="37" operator="greaterThan">
      <formula>$B$8*100</formula>
    </cfRule>
  </conditionalFormatting>
  <conditionalFormatting sqref="E41">
    <cfRule type="cellIs" dxfId="7239" priority="38" operator="greaterThan">
      <formula>$B$8*100</formula>
    </cfRule>
    <cfRule type="cellIs" dxfId="7238" priority="39" operator="lessThan">
      <formula>$B$8*100</formula>
    </cfRule>
  </conditionalFormatting>
  <conditionalFormatting sqref="B38">
    <cfRule type="cellIs" dxfId="7237" priority="8" operator="equal">
      <formula>"YES"</formula>
    </cfRule>
    <cfRule type="cellIs" dxfId="7236" priority="9" operator="equal">
      <formula>"NO"</formula>
    </cfRule>
  </conditionalFormatting>
  <conditionalFormatting sqref="E23:E26">
    <cfRule type="cellIs" dxfId="7235" priority="4" operator="equal">
      <formula>"NO"</formula>
    </cfRule>
    <cfRule type="cellIs" dxfId="7234" priority="5" operator="equal">
      <formula>"YES"</formula>
    </cfRule>
  </conditionalFormatting>
  <conditionalFormatting sqref="E29">
    <cfRule type="cellIs" dxfId="7233" priority="1" operator="between">
      <formula>10%</formula>
      <formula>12%</formula>
    </cfRule>
    <cfRule type="cellIs" dxfId="7232" priority="2" operator="lessThan">
      <formula>0.1</formula>
    </cfRule>
    <cfRule type="cellIs" dxfId="7231" priority="3" operator="greaterThan">
      <formula>0.12</formula>
    </cfRule>
  </conditionalFormatting>
  <conditionalFormatting sqref="E28">
    <cfRule type="cellIs" dxfId="7230" priority="6" operator="lessThan">
      <formula>$B$8*100</formula>
    </cfRule>
    <cfRule type="cellIs" dxfId="7229" priority="7" operator="greaterThan">
      <formula>$B$8*100</formula>
    </cfRule>
  </conditionalFormatting>
  <hyperlinks>
    <hyperlink ref="A32" r:id="rId1" display="https://www.zillow.com/homes/recently_sold/" xr:uid="{92E9A7E0-BC35-46B7-AE97-A5FDFD8C6EC8}"/>
    <hyperlink ref="A21" r:id="rId2" xr:uid="{CAA44838-91B4-41C8-8BDE-0AB1ABD9AAAC}"/>
    <hyperlink ref="A25" r:id="rId3" display="www.mortgagecalculator.org" xr:uid="{83278EBF-6F11-4CC5-886E-4B670E3DA60C}"/>
    <hyperlink ref="A12" r:id="rId4" xr:uid="{B9DF8C9B-8668-4E27-8722-702FBEC801B6}"/>
  </hyperlinks>
  <pageMargins left="0.7" right="0.7" top="0.75" bottom="0.75" header="0.3" footer="0.3"/>
  <drawing r:id="rId5"/>
  <legacyDrawing r:id="rId6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E2E3-719B-44D9-860D-8E97788C0374}">
  <sheetPr codeName="Sheet34">
    <tabColor rgb="FFFF0000"/>
  </sheetPr>
  <dimension ref="A1:P42"/>
  <sheetViews>
    <sheetView topLeftCell="A11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273000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1792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232050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232050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11602.5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220447.5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2015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2320.5</v>
      </c>
      <c r="D22" s="7" t="s">
        <v>77</v>
      </c>
      <c r="E22" s="17">
        <f>B16*0.01</f>
        <v>2320.5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1600</v>
      </c>
      <c r="D25" s="7" t="s">
        <v>38</v>
      </c>
      <c r="E25" s="35">
        <f>B25</f>
        <v>1600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1902.25</v>
      </c>
      <c r="D26" s="7" t="s">
        <v>41</v>
      </c>
      <c r="E26" s="17">
        <f>E25+I25+I34</f>
        <v>1902.25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112.75</v>
      </c>
      <c r="D28" s="7" t="s">
        <v>43</v>
      </c>
      <c r="E28" s="44">
        <f>E21-E25-I25-I34+I24+I33</f>
        <v>-852.25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0.11661279896574014</v>
      </c>
      <c r="D29" s="46" t="s">
        <v>44</v>
      </c>
      <c r="E29" s="47">
        <f>(E28*12)/B17</f>
        <v>-0.88144796380090495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100.75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100.75</v>
      </c>
    </row>
    <row r="32" spans="1:16" x14ac:dyDescent="0.25">
      <c r="A32" s="26" t="s">
        <v>49</v>
      </c>
      <c r="B32" s="8">
        <f>B16</f>
        <v>232050</v>
      </c>
      <c r="G32" s="27" t="s">
        <v>50</v>
      </c>
      <c r="H32" s="48">
        <v>0.05</v>
      </c>
      <c r="I32" s="49">
        <f>$B$21*H32</f>
        <v>100.75</v>
      </c>
    </row>
    <row r="33" spans="1:9" x14ac:dyDescent="0.25">
      <c r="A33" s="7" t="s">
        <v>51</v>
      </c>
      <c r="B33" s="17">
        <f>B32-B18</f>
        <v>11602.5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302.25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156.15031250000001</v>
      </c>
      <c r="D39" s="7"/>
      <c r="E39" s="17"/>
    </row>
    <row r="40" spans="1:9" x14ac:dyDescent="0.25">
      <c r="A40" s="7" t="s">
        <v>58</v>
      </c>
      <c r="B40" s="17">
        <f>B25-B39</f>
        <v>1443.8496875000001</v>
      </c>
      <c r="D40" s="7"/>
      <c r="E40" s="17"/>
    </row>
    <row r="41" spans="1:9" x14ac:dyDescent="0.25">
      <c r="A41" s="7" t="s">
        <v>59</v>
      </c>
      <c r="B41" s="43">
        <f>B21-B40-I25-I34</f>
        <v>268.90031249999993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0.27811279896574009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228" priority="31" operator="equal">
      <formula>"NO"</formula>
    </cfRule>
    <cfRule type="cellIs" dxfId="7227" priority="32" operator="equal">
      <formula>"YES"</formula>
    </cfRule>
  </conditionalFormatting>
  <conditionalFormatting sqref="E38">
    <cfRule type="cellIs" dxfId="7226" priority="29" operator="equal">
      <formula>"YES"</formula>
    </cfRule>
    <cfRule type="cellIs" dxfId="7225" priority="30" operator="equal">
      <formula>"NO"</formula>
    </cfRule>
  </conditionalFormatting>
  <conditionalFormatting sqref="B23">
    <cfRule type="cellIs" dxfId="7224" priority="27" operator="equal">
      <formula>"NO"</formula>
    </cfRule>
    <cfRule type="cellIs" dxfId="7223" priority="28" operator="equal">
      <formula>"YES"</formula>
    </cfRule>
  </conditionalFormatting>
  <conditionalFormatting sqref="B12">
    <cfRule type="containsText" dxfId="7222" priority="13" operator="containsText" text="Low">
      <formula>NOT(ISERROR(SEARCH("Low",B12)))</formula>
    </cfRule>
    <cfRule type="containsText" dxfId="7221" priority="14" operator="containsText" text="Medium">
      <formula>NOT(ISERROR(SEARCH("Medium",B12)))</formula>
    </cfRule>
    <cfRule type="containsText" dxfId="7220" priority="15" operator="containsText" text="High">
      <formula>NOT(ISERROR(SEARCH("High",B12)))</formula>
    </cfRule>
  </conditionalFormatting>
  <conditionalFormatting sqref="B29">
    <cfRule type="cellIs" dxfId="7219" priority="23" operator="between">
      <formula>10%</formula>
      <formula>11.9%</formula>
    </cfRule>
    <cfRule type="cellIs" dxfId="7218" priority="25" operator="lessThan">
      <formula>0.1</formula>
    </cfRule>
    <cfRule type="cellIs" dxfId="7217" priority="26" operator="greaterThanOrEqual">
      <formula>0.12</formula>
    </cfRule>
  </conditionalFormatting>
  <conditionalFormatting sqref="B42">
    <cfRule type="cellIs" dxfId="7216" priority="21" operator="between">
      <formula>0.1</formula>
      <formula>0.1199</formula>
    </cfRule>
    <cfRule type="cellIs" dxfId="7215" priority="22" operator="lessThan">
      <formula>0.1</formula>
    </cfRule>
    <cfRule type="cellIs" dxfId="7214" priority="24" operator="greaterThanOrEqual">
      <formula>0.12</formula>
    </cfRule>
  </conditionalFormatting>
  <conditionalFormatting sqref="B10">
    <cfRule type="containsText" dxfId="7213" priority="16" operator="containsText" text="Full">
      <formula>NOT(ISERROR(SEARCH("Full",B10)))</formula>
    </cfRule>
    <cfRule type="containsText" dxfId="7212" priority="17" operator="containsText" text="Heavy">
      <formula>NOT(ISERROR(SEARCH("Heavy",B10)))</formula>
    </cfRule>
    <cfRule type="containsText" dxfId="7211" priority="18" operator="containsText" text="Medium">
      <formula>NOT(ISERROR(SEARCH("Medium",B10)))</formula>
    </cfRule>
    <cfRule type="containsText" dxfId="7210" priority="19" operator="containsText" text="Light">
      <formula>NOT(ISERROR(SEARCH("Light",B10)))</formula>
    </cfRule>
    <cfRule type="containsText" dxfId="7209" priority="20" operator="containsText" text="None">
      <formula>NOT(ISERROR(SEARCH("None",B10)))</formula>
    </cfRule>
  </conditionalFormatting>
  <conditionalFormatting sqref="E42">
    <cfRule type="cellIs" dxfId="7208" priority="10" operator="between">
      <formula>0.1</formula>
      <formula>0.119</formula>
    </cfRule>
    <cfRule type="cellIs" dxfId="7207" priority="11" operator="lessThan">
      <formula>0.1</formula>
    </cfRule>
    <cfRule type="cellIs" dxfId="7206" priority="12" operator="greaterThanOrEqual">
      <formula>0.12</formula>
    </cfRule>
  </conditionalFormatting>
  <conditionalFormatting sqref="B28">
    <cfRule type="cellIs" dxfId="7205" priority="33" operator="lessThan">
      <formula>$B$8*100</formula>
    </cfRule>
    <cfRule type="cellIs" dxfId="7204" priority="34" operator="greaterThanOrEqual">
      <formula>$B$8*100</formula>
    </cfRule>
  </conditionalFormatting>
  <conditionalFormatting sqref="B41">
    <cfRule type="cellIs" dxfId="7203" priority="35" operator="lessThan">
      <formula>$B$8*100</formula>
    </cfRule>
    <cfRule type="cellIs" dxfId="7202" priority="36" operator="greaterThan">
      <formula>$B$8*100</formula>
    </cfRule>
    <cfRule type="cellIs" dxfId="7201" priority="37" operator="greaterThan">
      <formula>$B$8*100</formula>
    </cfRule>
  </conditionalFormatting>
  <conditionalFormatting sqref="E41">
    <cfRule type="cellIs" dxfId="7200" priority="38" operator="greaterThan">
      <formula>$B$8*100</formula>
    </cfRule>
    <cfRule type="cellIs" dxfId="7199" priority="39" operator="lessThan">
      <formula>$B$8*100</formula>
    </cfRule>
  </conditionalFormatting>
  <conditionalFormatting sqref="B38">
    <cfRule type="cellIs" dxfId="7198" priority="8" operator="equal">
      <formula>"YES"</formula>
    </cfRule>
    <cfRule type="cellIs" dxfId="7197" priority="9" operator="equal">
      <formula>"NO"</formula>
    </cfRule>
  </conditionalFormatting>
  <conditionalFormatting sqref="E23:E26">
    <cfRule type="cellIs" dxfId="7196" priority="4" operator="equal">
      <formula>"NO"</formula>
    </cfRule>
    <cfRule type="cellIs" dxfId="7195" priority="5" operator="equal">
      <formula>"YES"</formula>
    </cfRule>
  </conditionalFormatting>
  <conditionalFormatting sqref="E29">
    <cfRule type="cellIs" dxfId="7194" priority="1" operator="between">
      <formula>10%</formula>
      <formula>12%</formula>
    </cfRule>
    <cfRule type="cellIs" dxfId="7193" priority="2" operator="lessThan">
      <formula>0.1</formula>
    </cfRule>
    <cfRule type="cellIs" dxfId="7192" priority="3" operator="greaterThan">
      <formula>0.12</formula>
    </cfRule>
  </conditionalFormatting>
  <conditionalFormatting sqref="E28">
    <cfRule type="cellIs" dxfId="7191" priority="6" operator="lessThan">
      <formula>$B$8*100</formula>
    </cfRule>
    <cfRule type="cellIs" dxfId="7190" priority="7" operator="greaterThan">
      <formula>$B$8*100</formula>
    </cfRule>
  </conditionalFormatting>
  <hyperlinks>
    <hyperlink ref="A32" r:id="rId1" display="https://www.zillow.com/homes/recently_sold/" xr:uid="{DF618225-799B-4B00-9CAE-70102D319CEC}"/>
    <hyperlink ref="A21" r:id="rId2" xr:uid="{651E265F-220F-430A-A1E1-839ED26E2A54}"/>
    <hyperlink ref="A25" r:id="rId3" display="www.mortgagecalculator.org" xr:uid="{5287D769-A3ED-4206-89A6-6898CE2F56E2}"/>
    <hyperlink ref="A12" r:id="rId4" xr:uid="{1B57C9FD-3972-4412-9E1F-9349E61864D7}"/>
  </hyperlinks>
  <pageMargins left="0.7" right="0.7" top="0.75" bottom="0.75" header="0.3" footer="0.3"/>
  <drawing r:id="rId5"/>
  <legacy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A99E-B773-4A4F-B384-E786D586F757}">
  <sheetPr codeName="Sheet35">
    <tabColor rgb="FFFF0000"/>
  </sheetPr>
  <dimension ref="A1:P42"/>
  <sheetViews>
    <sheetView topLeftCell="A13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259900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1280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220915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220915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11045.75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209869.25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1795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2209.15</v>
      </c>
      <c r="D22" s="7" t="s">
        <v>77</v>
      </c>
      <c r="E22" s="17">
        <f>B16*0.01</f>
        <v>2209.15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1561.2</v>
      </c>
      <c r="D25" s="7" t="s">
        <v>38</v>
      </c>
      <c r="E25" s="35">
        <f>B25</f>
        <v>1561.2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1830.45</v>
      </c>
      <c r="D26" s="7" t="s">
        <v>41</v>
      </c>
      <c r="E26" s="17">
        <f>E25+I25+I34</f>
        <v>1830.45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-35.450000000000045</v>
      </c>
      <c r="D28" s="7" t="s">
        <v>43</v>
      </c>
      <c r="E28" s="44">
        <f>E21-E25-I25-I34+I24+I33</f>
        <v>-780.45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-3.8512550075821064E-2</v>
      </c>
      <c r="D29" s="46" t="s">
        <v>44</v>
      </c>
      <c r="E29" s="47">
        <f>(E28*12)/B17</f>
        <v>-0.84787361654935167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89.75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89.75</v>
      </c>
    </row>
    <row r="32" spans="1:16" x14ac:dyDescent="0.25">
      <c r="A32" s="26" t="s">
        <v>49</v>
      </c>
      <c r="B32" s="8">
        <f>B16</f>
        <v>220915</v>
      </c>
      <c r="G32" s="27" t="s">
        <v>50</v>
      </c>
      <c r="H32" s="48">
        <v>0.05</v>
      </c>
      <c r="I32" s="49">
        <f>$B$21*H32</f>
        <v>89.75</v>
      </c>
    </row>
    <row r="33" spans="1:9" x14ac:dyDescent="0.25">
      <c r="A33" s="7" t="s">
        <v>51</v>
      </c>
      <c r="B33" s="17">
        <f>B32-B18</f>
        <v>11045.75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269.25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148.65738541666667</v>
      </c>
      <c r="D39" s="7"/>
      <c r="E39" s="17"/>
    </row>
    <row r="40" spans="1:9" x14ac:dyDescent="0.25">
      <c r="A40" s="7" t="s">
        <v>58</v>
      </c>
      <c r="B40" s="17">
        <f>B25-B39</f>
        <v>1412.5426145833335</v>
      </c>
      <c r="D40" s="7"/>
      <c r="E40" s="17"/>
    </row>
    <row r="41" spans="1:9" x14ac:dyDescent="0.25">
      <c r="A41" s="7" t="s">
        <v>59</v>
      </c>
      <c r="B41" s="43">
        <f>B21-B40-I25-I34</f>
        <v>113.20738541666651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0.12298744992417882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189" priority="31" operator="equal">
      <formula>"NO"</formula>
    </cfRule>
    <cfRule type="cellIs" dxfId="7188" priority="32" operator="equal">
      <formula>"YES"</formula>
    </cfRule>
  </conditionalFormatting>
  <conditionalFormatting sqref="E38">
    <cfRule type="cellIs" dxfId="7187" priority="29" operator="equal">
      <formula>"YES"</formula>
    </cfRule>
    <cfRule type="cellIs" dxfId="7186" priority="30" operator="equal">
      <formula>"NO"</formula>
    </cfRule>
  </conditionalFormatting>
  <conditionalFormatting sqref="B23">
    <cfRule type="cellIs" dxfId="7185" priority="27" operator="equal">
      <formula>"NO"</formula>
    </cfRule>
    <cfRule type="cellIs" dxfId="7184" priority="28" operator="equal">
      <formula>"YES"</formula>
    </cfRule>
  </conditionalFormatting>
  <conditionalFormatting sqref="B12">
    <cfRule type="containsText" dxfId="7183" priority="13" operator="containsText" text="Low">
      <formula>NOT(ISERROR(SEARCH("Low",B12)))</formula>
    </cfRule>
    <cfRule type="containsText" dxfId="7182" priority="14" operator="containsText" text="Medium">
      <formula>NOT(ISERROR(SEARCH("Medium",B12)))</formula>
    </cfRule>
    <cfRule type="containsText" dxfId="7181" priority="15" operator="containsText" text="High">
      <formula>NOT(ISERROR(SEARCH("High",B12)))</formula>
    </cfRule>
  </conditionalFormatting>
  <conditionalFormatting sqref="B29">
    <cfRule type="cellIs" dxfId="7180" priority="23" operator="between">
      <formula>10%</formula>
      <formula>11.9%</formula>
    </cfRule>
    <cfRule type="cellIs" dxfId="7179" priority="25" operator="lessThan">
      <formula>0.1</formula>
    </cfRule>
    <cfRule type="cellIs" dxfId="7178" priority="26" operator="greaterThanOrEqual">
      <formula>0.12</formula>
    </cfRule>
  </conditionalFormatting>
  <conditionalFormatting sqref="B42">
    <cfRule type="cellIs" dxfId="7177" priority="21" operator="between">
      <formula>0.1</formula>
      <formula>0.1199</formula>
    </cfRule>
    <cfRule type="cellIs" dxfId="7176" priority="22" operator="lessThan">
      <formula>0.1</formula>
    </cfRule>
    <cfRule type="cellIs" dxfId="7175" priority="24" operator="greaterThanOrEqual">
      <formula>0.12</formula>
    </cfRule>
  </conditionalFormatting>
  <conditionalFormatting sqref="B10">
    <cfRule type="containsText" dxfId="7174" priority="16" operator="containsText" text="Full">
      <formula>NOT(ISERROR(SEARCH("Full",B10)))</formula>
    </cfRule>
    <cfRule type="containsText" dxfId="7173" priority="17" operator="containsText" text="Heavy">
      <formula>NOT(ISERROR(SEARCH("Heavy",B10)))</formula>
    </cfRule>
    <cfRule type="containsText" dxfId="7172" priority="18" operator="containsText" text="Medium">
      <formula>NOT(ISERROR(SEARCH("Medium",B10)))</formula>
    </cfRule>
    <cfRule type="containsText" dxfId="7171" priority="19" operator="containsText" text="Light">
      <formula>NOT(ISERROR(SEARCH("Light",B10)))</formula>
    </cfRule>
    <cfRule type="containsText" dxfId="7170" priority="20" operator="containsText" text="None">
      <formula>NOT(ISERROR(SEARCH("None",B10)))</formula>
    </cfRule>
  </conditionalFormatting>
  <conditionalFormatting sqref="E42">
    <cfRule type="cellIs" dxfId="7169" priority="10" operator="between">
      <formula>0.1</formula>
      <formula>0.119</formula>
    </cfRule>
    <cfRule type="cellIs" dxfId="7168" priority="11" operator="lessThan">
      <formula>0.1</formula>
    </cfRule>
    <cfRule type="cellIs" dxfId="7167" priority="12" operator="greaterThanOrEqual">
      <formula>0.12</formula>
    </cfRule>
  </conditionalFormatting>
  <conditionalFormatting sqref="B28">
    <cfRule type="cellIs" dxfId="7166" priority="33" operator="lessThan">
      <formula>$B$8*100</formula>
    </cfRule>
    <cfRule type="cellIs" dxfId="7165" priority="34" operator="greaterThanOrEqual">
      <formula>$B$8*100</formula>
    </cfRule>
  </conditionalFormatting>
  <conditionalFormatting sqref="B41">
    <cfRule type="cellIs" dxfId="7164" priority="35" operator="lessThan">
      <formula>$B$8*100</formula>
    </cfRule>
    <cfRule type="cellIs" dxfId="7163" priority="36" operator="greaterThan">
      <formula>$B$8*100</formula>
    </cfRule>
    <cfRule type="cellIs" dxfId="7162" priority="37" operator="greaterThan">
      <formula>$B$8*100</formula>
    </cfRule>
  </conditionalFormatting>
  <conditionalFormatting sqref="E41">
    <cfRule type="cellIs" dxfId="7161" priority="38" operator="greaterThan">
      <formula>$B$8*100</formula>
    </cfRule>
    <cfRule type="cellIs" dxfId="7160" priority="39" operator="lessThan">
      <formula>$B$8*100</formula>
    </cfRule>
  </conditionalFormatting>
  <conditionalFormatting sqref="B38">
    <cfRule type="cellIs" dxfId="7159" priority="8" operator="equal">
      <formula>"YES"</formula>
    </cfRule>
    <cfRule type="cellIs" dxfId="7158" priority="9" operator="equal">
      <formula>"NO"</formula>
    </cfRule>
  </conditionalFormatting>
  <conditionalFormatting sqref="E23:E26">
    <cfRule type="cellIs" dxfId="7157" priority="4" operator="equal">
      <formula>"NO"</formula>
    </cfRule>
    <cfRule type="cellIs" dxfId="7156" priority="5" operator="equal">
      <formula>"YES"</formula>
    </cfRule>
  </conditionalFormatting>
  <conditionalFormatting sqref="E29">
    <cfRule type="cellIs" dxfId="7155" priority="1" operator="between">
      <formula>10%</formula>
      <formula>12%</formula>
    </cfRule>
    <cfRule type="cellIs" dxfId="7154" priority="2" operator="lessThan">
      <formula>0.1</formula>
    </cfRule>
    <cfRule type="cellIs" dxfId="7153" priority="3" operator="greaterThan">
      <formula>0.12</formula>
    </cfRule>
  </conditionalFormatting>
  <conditionalFormatting sqref="E28">
    <cfRule type="cellIs" dxfId="7152" priority="6" operator="lessThan">
      <formula>$B$8*100</formula>
    </cfRule>
    <cfRule type="cellIs" dxfId="7151" priority="7" operator="greaterThan">
      <formula>$B$8*100</formula>
    </cfRule>
  </conditionalFormatting>
  <hyperlinks>
    <hyperlink ref="A32" r:id="rId1" display="https://www.zillow.com/homes/recently_sold/" xr:uid="{CA06F0D9-8C65-4422-8A7E-8304E631EC64}"/>
    <hyperlink ref="A21" r:id="rId2" xr:uid="{AE69E9FB-7B32-4F41-9715-98EE00D99DE8}"/>
    <hyperlink ref="A25" r:id="rId3" display="www.mortgagecalculator.org" xr:uid="{6B4BAEFB-8E3F-431F-ABB6-0F7C6C13C603}"/>
    <hyperlink ref="A12" r:id="rId4" xr:uid="{12827054-5548-4D18-8109-7AC2FDC41C17}"/>
  </hyperlinks>
  <pageMargins left="0.7" right="0.7" top="0.75" bottom="0.75" header="0.3" footer="0.3"/>
  <drawing r:id="rId5"/>
  <legacyDrawing r:id="rId6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309A-1158-4731-8A66-D98FBD850509}">
  <sheetPr codeName="Sheet36">
    <tabColor rgb="FFFF000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237915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237915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11895.75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226019.25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2048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2379.15</v>
      </c>
      <c r="D22" s="7" t="s">
        <v>77</v>
      </c>
      <c r="E22" s="17">
        <f>B16*0.01</f>
        <v>2379.15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1624.91</v>
      </c>
      <c r="D25" s="7" t="s">
        <v>38</v>
      </c>
      <c r="E25" s="35">
        <f>B25</f>
        <v>1624.91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1932.1100000000001</v>
      </c>
      <c r="D26" s="7" t="s">
        <v>41</v>
      </c>
      <c r="E26" s="17">
        <f>E25+I25+I34</f>
        <v>1932.1100000000001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115.88999999999987</v>
      </c>
      <c r="D28" s="7" t="s">
        <v>43</v>
      </c>
      <c r="E28" s="44">
        <f>E21-E25-I25-I34+I24+I33</f>
        <v>-882.11000000000013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0.1169056175524871</v>
      </c>
      <c r="D29" s="46" t="s">
        <v>44</v>
      </c>
      <c r="E29" s="47">
        <f>(E28*12)/B17</f>
        <v>-0.88984048925036263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102.4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102.4</v>
      </c>
    </row>
    <row r="32" spans="1:16" x14ac:dyDescent="0.25">
      <c r="A32" s="26" t="s">
        <v>49</v>
      </c>
      <c r="B32" s="8">
        <f>B16</f>
        <v>237915</v>
      </c>
      <c r="G32" s="27" t="s">
        <v>50</v>
      </c>
      <c r="H32" s="48">
        <v>0.05</v>
      </c>
      <c r="I32" s="49">
        <f>$B$21*H32</f>
        <v>102.4</v>
      </c>
    </row>
    <row r="33" spans="1:9" x14ac:dyDescent="0.25">
      <c r="A33" s="7" t="s">
        <v>51</v>
      </c>
      <c r="B33" s="17">
        <f>B32-B18</f>
        <v>11895.75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307.20000000000005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160.09696875</v>
      </c>
      <c r="D39" s="7"/>
      <c r="E39" s="17"/>
    </row>
    <row r="40" spans="1:9" x14ac:dyDescent="0.25">
      <c r="A40" s="7" t="s">
        <v>58</v>
      </c>
      <c r="B40" s="17">
        <f>B25-B39</f>
        <v>1464.81303125</v>
      </c>
      <c r="D40" s="7"/>
      <c r="E40" s="17"/>
    </row>
    <row r="41" spans="1:9" x14ac:dyDescent="0.25">
      <c r="A41" s="7" t="s">
        <v>59</v>
      </c>
      <c r="B41" s="43">
        <f>B21-B40-I25-I34</f>
        <v>275.98696874999996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0.27840561755248722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150" priority="31" operator="equal">
      <formula>"NO"</formula>
    </cfRule>
    <cfRule type="cellIs" dxfId="7149" priority="32" operator="equal">
      <formula>"YES"</formula>
    </cfRule>
  </conditionalFormatting>
  <conditionalFormatting sqref="E38">
    <cfRule type="cellIs" dxfId="7148" priority="29" operator="equal">
      <formula>"YES"</formula>
    </cfRule>
    <cfRule type="cellIs" dxfId="7147" priority="30" operator="equal">
      <formula>"NO"</formula>
    </cfRule>
  </conditionalFormatting>
  <conditionalFormatting sqref="B23">
    <cfRule type="cellIs" dxfId="7146" priority="27" operator="equal">
      <formula>"NO"</formula>
    </cfRule>
    <cfRule type="cellIs" dxfId="7145" priority="28" operator="equal">
      <formula>"YES"</formula>
    </cfRule>
  </conditionalFormatting>
  <conditionalFormatting sqref="B12">
    <cfRule type="containsText" dxfId="7144" priority="13" operator="containsText" text="Low">
      <formula>NOT(ISERROR(SEARCH("Low",B12)))</formula>
    </cfRule>
    <cfRule type="containsText" dxfId="7143" priority="14" operator="containsText" text="Medium">
      <formula>NOT(ISERROR(SEARCH("Medium",B12)))</formula>
    </cfRule>
    <cfRule type="containsText" dxfId="7142" priority="15" operator="containsText" text="High">
      <formula>NOT(ISERROR(SEARCH("High",B12)))</formula>
    </cfRule>
  </conditionalFormatting>
  <conditionalFormatting sqref="B29">
    <cfRule type="cellIs" dxfId="7141" priority="23" operator="between">
      <formula>10%</formula>
      <formula>11.9%</formula>
    </cfRule>
    <cfRule type="cellIs" dxfId="7140" priority="25" operator="lessThan">
      <formula>0.1</formula>
    </cfRule>
    <cfRule type="cellIs" dxfId="7139" priority="26" operator="greaterThanOrEqual">
      <formula>0.12</formula>
    </cfRule>
  </conditionalFormatting>
  <conditionalFormatting sqref="B42">
    <cfRule type="cellIs" dxfId="7138" priority="21" operator="between">
      <formula>0.1</formula>
      <formula>0.1199</formula>
    </cfRule>
    <cfRule type="cellIs" dxfId="7137" priority="22" operator="lessThan">
      <formula>0.1</formula>
    </cfRule>
    <cfRule type="cellIs" dxfId="7136" priority="24" operator="greaterThanOrEqual">
      <formula>0.12</formula>
    </cfRule>
  </conditionalFormatting>
  <conditionalFormatting sqref="B10">
    <cfRule type="containsText" dxfId="7135" priority="16" operator="containsText" text="Full">
      <formula>NOT(ISERROR(SEARCH("Full",B10)))</formula>
    </cfRule>
    <cfRule type="containsText" dxfId="7134" priority="17" operator="containsText" text="Heavy">
      <formula>NOT(ISERROR(SEARCH("Heavy",B10)))</formula>
    </cfRule>
    <cfRule type="containsText" dxfId="7133" priority="18" operator="containsText" text="Medium">
      <formula>NOT(ISERROR(SEARCH("Medium",B10)))</formula>
    </cfRule>
    <cfRule type="containsText" dxfId="7132" priority="19" operator="containsText" text="Light">
      <formula>NOT(ISERROR(SEARCH("Light",B10)))</formula>
    </cfRule>
    <cfRule type="containsText" dxfId="7131" priority="20" operator="containsText" text="None">
      <formula>NOT(ISERROR(SEARCH("None",B10)))</formula>
    </cfRule>
  </conditionalFormatting>
  <conditionalFormatting sqref="E42">
    <cfRule type="cellIs" dxfId="7130" priority="10" operator="between">
      <formula>0.1</formula>
      <formula>0.119</formula>
    </cfRule>
    <cfRule type="cellIs" dxfId="7129" priority="11" operator="lessThan">
      <formula>0.1</formula>
    </cfRule>
    <cfRule type="cellIs" dxfId="7128" priority="12" operator="greaterThanOrEqual">
      <formula>0.12</formula>
    </cfRule>
  </conditionalFormatting>
  <conditionalFormatting sqref="B28">
    <cfRule type="cellIs" dxfId="7127" priority="33" operator="lessThan">
      <formula>$B$8*100</formula>
    </cfRule>
    <cfRule type="cellIs" dxfId="7126" priority="34" operator="greaterThanOrEqual">
      <formula>$B$8*100</formula>
    </cfRule>
  </conditionalFormatting>
  <conditionalFormatting sqref="B41">
    <cfRule type="cellIs" dxfId="7125" priority="35" operator="lessThan">
      <formula>$B$8*100</formula>
    </cfRule>
    <cfRule type="cellIs" dxfId="7124" priority="36" operator="greaterThan">
      <formula>$B$8*100</formula>
    </cfRule>
    <cfRule type="cellIs" dxfId="7123" priority="37" operator="greaterThan">
      <formula>$B$8*100</formula>
    </cfRule>
  </conditionalFormatting>
  <conditionalFormatting sqref="E41">
    <cfRule type="cellIs" dxfId="7122" priority="38" operator="greaterThan">
      <formula>$B$8*100</formula>
    </cfRule>
    <cfRule type="cellIs" dxfId="7121" priority="39" operator="lessThan">
      <formula>$B$8*100</formula>
    </cfRule>
  </conditionalFormatting>
  <conditionalFormatting sqref="B38">
    <cfRule type="cellIs" dxfId="7120" priority="8" operator="equal">
      <formula>"YES"</formula>
    </cfRule>
    <cfRule type="cellIs" dxfId="7119" priority="9" operator="equal">
      <formula>"NO"</formula>
    </cfRule>
  </conditionalFormatting>
  <conditionalFormatting sqref="E23:E26">
    <cfRule type="cellIs" dxfId="7118" priority="4" operator="equal">
      <formula>"NO"</formula>
    </cfRule>
    <cfRule type="cellIs" dxfId="7117" priority="5" operator="equal">
      <formula>"YES"</formula>
    </cfRule>
  </conditionalFormatting>
  <conditionalFormatting sqref="E29">
    <cfRule type="cellIs" dxfId="7116" priority="1" operator="between">
      <formula>10%</formula>
      <formula>12%</formula>
    </cfRule>
    <cfRule type="cellIs" dxfId="7115" priority="2" operator="lessThan">
      <formula>0.1</formula>
    </cfRule>
    <cfRule type="cellIs" dxfId="7114" priority="3" operator="greaterThan">
      <formula>0.12</formula>
    </cfRule>
  </conditionalFormatting>
  <conditionalFormatting sqref="E28">
    <cfRule type="cellIs" dxfId="7113" priority="6" operator="lessThan">
      <formula>$B$8*100</formula>
    </cfRule>
    <cfRule type="cellIs" dxfId="7112" priority="7" operator="greaterThan">
      <formula>$B$8*100</formula>
    </cfRule>
  </conditionalFormatting>
  <hyperlinks>
    <hyperlink ref="A32" r:id="rId1" display="https://www.zillow.com/homes/recently_sold/" xr:uid="{103F819B-3480-4A1E-8A19-4810CF4D74C2}"/>
    <hyperlink ref="A21" r:id="rId2" xr:uid="{D8152685-3D02-4BAC-B251-BBB114038F9E}"/>
    <hyperlink ref="A25" r:id="rId3" display="www.mortgagecalculator.org" xr:uid="{9EC25D8A-D346-4433-9B0D-5C8EF8FA8CEB}"/>
    <hyperlink ref="A12" r:id="rId4" xr:uid="{C9F69DAD-7CC2-4E70-A07C-ED5FA836AAA1}"/>
  </hyperlinks>
  <pageMargins left="0.7" right="0.7" top="0.75" bottom="0.75" header="0.3" footer="0.3"/>
  <drawing r:id="rId5"/>
  <legacyDrawing r:id="rId6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001DF-FC5A-46CB-BD05-147783882EF0}">
  <sheetPr codeName="Sheet37">
    <tabColor rgb="FF92D050"/>
  </sheetPr>
  <dimension ref="A1:P42"/>
  <sheetViews>
    <sheetView topLeftCell="A14" workbookViewId="0">
      <selection activeCell="B12" sqref="B1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858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178500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178500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8925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169575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1729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1785</v>
      </c>
      <c r="D22" s="7" t="s">
        <v>77</v>
      </c>
      <c r="E22" s="17">
        <f>B16*0.01</f>
        <v>1785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1252.32</v>
      </c>
      <c r="D25" s="7" t="s">
        <v>38</v>
      </c>
      <c r="E25" s="35">
        <f>B25</f>
        <v>1252.32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1511.67</v>
      </c>
      <c r="D26" s="7" t="s">
        <v>41</v>
      </c>
      <c r="E26" s="17">
        <f>E25+I25+I34</f>
        <v>1511.67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217.32999999999993</v>
      </c>
      <c r="D28" s="7" t="s">
        <v>43</v>
      </c>
      <c r="E28" s="44">
        <f>E21-E25-I25-I34+I24+I33</f>
        <v>-461.66999999999996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0.29220840336134446</v>
      </c>
      <c r="D29" s="46" t="s">
        <v>44</v>
      </c>
      <c r="E29" s="47">
        <f>(E28*12)/B17</f>
        <v>-0.62073277310924357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86.45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86.45</v>
      </c>
    </row>
    <row r="32" spans="1:16" x14ac:dyDescent="0.25">
      <c r="A32" s="26" t="s">
        <v>49</v>
      </c>
      <c r="B32" s="8">
        <f>B16</f>
        <v>178500</v>
      </c>
      <c r="G32" s="27" t="s">
        <v>50</v>
      </c>
      <c r="H32" s="48">
        <v>0.05</v>
      </c>
      <c r="I32" s="49">
        <f>$B$21*H32</f>
        <v>86.45</v>
      </c>
    </row>
    <row r="33" spans="1:9" x14ac:dyDescent="0.25">
      <c r="A33" s="7" t="s">
        <v>51</v>
      </c>
      <c r="B33" s="17">
        <f>B32-B18</f>
        <v>8925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259.35000000000002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120.11562500000001</v>
      </c>
      <c r="D39" s="7"/>
      <c r="E39" s="17"/>
    </row>
    <row r="40" spans="1:9" x14ac:dyDescent="0.25">
      <c r="A40" s="7" t="s">
        <v>58</v>
      </c>
      <c r="B40" s="17">
        <f>B25-B39</f>
        <v>1132.204375</v>
      </c>
      <c r="D40" s="7"/>
      <c r="E40" s="17"/>
    </row>
    <row r="41" spans="1:9" x14ac:dyDescent="0.25">
      <c r="A41" s="7" t="s">
        <v>59</v>
      </c>
      <c r="B41" s="43">
        <f>B21-B40-I25-I34</f>
        <v>337.44562499999995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0.45370840336134449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111" priority="31" operator="equal">
      <formula>"NO"</formula>
    </cfRule>
    <cfRule type="cellIs" dxfId="7110" priority="32" operator="equal">
      <formula>"YES"</formula>
    </cfRule>
  </conditionalFormatting>
  <conditionalFormatting sqref="E38">
    <cfRule type="cellIs" dxfId="7109" priority="29" operator="equal">
      <formula>"YES"</formula>
    </cfRule>
    <cfRule type="cellIs" dxfId="7108" priority="30" operator="equal">
      <formula>"NO"</formula>
    </cfRule>
  </conditionalFormatting>
  <conditionalFormatting sqref="B23">
    <cfRule type="cellIs" dxfId="7107" priority="27" operator="equal">
      <formula>"NO"</formula>
    </cfRule>
    <cfRule type="cellIs" dxfId="7106" priority="28" operator="equal">
      <formula>"YES"</formula>
    </cfRule>
  </conditionalFormatting>
  <conditionalFormatting sqref="B12">
    <cfRule type="containsText" dxfId="7105" priority="13" operator="containsText" text="Low">
      <formula>NOT(ISERROR(SEARCH("Low",B12)))</formula>
    </cfRule>
    <cfRule type="containsText" dxfId="7104" priority="14" operator="containsText" text="Medium">
      <formula>NOT(ISERROR(SEARCH("Medium",B12)))</formula>
    </cfRule>
    <cfRule type="containsText" dxfId="7103" priority="15" operator="containsText" text="High">
      <formula>NOT(ISERROR(SEARCH("High",B12)))</formula>
    </cfRule>
  </conditionalFormatting>
  <conditionalFormatting sqref="B29">
    <cfRule type="cellIs" dxfId="7102" priority="23" operator="between">
      <formula>10%</formula>
      <formula>11.9%</formula>
    </cfRule>
    <cfRule type="cellIs" dxfId="7101" priority="25" operator="lessThan">
      <formula>0.1</formula>
    </cfRule>
    <cfRule type="cellIs" dxfId="7100" priority="26" operator="greaterThanOrEqual">
      <formula>0.12</formula>
    </cfRule>
  </conditionalFormatting>
  <conditionalFormatting sqref="B42">
    <cfRule type="cellIs" dxfId="7099" priority="21" operator="between">
      <formula>0.1</formula>
      <formula>0.1199</formula>
    </cfRule>
    <cfRule type="cellIs" dxfId="7098" priority="22" operator="lessThan">
      <formula>0.1</formula>
    </cfRule>
    <cfRule type="cellIs" dxfId="7097" priority="24" operator="greaterThanOrEqual">
      <formula>0.12</formula>
    </cfRule>
  </conditionalFormatting>
  <conditionalFormatting sqref="B10">
    <cfRule type="containsText" dxfId="7096" priority="16" operator="containsText" text="Full">
      <formula>NOT(ISERROR(SEARCH("Full",B10)))</formula>
    </cfRule>
    <cfRule type="containsText" dxfId="7095" priority="17" operator="containsText" text="Heavy">
      <formula>NOT(ISERROR(SEARCH("Heavy",B10)))</formula>
    </cfRule>
    <cfRule type="containsText" dxfId="7094" priority="18" operator="containsText" text="Medium">
      <formula>NOT(ISERROR(SEARCH("Medium",B10)))</formula>
    </cfRule>
    <cfRule type="containsText" dxfId="7093" priority="19" operator="containsText" text="Light">
      <formula>NOT(ISERROR(SEARCH("Light",B10)))</formula>
    </cfRule>
    <cfRule type="containsText" dxfId="7092" priority="20" operator="containsText" text="None">
      <formula>NOT(ISERROR(SEARCH("None",B10)))</formula>
    </cfRule>
  </conditionalFormatting>
  <conditionalFormatting sqref="E42">
    <cfRule type="cellIs" dxfId="7091" priority="10" operator="between">
      <formula>0.1</formula>
      <formula>0.119</formula>
    </cfRule>
    <cfRule type="cellIs" dxfId="7090" priority="11" operator="lessThan">
      <formula>0.1</formula>
    </cfRule>
    <cfRule type="cellIs" dxfId="7089" priority="12" operator="greaterThanOrEqual">
      <formula>0.12</formula>
    </cfRule>
  </conditionalFormatting>
  <conditionalFormatting sqref="B28">
    <cfRule type="cellIs" dxfId="7088" priority="33" operator="lessThan">
      <formula>$B$8*100</formula>
    </cfRule>
    <cfRule type="cellIs" dxfId="7087" priority="34" operator="greaterThanOrEqual">
      <formula>$B$8*100</formula>
    </cfRule>
  </conditionalFormatting>
  <conditionalFormatting sqref="B41">
    <cfRule type="cellIs" dxfId="7086" priority="35" operator="lessThan">
      <formula>$B$8*100</formula>
    </cfRule>
    <cfRule type="cellIs" dxfId="7085" priority="36" operator="greaterThan">
      <formula>$B$8*100</formula>
    </cfRule>
    <cfRule type="cellIs" dxfId="7084" priority="37" operator="greaterThan">
      <formula>$B$8*100</formula>
    </cfRule>
  </conditionalFormatting>
  <conditionalFormatting sqref="E41">
    <cfRule type="cellIs" dxfId="7083" priority="38" operator="greaterThan">
      <formula>$B$8*100</formula>
    </cfRule>
    <cfRule type="cellIs" dxfId="7082" priority="39" operator="lessThan">
      <formula>$B$8*100</formula>
    </cfRule>
  </conditionalFormatting>
  <conditionalFormatting sqref="B38">
    <cfRule type="cellIs" dxfId="7081" priority="8" operator="equal">
      <formula>"YES"</formula>
    </cfRule>
    <cfRule type="cellIs" dxfId="7080" priority="9" operator="equal">
      <formula>"NO"</formula>
    </cfRule>
  </conditionalFormatting>
  <conditionalFormatting sqref="E23:E26">
    <cfRule type="cellIs" dxfId="7079" priority="4" operator="equal">
      <formula>"NO"</formula>
    </cfRule>
    <cfRule type="cellIs" dxfId="7078" priority="5" operator="equal">
      <formula>"YES"</formula>
    </cfRule>
  </conditionalFormatting>
  <conditionalFormatting sqref="E29">
    <cfRule type="cellIs" dxfId="7077" priority="1" operator="between">
      <formula>10%</formula>
      <formula>12%</formula>
    </cfRule>
    <cfRule type="cellIs" dxfId="7076" priority="2" operator="lessThan">
      <formula>0.1</formula>
    </cfRule>
    <cfRule type="cellIs" dxfId="7075" priority="3" operator="greaterThan">
      <formula>0.12</formula>
    </cfRule>
  </conditionalFormatting>
  <conditionalFormatting sqref="E28">
    <cfRule type="cellIs" dxfId="7074" priority="6" operator="lessThan">
      <formula>$B$8*100</formula>
    </cfRule>
    <cfRule type="cellIs" dxfId="7073" priority="7" operator="greaterThan">
      <formula>$B$8*100</formula>
    </cfRule>
  </conditionalFormatting>
  <hyperlinks>
    <hyperlink ref="A32" r:id="rId1" display="https://www.zillow.com/homes/recently_sold/" xr:uid="{F8BC4976-4EE0-4D7F-82B9-8068F6BA597E}"/>
    <hyperlink ref="A21" r:id="rId2" xr:uid="{2C9C6AAB-53FF-4B87-B55D-DFA425D1EE6A}"/>
    <hyperlink ref="A25" r:id="rId3" display="www.mortgagecalculator.org" xr:uid="{1B7F6FD6-CEE2-4CE9-BE35-186537BC9E87}"/>
    <hyperlink ref="A12" r:id="rId4" xr:uid="{F6413A7C-97A7-4911-9CC5-16DBFE2A3C8F}"/>
  </hyperlinks>
  <pageMargins left="0.7" right="0.7" top="0.75" bottom="0.75" header="0.3" footer="0.3"/>
  <drawing r:id="rId5"/>
  <legacyDrawing r:id="rId6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2FD5C-BFA6-4900-8C5A-EAF071E30C8D}">
  <sheetPr codeName="Sheet38">
    <tabColor rgb="FFFF0000"/>
  </sheetPr>
  <dimension ref="A1:P42"/>
  <sheetViews>
    <sheetView topLeftCell="A14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159900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7995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151905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1031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1599</v>
      </c>
      <c r="D22" s="7" t="s">
        <v>77</v>
      </c>
      <c r="E22" s="17">
        <f>B16*0.01</f>
        <v>1599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1081.04</v>
      </c>
      <c r="D25" s="7" t="s">
        <v>38</v>
      </c>
      <c r="E25" s="35">
        <f>B25</f>
        <v>1081.04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1235.69</v>
      </c>
      <c r="D26" s="7" t="s">
        <v>41</v>
      </c>
      <c r="E26" s="17">
        <f>E25+I25+I34</f>
        <v>1235.69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-204.69000000000005</v>
      </c>
      <c r="D28" s="7" t="s">
        <v>43</v>
      </c>
      <c r="E28" s="44">
        <f>E21-E25-I25-I34+I24+I33</f>
        <v>-185.68999999999997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-0.30722701688555354</v>
      </c>
      <c r="D29" s="46" t="s">
        <v>44</v>
      </c>
      <c r="E29" s="47">
        <f>(E28*12)/B17</f>
        <v>-0.27870919324577859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51.550000000000004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51.550000000000004</v>
      </c>
    </row>
    <row r="32" spans="1:16" x14ac:dyDescent="0.25">
      <c r="A32" s="26" t="s">
        <v>49</v>
      </c>
      <c r="B32" s="8">
        <f>B16</f>
        <v>159900</v>
      </c>
      <c r="G32" s="27" t="s">
        <v>50</v>
      </c>
      <c r="H32" s="48">
        <v>0.05</v>
      </c>
      <c r="I32" s="49">
        <f>$B$21*H32</f>
        <v>51.550000000000004</v>
      </c>
    </row>
    <row r="33" spans="1:9" x14ac:dyDescent="0.25">
      <c r="A33" s="7" t="s">
        <v>51</v>
      </c>
      <c r="B33" s="17">
        <f>B32-B18</f>
        <v>7995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154.65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107.59937500000001</v>
      </c>
      <c r="D39" s="7"/>
      <c r="E39" s="17"/>
    </row>
    <row r="40" spans="1:9" x14ac:dyDescent="0.25">
      <c r="A40" s="7" t="s">
        <v>58</v>
      </c>
      <c r="B40" s="17">
        <f>B25-B39</f>
        <v>973.44062499999995</v>
      </c>
      <c r="D40" s="7"/>
      <c r="E40" s="17"/>
    </row>
    <row r="41" spans="1:9" x14ac:dyDescent="0.25">
      <c r="A41" s="7" t="s">
        <v>59</v>
      </c>
      <c r="B41" s="43">
        <f>B21-B40-I25-I34</f>
        <v>-97.09062499999996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-0.14572701688555342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072" priority="31" operator="equal">
      <formula>"NO"</formula>
    </cfRule>
    <cfRule type="cellIs" dxfId="7071" priority="32" operator="equal">
      <formula>"YES"</formula>
    </cfRule>
  </conditionalFormatting>
  <conditionalFormatting sqref="E38">
    <cfRule type="cellIs" dxfId="7070" priority="29" operator="equal">
      <formula>"YES"</formula>
    </cfRule>
    <cfRule type="cellIs" dxfId="7069" priority="30" operator="equal">
      <formula>"NO"</formula>
    </cfRule>
  </conditionalFormatting>
  <conditionalFormatting sqref="B23">
    <cfRule type="cellIs" dxfId="7068" priority="27" operator="equal">
      <formula>"NO"</formula>
    </cfRule>
    <cfRule type="cellIs" dxfId="7067" priority="28" operator="equal">
      <formula>"YES"</formula>
    </cfRule>
  </conditionalFormatting>
  <conditionalFormatting sqref="B12">
    <cfRule type="containsText" dxfId="7066" priority="13" operator="containsText" text="Low">
      <formula>NOT(ISERROR(SEARCH("Low",B12)))</formula>
    </cfRule>
    <cfRule type="containsText" dxfId="7065" priority="14" operator="containsText" text="Medium">
      <formula>NOT(ISERROR(SEARCH("Medium",B12)))</formula>
    </cfRule>
    <cfRule type="containsText" dxfId="7064" priority="15" operator="containsText" text="High">
      <formula>NOT(ISERROR(SEARCH("High",B12)))</formula>
    </cfRule>
  </conditionalFormatting>
  <conditionalFormatting sqref="B29">
    <cfRule type="cellIs" dxfId="7063" priority="23" operator="between">
      <formula>10%</formula>
      <formula>11.9%</formula>
    </cfRule>
    <cfRule type="cellIs" dxfId="7062" priority="25" operator="lessThan">
      <formula>0.1</formula>
    </cfRule>
    <cfRule type="cellIs" dxfId="7061" priority="26" operator="greaterThanOrEqual">
      <formula>0.12</formula>
    </cfRule>
  </conditionalFormatting>
  <conditionalFormatting sqref="B42">
    <cfRule type="cellIs" dxfId="7060" priority="21" operator="between">
      <formula>0.1</formula>
      <formula>0.1199</formula>
    </cfRule>
    <cfRule type="cellIs" dxfId="7059" priority="22" operator="lessThan">
      <formula>0.1</formula>
    </cfRule>
    <cfRule type="cellIs" dxfId="7058" priority="24" operator="greaterThanOrEqual">
      <formula>0.12</formula>
    </cfRule>
  </conditionalFormatting>
  <conditionalFormatting sqref="B10">
    <cfRule type="containsText" dxfId="7057" priority="16" operator="containsText" text="Full">
      <formula>NOT(ISERROR(SEARCH("Full",B10)))</formula>
    </cfRule>
    <cfRule type="containsText" dxfId="7056" priority="17" operator="containsText" text="Heavy">
      <formula>NOT(ISERROR(SEARCH("Heavy",B10)))</formula>
    </cfRule>
    <cfRule type="containsText" dxfId="7055" priority="18" operator="containsText" text="Medium">
      <formula>NOT(ISERROR(SEARCH("Medium",B10)))</formula>
    </cfRule>
    <cfRule type="containsText" dxfId="7054" priority="19" operator="containsText" text="Light">
      <formula>NOT(ISERROR(SEARCH("Light",B10)))</formula>
    </cfRule>
    <cfRule type="containsText" dxfId="7053" priority="20" operator="containsText" text="None">
      <formula>NOT(ISERROR(SEARCH("None",B10)))</formula>
    </cfRule>
  </conditionalFormatting>
  <conditionalFormatting sqref="E42">
    <cfRule type="cellIs" dxfId="7052" priority="10" operator="between">
      <formula>0.1</formula>
      <formula>0.119</formula>
    </cfRule>
    <cfRule type="cellIs" dxfId="7051" priority="11" operator="lessThan">
      <formula>0.1</formula>
    </cfRule>
    <cfRule type="cellIs" dxfId="7050" priority="12" operator="greaterThanOrEqual">
      <formula>0.12</formula>
    </cfRule>
  </conditionalFormatting>
  <conditionalFormatting sqref="B28">
    <cfRule type="cellIs" dxfId="7049" priority="33" operator="lessThan">
      <formula>$B$8*100</formula>
    </cfRule>
    <cfRule type="cellIs" dxfId="7048" priority="34" operator="greaterThanOrEqual">
      <formula>$B$8*100</formula>
    </cfRule>
  </conditionalFormatting>
  <conditionalFormatting sqref="B41">
    <cfRule type="cellIs" dxfId="7047" priority="35" operator="lessThan">
      <formula>$B$8*100</formula>
    </cfRule>
    <cfRule type="cellIs" dxfId="7046" priority="36" operator="greaterThan">
      <formula>$B$8*100</formula>
    </cfRule>
    <cfRule type="cellIs" dxfId="7045" priority="37" operator="greaterThan">
      <formula>$B$8*100</formula>
    </cfRule>
  </conditionalFormatting>
  <conditionalFormatting sqref="E41">
    <cfRule type="cellIs" dxfId="7044" priority="38" operator="greaterThan">
      <formula>$B$8*100</formula>
    </cfRule>
    <cfRule type="cellIs" dxfId="7043" priority="39" operator="lessThan">
      <formula>$B$8*100</formula>
    </cfRule>
  </conditionalFormatting>
  <conditionalFormatting sqref="B38">
    <cfRule type="cellIs" dxfId="7042" priority="8" operator="equal">
      <formula>"YES"</formula>
    </cfRule>
    <cfRule type="cellIs" dxfId="7041" priority="9" operator="equal">
      <formula>"NO"</formula>
    </cfRule>
  </conditionalFormatting>
  <conditionalFormatting sqref="E23:E26">
    <cfRule type="cellIs" dxfId="7040" priority="4" operator="equal">
      <formula>"NO"</formula>
    </cfRule>
    <cfRule type="cellIs" dxfId="7039" priority="5" operator="equal">
      <formula>"YES"</formula>
    </cfRule>
  </conditionalFormatting>
  <conditionalFormatting sqref="E29">
    <cfRule type="cellIs" dxfId="7038" priority="1" operator="between">
      <formula>10%</formula>
      <formula>12%</formula>
    </cfRule>
    <cfRule type="cellIs" dxfId="7037" priority="2" operator="lessThan">
      <formula>0.1</formula>
    </cfRule>
    <cfRule type="cellIs" dxfId="7036" priority="3" operator="greaterThan">
      <formula>0.12</formula>
    </cfRule>
  </conditionalFormatting>
  <conditionalFormatting sqref="E28">
    <cfRule type="cellIs" dxfId="7035" priority="6" operator="lessThan">
      <formula>$B$8*100</formula>
    </cfRule>
    <cfRule type="cellIs" dxfId="7034" priority="7" operator="greaterThan">
      <formula>$B$8*100</formula>
    </cfRule>
  </conditionalFormatting>
  <hyperlinks>
    <hyperlink ref="A32" r:id="rId1" display="https://www.zillow.com/homes/recently_sold/" xr:uid="{48044F57-CD13-45DC-9E38-66DD593F12F3}"/>
    <hyperlink ref="A21" r:id="rId2" xr:uid="{FE3E9DC8-75AE-4C6E-8F40-978A49A93429}"/>
    <hyperlink ref="A25" r:id="rId3" display="www.mortgagecalculator.org" xr:uid="{DD7724B0-91B5-46D4-AA00-DCAE6AD540BE}"/>
    <hyperlink ref="A12" r:id="rId4" xr:uid="{08B6DF32-FF1F-43E2-85C2-A5F462611C0B}"/>
  </hyperlinks>
  <pageMargins left="0.7" right="0.7" top="0.75" bottom="0.75" header="0.3" footer="0.3"/>
  <drawing r:id="rId5"/>
  <legacyDrawing r:id="rId6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EF9F-419C-4EA4-BAA8-45069B8444CA}">
  <sheetPr codeName="Sheet39">
    <tabColor rgb="FFFF0000"/>
  </sheetPr>
  <dimension ref="A1:P42"/>
  <sheetViews>
    <sheetView topLeftCell="A10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1352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191165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191165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9558.25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181606.75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1280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1911.65</v>
      </c>
      <c r="D22" s="7" t="s">
        <v>77</v>
      </c>
      <c r="E22" s="17">
        <f>B16*0.01</f>
        <v>1911.65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1378.87</v>
      </c>
      <c r="D25" s="7" t="s">
        <v>38</v>
      </c>
      <c r="E25" s="35">
        <f>B25</f>
        <v>1378.87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1570.87</v>
      </c>
      <c r="D26" s="7" t="s">
        <v>41</v>
      </c>
      <c r="E26" s="17">
        <f>E25+I25+I34</f>
        <v>1570.87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-290.86999999999989</v>
      </c>
      <c r="D28" s="7" t="s">
        <v>43</v>
      </c>
      <c r="E28" s="44">
        <f>E21-E25-I25-I34+I24+I33</f>
        <v>-520.86999999999989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-0.36517563361493982</v>
      </c>
      <c r="D29" s="46" t="s">
        <v>44</v>
      </c>
      <c r="E29" s="47">
        <f>(E28*12)/B17</f>
        <v>-0.65393142050061448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64</v>
      </c>
    </row>
    <row r="32" spans="1:16" x14ac:dyDescent="0.25">
      <c r="A32" s="26" t="s">
        <v>49</v>
      </c>
      <c r="B32" s="8">
        <f>B16</f>
        <v>191165</v>
      </c>
      <c r="G32" s="27" t="s">
        <v>50</v>
      </c>
      <c r="H32" s="48">
        <v>0.05</v>
      </c>
      <c r="I32" s="49">
        <f>$B$21*H32</f>
        <v>64</v>
      </c>
    </row>
    <row r="33" spans="1:9" x14ac:dyDescent="0.25">
      <c r="A33" s="7" t="s">
        <v>51</v>
      </c>
      <c r="B33" s="17">
        <f>B32-B18</f>
        <v>9558.25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192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128.63811458333333</v>
      </c>
      <c r="D39" s="7"/>
      <c r="E39" s="17"/>
    </row>
    <row r="40" spans="1:9" x14ac:dyDescent="0.25">
      <c r="A40" s="7" t="s">
        <v>58</v>
      </c>
      <c r="B40" s="17">
        <f>B25-B39</f>
        <v>1250.2318854166665</v>
      </c>
      <c r="D40" s="7"/>
      <c r="E40" s="17"/>
    </row>
    <row r="41" spans="1:9" x14ac:dyDescent="0.25">
      <c r="A41" s="7" t="s">
        <v>59</v>
      </c>
      <c r="B41" s="43">
        <f>B21-B40-I25-I34</f>
        <v>-162.2318854166665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-0.20367563361493976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7033" priority="31" operator="equal">
      <formula>"NO"</formula>
    </cfRule>
    <cfRule type="cellIs" dxfId="7032" priority="32" operator="equal">
      <formula>"YES"</formula>
    </cfRule>
  </conditionalFormatting>
  <conditionalFormatting sqref="E38">
    <cfRule type="cellIs" dxfId="7031" priority="29" operator="equal">
      <formula>"YES"</formula>
    </cfRule>
    <cfRule type="cellIs" dxfId="7030" priority="30" operator="equal">
      <formula>"NO"</formula>
    </cfRule>
  </conditionalFormatting>
  <conditionalFormatting sqref="B23">
    <cfRule type="cellIs" dxfId="7029" priority="27" operator="equal">
      <formula>"NO"</formula>
    </cfRule>
    <cfRule type="cellIs" dxfId="7028" priority="28" operator="equal">
      <formula>"YES"</formula>
    </cfRule>
  </conditionalFormatting>
  <conditionalFormatting sqref="B12">
    <cfRule type="containsText" dxfId="7027" priority="13" operator="containsText" text="Low">
      <formula>NOT(ISERROR(SEARCH("Low",B12)))</formula>
    </cfRule>
    <cfRule type="containsText" dxfId="7026" priority="14" operator="containsText" text="Medium">
      <formula>NOT(ISERROR(SEARCH("Medium",B12)))</formula>
    </cfRule>
    <cfRule type="containsText" dxfId="7025" priority="15" operator="containsText" text="High">
      <formula>NOT(ISERROR(SEARCH("High",B12)))</formula>
    </cfRule>
  </conditionalFormatting>
  <conditionalFormatting sqref="B29">
    <cfRule type="cellIs" dxfId="7024" priority="23" operator="between">
      <formula>10%</formula>
      <formula>11.9%</formula>
    </cfRule>
    <cfRule type="cellIs" dxfId="7023" priority="25" operator="lessThan">
      <formula>0.1</formula>
    </cfRule>
    <cfRule type="cellIs" dxfId="7022" priority="26" operator="greaterThanOrEqual">
      <formula>0.12</formula>
    </cfRule>
  </conditionalFormatting>
  <conditionalFormatting sqref="B42">
    <cfRule type="cellIs" dxfId="7021" priority="21" operator="between">
      <formula>0.1</formula>
      <formula>0.1199</formula>
    </cfRule>
    <cfRule type="cellIs" dxfId="7020" priority="22" operator="lessThan">
      <formula>0.1</formula>
    </cfRule>
    <cfRule type="cellIs" dxfId="7019" priority="24" operator="greaterThanOrEqual">
      <formula>0.12</formula>
    </cfRule>
  </conditionalFormatting>
  <conditionalFormatting sqref="B10">
    <cfRule type="containsText" dxfId="7018" priority="16" operator="containsText" text="Full">
      <formula>NOT(ISERROR(SEARCH("Full",B10)))</formula>
    </cfRule>
    <cfRule type="containsText" dxfId="7017" priority="17" operator="containsText" text="Heavy">
      <formula>NOT(ISERROR(SEARCH("Heavy",B10)))</formula>
    </cfRule>
    <cfRule type="containsText" dxfId="7016" priority="18" operator="containsText" text="Medium">
      <formula>NOT(ISERROR(SEARCH("Medium",B10)))</formula>
    </cfRule>
    <cfRule type="containsText" dxfId="7015" priority="19" operator="containsText" text="Light">
      <formula>NOT(ISERROR(SEARCH("Light",B10)))</formula>
    </cfRule>
    <cfRule type="containsText" dxfId="7014" priority="20" operator="containsText" text="None">
      <formula>NOT(ISERROR(SEARCH("None",B10)))</formula>
    </cfRule>
  </conditionalFormatting>
  <conditionalFormatting sqref="E42">
    <cfRule type="cellIs" dxfId="7013" priority="10" operator="between">
      <formula>0.1</formula>
      <formula>0.119</formula>
    </cfRule>
    <cfRule type="cellIs" dxfId="7012" priority="11" operator="lessThan">
      <formula>0.1</formula>
    </cfRule>
    <cfRule type="cellIs" dxfId="7011" priority="12" operator="greaterThanOrEqual">
      <formula>0.12</formula>
    </cfRule>
  </conditionalFormatting>
  <conditionalFormatting sqref="B28">
    <cfRule type="cellIs" dxfId="7010" priority="33" operator="lessThan">
      <formula>$B$8*100</formula>
    </cfRule>
    <cfRule type="cellIs" dxfId="7009" priority="34" operator="greaterThanOrEqual">
      <formula>$B$8*100</formula>
    </cfRule>
  </conditionalFormatting>
  <conditionalFormatting sqref="B41">
    <cfRule type="cellIs" dxfId="7008" priority="35" operator="lessThan">
      <formula>$B$8*100</formula>
    </cfRule>
    <cfRule type="cellIs" dxfId="7007" priority="36" operator="greaterThan">
      <formula>$B$8*100</formula>
    </cfRule>
    <cfRule type="cellIs" dxfId="7006" priority="37" operator="greaterThan">
      <formula>$B$8*100</formula>
    </cfRule>
  </conditionalFormatting>
  <conditionalFormatting sqref="E41">
    <cfRule type="cellIs" dxfId="7005" priority="38" operator="greaterThan">
      <formula>$B$8*100</formula>
    </cfRule>
    <cfRule type="cellIs" dxfId="7004" priority="39" operator="lessThan">
      <formula>$B$8*100</formula>
    </cfRule>
  </conditionalFormatting>
  <conditionalFormatting sqref="B38">
    <cfRule type="cellIs" dxfId="7003" priority="8" operator="equal">
      <formula>"YES"</formula>
    </cfRule>
    <cfRule type="cellIs" dxfId="7002" priority="9" operator="equal">
      <formula>"NO"</formula>
    </cfRule>
  </conditionalFormatting>
  <conditionalFormatting sqref="E23:E26">
    <cfRule type="cellIs" dxfId="7001" priority="4" operator="equal">
      <formula>"NO"</formula>
    </cfRule>
    <cfRule type="cellIs" dxfId="7000" priority="5" operator="equal">
      <formula>"YES"</formula>
    </cfRule>
  </conditionalFormatting>
  <conditionalFormatting sqref="E29">
    <cfRule type="cellIs" dxfId="6999" priority="1" operator="between">
      <formula>10%</formula>
      <formula>12%</formula>
    </cfRule>
    <cfRule type="cellIs" dxfId="6998" priority="2" operator="lessThan">
      <formula>0.1</formula>
    </cfRule>
    <cfRule type="cellIs" dxfId="6997" priority="3" operator="greaterThan">
      <formula>0.12</formula>
    </cfRule>
  </conditionalFormatting>
  <conditionalFormatting sqref="E28">
    <cfRule type="cellIs" dxfId="6996" priority="6" operator="lessThan">
      <formula>$B$8*100</formula>
    </cfRule>
    <cfRule type="cellIs" dxfId="6995" priority="7" operator="greaterThan">
      <formula>$B$8*100</formula>
    </cfRule>
  </conditionalFormatting>
  <hyperlinks>
    <hyperlink ref="A32" r:id="rId1" display="https://www.zillow.com/homes/recently_sold/" xr:uid="{C798A970-E6FB-46F0-A38F-C757DA05A64C}"/>
    <hyperlink ref="A21" r:id="rId2" xr:uid="{06F2590B-359E-4633-A970-D27F86DA92C5}"/>
    <hyperlink ref="A25" r:id="rId3" display="www.mortgagecalculator.org" xr:uid="{B7CED3C4-9FE4-4B69-85F7-9F9FBD3C23B8}"/>
    <hyperlink ref="A12" r:id="rId4" xr:uid="{5ABD3E7B-30D7-4A8B-A29A-F57FCDDD9C81}"/>
  </hyperlinks>
  <pageMargins left="0.7" right="0.7" top="0.75" bottom="0.75" header="0.3" footer="0.3"/>
  <drawing r:id="rId5"/>
  <legacyDrawing r:id="rId6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422E-0A05-4226-9D7C-9EF10D9AC74F}">
  <sheetPr codeName="Sheet40">
    <tabColor rgb="FF00B050"/>
  </sheetPr>
  <dimension ref="A1:P42"/>
  <sheetViews>
    <sheetView topLeftCell="A11" workbookViewId="0">
      <selection activeCell="B29" sqref="B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127500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127500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127500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6375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121125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1398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1275</v>
      </c>
      <c r="D22" s="7" t="s">
        <v>77</v>
      </c>
      <c r="E22" s="17">
        <f>B16*0.01</f>
        <v>1275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1044.51</v>
      </c>
      <c r="D25" s="7" t="s">
        <v>38</v>
      </c>
      <c r="E25" s="35">
        <f>B25</f>
        <v>1044.51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1254.21</v>
      </c>
      <c r="D26" s="7" t="s">
        <v>41</v>
      </c>
      <c r="E26" s="17">
        <f>E25+I25+I34</f>
        <v>1254.21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143.78999999999996</v>
      </c>
      <c r="D28" s="7" t="s">
        <v>43</v>
      </c>
      <c r="E28" s="44">
        <f>E21-E25-I25-I34+I24+I33</f>
        <v>-204.21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0.27066352941176464</v>
      </c>
      <c r="D29" s="46" t="s">
        <v>44</v>
      </c>
      <c r="E29" s="47">
        <f>(E28*12)/B17</f>
        <v>-0.38439529411764706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69.900000000000006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69.900000000000006</v>
      </c>
    </row>
    <row r="32" spans="1:16" x14ac:dyDescent="0.25">
      <c r="A32" s="26" t="s">
        <v>49</v>
      </c>
      <c r="B32" s="8">
        <f>B16</f>
        <v>127500</v>
      </c>
      <c r="G32" s="27" t="s">
        <v>50</v>
      </c>
      <c r="H32" s="48">
        <v>0.05</v>
      </c>
      <c r="I32" s="49">
        <f>$B$21*H32</f>
        <v>69.900000000000006</v>
      </c>
    </row>
    <row r="33" spans="1:9" x14ac:dyDescent="0.25">
      <c r="A33" s="7" t="s">
        <v>51</v>
      </c>
      <c r="B33" s="17">
        <f>B32-B18</f>
        <v>6375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209.70000000000002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85.796875</v>
      </c>
      <c r="D39" s="7"/>
      <c r="E39" s="17"/>
    </row>
    <row r="40" spans="1:9" x14ac:dyDescent="0.25">
      <c r="A40" s="7" t="s">
        <v>58</v>
      </c>
      <c r="B40" s="17">
        <f>B25-B39</f>
        <v>958.71312499999999</v>
      </c>
      <c r="D40" s="7"/>
      <c r="E40" s="17"/>
    </row>
    <row r="41" spans="1:9" x14ac:dyDescent="0.25">
      <c r="A41" s="7" t="s">
        <v>59</v>
      </c>
      <c r="B41" s="43">
        <f>B21-B40-I25-I34</f>
        <v>229.58687499999999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0.43216352941176472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994" priority="31" operator="equal">
      <formula>"NO"</formula>
    </cfRule>
    <cfRule type="cellIs" dxfId="6993" priority="32" operator="equal">
      <formula>"YES"</formula>
    </cfRule>
  </conditionalFormatting>
  <conditionalFormatting sqref="E38">
    <cfRule type="cellIs" dxfId="6992" priority="29" operator="equal">
      <formula>"YES"</formula>
    </cfRule>
    <cfRule type="cellIs" dxfId="6991" priority="30" operator="equal">
      <formula>"NO"</formula>
    </cfRule>
  </conditionalFormatting>
  <conditionalFormatting sqref="B23">
    <cfRule type="cellIs" dxfId="6990" priority="27" operator="equal">
      <formula>"NO"</formula>
    </cfRule>
    <cfRule type="cellIs" dxfId="6989" priority="28" operator="equal">
      <formula>"YES"</formula>
    </cfRule>
  </conditionalFormatting>
  <conditionalFormatting sqref="B12">
    <cfRule type="containsText" dxfId="6988" priority="13" operator="containsText" text="Low">
      <formula>NOT(ISERROR(SEARCH("Low",B12)))</formula>
    </cfRule>
    <cfRule type="containsText" dxfId="6987" priority="14" operator="containsText" text="Medium">
      <formula>NOT(ISERROR(SEARCH("Medium",B12)))</formula>
    </cfRule>
    <cfRule type="containsText" dxfId="6986" priority="15" operator="containsText" text="High">
      <formula>NOT(ISERROR(SEARCH("High",B12)))</formula>
    </cfRule>
  </conditionalFormatting>
  <conditionalFormatting sqref="B29">
    <cfRule type="cellIs" dxfId="6985" priority="23" operator="between">
      <formula>10%</formula>
      <formula>11.9%</formula>
    </cfRule>
    <cfRule type="cellIs" dxfId="6984" priority="25" operator="lessThan">
      <formula>0.1</formula>
    </cfRule>
    <cfRule type="cellIs" dxfId="6983" priority="26" operator="greaterThanOrEqual">
      <formula>0.12</formula>
    </cfRule>
  </conditionalFormatting>
  <conditionalFormatting sqref="B42">
    <cfRule type="cellIs" dxfId="6982" priority="21" operator="between">
      <formula>0.1</formula>
      <formula>0.1199</formula>
    </cfRule>
    <cfRule type="cellIs" dxfId="6981" priority="22" operator="lessThan">
      <formula>0.1</formula>
    </cfRule>
    <cfRule type="cellIs" dxfId="6980" priority="24" operator="greaterThanOrEqual">
      <formula>0.12</formula>
    </cfRule>
  </conditionalFormatting>
  <conditionalFormatting sqref="B10">
    <cfRule type="containsText" dxfId="6979" priority="16" operator="containsText" text="Full">
      <formula>NOT(ISERROR(SEARCH("Full",B10)))</formula>
    </cfRule>
    <cfRule type="containsText" dxfId="6978" priority="17" operator="containsText" text="Heavy">
      <formula>NOT(ISERROR(SEARCH("Heavy",B10)))</formula>
    </cfRule>
    <cfRule type="containsText" dxfId="6977" priority="18" operator="containsText" text="Medium">
      <formula>NOT(ISERROR(SEARCH("Medium",B10)))</formula>
    </cfRule>
    <cfRule type="containsText" dxfId="6976" priority="19" operator="containsText" text="Light">
      <formula>NOT(ISERROR(SEARCH("Light",B10)))</formula>
    </cfRule>
    <cfRule type="containsText" dxfId="6975" priority="20" operator="containsText" text="None">
      <formula>NOT(ISERROR(SEARCH("None",B10)))</formula>
    </cfRule>
  </conditionalFormatting>
  <conditionalFormatting sqref="E42">
    <cfRule type="cellIs" dxfId="6974" priority="10" operator="between">
      <formula>0.1</formula>
      <formula>0.119</formula>
    </cfRule>
    <cfRule type="cellIs" dxfId="6973" priority="11" operator="lessThan">
      <formula>0.1</formula>
    </cfRule>
    <cfRule type="cellIs" dxfId="6972" priority="12" operator="greaterThanOrEqual">
      <formula>0.12</formula>
    </cfRule>
  </conditionalFormatting>
  <conditionalFormatting sqref="B28">
    <cfRule type="cellIs" dxfId="6971" priority="33" operator="lessThan">
      <formula>$B$8*100</formula>
    </cfRule>
    <cfRule type="cellIs" dxfId="6970" priority="34" operator="greaterThanOrEqual">
      <formula>$B$8*100</formula>
    </cfRule>
  </conditionalFormatting>
  <conditionalFormatting sqref="B41">
    <cfRule type="cellIs" dxfId="6969" priority="35" operator="lessThan">
      <formula>$B$8*100</formula>
    </cfRule>
    <cfRule type="cellIs" dxfId="6968" priority="36" operator="greaterThan">
      <formula>$B$8*100</formula>
    </cfRule>
    <cfRule type="cellIs" dxfId="6967" priority="37" operator="greaterThan">
      <formula>$B$8*100</formula>
    </cfRule>
  </conditionalFormatting>
  <conditionalFormatting sqref="E41">
    <cfRule type="cellIs" dxfId="6966" priority="38" operator="greaterThan">
      <formula>$B$8*100</formula>
    </cfRule>
    <cfRule type="cellIs" dxfId="6965" priority="39" operator="lessThan">
      <formula>$B$8*100</formula>
    </cfRule>
  </conditionalFormatting>
  <conditionalFormatting sqref="B38">
    <cfRule type="cellIs" dxfId="6964" priority="8" operator="equal">
      <formula>"YES"</formula>
    </cfRule>
    <cfRule type="cellIs" dxfId="6963" priority="9" operator="equal">
      <formula>"NO"</formula>
    </cfRule>
  </conditionalFormatting>
  <conditionalFormatting sqref="E23:E26">
    <cfRule type="cellIs" dxfId="6962" priority="4" operator="equal">
      <formula>"NO"</formula>
    </cfRule>
    <cfRule type="cellIs" dxfId="6961" priority="5" operator="equal">
      <formula>"YES"</formula>
    </cfRule>
  </conditionalFormatting>
  <conditionalFormatting sqref="E29">
    <cfRule type="cellIs" dxfId="6960" priority="1" operator="between">
      <formula>10%</formula>
      <formula>12%</formula>
    </cfRule>
    <cfRule type="cellIs" dxfId="6959" priority="2" operator="lessThan">
      <formula>0.1</formula>
    </cfRule>
    <cfRule type="cellIs" dxfId="6958" priority="3" operator="greaterThan">
      <formula>0.12</formula>
    </cfRule>
  </conditionalFormatting>
  <conditionalFormatting sqref="E28">
    <cfRule type="cellIs" dxfId="6957" priority="6" operator="lessThan">
      <formula>$B$8*100</formula>
    </cfRule>
    <cfRule type="cellIs" dxfId="6956" priority="7" operator="greaterThan">
      <formula>$B$8*100</formula>
    </cfRule>
  </conditionalFormatting>
  <hyperlinks>
    <hyperlink ref="A32" r:id="rId1" display="https://www.zillow.com/homes/recently_sold/" xr:uid="{93408156-C59F-44AA-8FD9-15014332E626}"/>
    <hyperlink ref="A21" r:id="rId2" xr:uid="{5BC9F12D-C0EB-4613-BCF4-DD06784BE387}"/>
    <hyperlink ref="A25" r:id="rId3" display="www.mortgagecalculator.org" xr:uid="{CFB9ABBF-037C-4C4B-AF42-8663145FB956}"/>
    <hyperlink ref="A12" r:id="rId4" xr:uid="{C67A5A3E-4C36-4BB8-AFA6-56B67D3299C5}"/>
  </hyperlinks>
  <pageMargins left="0.7" right="0.7" top="0.75" bottom="0.75" header="0.3" footer="0.3"/>
  <drawing r:id="rId5"/>
  <legacyDrawing r:id="rId6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629BF-90E9-4F83-AB78-AAA080416E65}">
  <sheetPr codeName="Sheet41">
    <tabColor rgb="FF92D05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119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1056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187000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187000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9350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177650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1729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1870</v>
      </c>
      <c r="D22" s="7" t="s">
        <v>77</v>
      </c>
      <c r="E22" s="17">
        <f>B16*0.01</f>
        <v>1870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1325.84</v>
      </c>
      <c r="D25" s="7" t="s">
        <v>38</v>
      </c>
      <c r="E25" s="35">
        <f>B25</f>
        <v>1325.84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1585.19</v>
      </c>
      <c r="D26" s="7" t="s">
        <v>41</v>
      </c>
      <c r="E26" s="17">
        <f>E25+I25+I34</f>
        <v>1585.19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143.80999999999995</v>
      </c>
      <c r="D28" s="7" t="s">
        <v>43</v>
      </c>
      <c r="E28" s="44">
        <f>E21-E25-I25-I34+I24+I33</f>
        <v>-535.18999999999994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0.18456898395721918</v>
      </c>
      <c r="D29" s="46" t="s">
        <v>44</v>
      </c>
      <c r="E29" s="47">
        <f>(E28*12)/B17</f>
        <v>-0.68687486631016026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86.45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86.45</v>
      </c>
    </row>
    <row r="32" spans="1:16" x14ac:dyDescent="0.25">
      <c r="A32" s="26" t="s">
        <v>49</v>
      </c>
      <c r="B32" s="8">
        <f>B16</f>
        <v>187000</v>
      </c>
      <c r="G32" s="27" t="s">
        <v>50</v>
      </c>
      <c r="H32" s="48">
        <v>0.05</v>
      </c>
      <c r="I32" s="49">
        <f>$B$21*H32</f>
        <v>86.45</v>
      </c>
    </row>
    <row r="33" spans="1:9" x14ac:dyDescent="0.25">
      <c r="A33" s="7" t="s">
        <v>51</v>
      </c>
      <c r="B33" s="17">
        <f>B32-B18</f>
        <v>9350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259.35000000000002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125.83541666666667</v>
      </c>
      <c r="D39" s="7"/>
      <c r="E39" s="17"/>
    </row>
    <row r="40" spans="1:9" x14ac:dyDescent="0.25">
      <c r="A40" s="7" t="s">
        <v>58</v>
      </c>
      <c r="B40" s="17">
        <f>B25-B39</f>
        <v>1200.0045833333334</v>
      </c>
      <c r="D40" s="7"/>
      <c r="E40" s="17"/>
    </row>
    <row r="41" spans="1:9" x14ac:dyDescent="0.25">
      <c r="A41" s="7" t="s">
        <v>59</v>
      </c>
      <c r="B41" s="43">
        <f>B21-B40-I25-I34</f>
        <v>269.64541666666662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0.34606898395721919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955" priority="31" operator="equal">
      <formula>"NO"</formula>
    </cfRule>
    <cfRule type="cellIs" dxfId="6954" priority="32" operator="equal">
      <formula>"YES"</formula>
    </cfRule>
  </conditionalFormatting>
  <conditionalFormatting sqref="E38">
    <cfRule type="cellIs" dxfId="6953" priority="29" operator="equal">
      <formula>"YES"</formula>
    </cfRule>
    <cfRule type="cellIs" dxfId="6952" priority="30" operator="equal">
      <formula>"NO"</formula>
    </cfRule>
  </conditionalFormatting>
  <conditionalFormatting sqref="B23">
    <cfRule type="cellIs" dxfId="6951" priority="27" operator="equal">
      <formula>"NO"</formula>
    </cfRule>
    <cfRule type="cellIs" dxfId="6950" priority="28" operator="equal">
      <formula>"YES"</formula>
    </cfRule>
  </conditionalFormatting>
  <conditionalFormatting sqref="B12">
    <cfRule type="containsText" dxfId="6949" priority="13" operator="containsText" text="Low">
      <formula>NOT(ISERROR(SEARCH("Low",B12)))</formula>
    </cfRule>
    <cfRule type="containsText" dxfId="6948" priority="14" operator="containsText" text="Medium">
      <formula>NOT(ISERROR(SEARCH("Medium",B12)))</formula>
    </cfRule>
    <cfRule type="containsText" dxfId="6947" priority="15" operator="containsText" text="High">
      <formula>NOT(ISERROR(SEARCH("High",B12)))</formula>
    </cfRule>
  </conditionalFormatting>
  <conditionalFormatting sqref="B29">
    <cfRule type="cellIs" dxfId="6946" priority="23" operator="between">
      <formula>10%</formula>
      <formula>11.9%</formula>
    </cfRule>
    <cfRule type="cellIs" dxfId="6945" priority="25" operator="lessThan">
      <formula>0.1</formula>
    </cfRule>
    <cfRule type="cellIs" dxfId="6944" priority="26" operator="greaterThanOrEqual">
      <formula>0.12</formula>
    </cfRule>
  </conditionalFormatting>
  <conditionalFormatting sqref="B42">
    <cfRule type="cellIs" dxfId="6943" priority="21" operator="between">
      <formula>0.1</formula>
      <formula>0.1199</formula>
    </cfRule>
    <cfRule type="cellIs" dxfId="6942" priority="22" operator="lessThan">
      <formula>0.1</formula>
    </cfRule>
    <cfRule type="cellIs" dxfId="6941" priority="24" operator="greaterThanOrEqual">
      <formula>0.12</formula>
    </cfRule>
  </conditionalFormatting>
  <conditionalFormatting sqref="B10">
    <cfRule type="containsText" dxfId="6940" priority="16" operator="containsText" text="Full">
      <formula>NOT(ISERROR(SEARCH("Full",B10)))</formula>
    </cfRule>
    <cfRule type="containsText" dxfId="6939" priority="17" operator="containsText" text="Heavy">
      <formula>NOT(ISERROR(SEARCH("Heavy",B10)))</formula>
    </cfRule>
    <cfRule type="containsText" dxfId="6938" priority="18" operator="containsText" text="Medium">
      <formula>NOT(ISERROR(SEARCH("Medium",B10)))</formula>
    </cfRule>
    <cfRule type="containsText" dxfId="6937" priority="19" operator="containsText" text="Light">
      <formula>NOT(ISERROR(SEARCH("Light",B10)))</formula>
    </cfRule>
    <cfRule type="containsText" dxfId="6936" priority="20" operator="containsText" text="None">
      <formula>NOT(ISERROR(SEARCH("None",B10)))</formula>
    </cfRule>
  </conditionalFormatting>
  <conditionalFormatting sqref="E42">
    <cfRule type="cellIs" dxfId="6935" priority="10" operator="between">
      <formula>0.1</formula>
      <formula>0.119</formula>
    </cfRule>
    <cfRule type="cellIs" dxfId="6934" priority="11" operator="lessThan">
      <formula>0.1</formula>
    </cfRule>
    <cfRule type="cellIs" dxfId="6933" priority="12" operator="greaterThanOrEqual">
      <formula>0.12</formula>
    </cfRule>
  </conditionalFormatting>
  <conditionalFormatting sqref="B28">
    <cfRule type="cellIs" dxfId="6932" priority="33" operator="lessThan">
      <formula>$B$8*100</formula>
    </cfRule>
    <cfRule type="cellIs" dxfId="6931" priority="34" operator="greaterThanOrEqual">
      <formula>$B$8*100</formula>
    </cfRule>
  </conditionalFormatting>
  <conditionalFormatting sqref="B41">
    <cfRule type="cellIs" dxfId="6930" priority="35" operator="lessThan">
      <formula>$B$8*100</formula>
    </cfRule>
    <cfRule type="cellIs" dxfId="6929" priority="36" operator="greaterThan">
      <formula>$B$8*100</formula>
    </cfRule>
    <cfRule type="cellIs" dxfId="6928" priority="37" operator="greaterThan">
      <formula>$B$8*100</formula>
    </cfRule>
  </conditionalFormatting>
  <conditionalFormatting sqref="E41">
    <cfRule type="cellIs" dxfId="6927" priority="38" operator="greaterThan">
      <formula>$B$8*100</formula>
    </cfRule>
    <cfRule type="cellIs" dxfId="6926" priority="39" operator="lessThan">
      <formula>$B$8*100</formula>
    </cfRule>
  </conditionalFormatting>
  <conditionalFormatting sqref="B38">
    <cfRule type="cellIs" dxfId="6925" priority="8" operator="equal">
      <formula>"YES"</formula>
    </cfRule>
    <cfRule type="cellIs" dxfId="6924" priority="9" operator="equal">
      <formula>"NO"</formula>
    </cfRule>
  </conditionalFormatting>
  <conditionalFormatting sqref="E23:E26">
    <cfRule type="cellIs" dxfId="6923" priority="4" operator="equal">
      <formula>"NO"</formula>
    </cfRule>
    <cfRule type="cellIs" dxfId="6922" priority="5" operator="equal">
      <formula>"YES"</formula>
    </cfRule>
  </conditionalFormatting>
  <conditionalFormatting sqref="E29">
    <cfRule type="cellIs" dxfId="6921" priority="1" operator="between">
      <formula>10%</formula>
      <formula>12%</formula>
    </cfRule>
    <cfRule type="cellIs" dxfId="6920" priority="2" operator="lessThan">
      <formula>0.1</formula>
    </cfRule>
    <cfRule type="cellIs" dxfId="6919" priority="3" operator="greaterThan">
      <formula>0.12</formula>
    </cfRule>
  </conditionalFormatting>
  <conditionalFormatting sqref="E28">
    <cfRule type="cellIs" dxfId="6918" priority="6" operator="lessThan">
      <formula>$B$8*100</formula>
    </cfRule>
    <cfRule type="cellIs" dxfId="6917" priority="7" operator="greaterThan">
      <formula>$B$8*100</formula>
    </cfRule>
  </conditionalFormatting>
  <hyperlinks>
    <hyperlink ref="A32" r:id="rId1" display="https://www.zillow.com/homes/recently_sold/" xr:uid="{31DA61A1-9D15-449B-886C-7607B2BCE36A}"/>
    <hyperlink ref="A21" r:id="rId2" xr:uid="{02BC1846-0F9E-40CA-AB88-8FED0EE474A5}"/>
    <hyperlink ref="A25" r:id="rId3" display="www.mortgagecalculator.org" xr:uid="{D66A1051-8716-41FF-9D6D-83E8D77079AB}"/>
    <hyperlink ref="A12" r:id="rId4" xr:uid="{3954A969-4A95-439A-9C98-039C679ED8EF}"/>
  </hyperlinks>
  <pageMargins left="0.7" right="0.7" top="0.75" bottom="0.75" header="0.3" footer="0.3"/>
  <drawing r:id="rId5"/>
  <legacyDrawing r:id="rId6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61714-95D1-4247-B867-371836F8D26F}">
  <sheetPr codeName="Sheet42">
    <tabColor rgb="FF00B050"/>
  </sheetPr>
  <dimension ref="A1:P42"/>
  <sheetViews>
    <sheetView topLeftCell="A3" workbookViewId="0">
      <selection activeCell="B25" sqref="B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858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178500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178500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8925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169575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1729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1785</v>
      </c>
      <c r="D22" s="7" t="s">
        <v>77</v>
      </c>
      <c r="E22" s="17">
        <f>B16*0.01</f>
        <v>1785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1252.32</v>
      </c>
      <c r="D25" s="7" t="s">
        <v>38</v>
      </c>
      <c r="E25" s="35">
        <f>B25</f>
        <v>1252.32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1511.67</v>
      </c>
      <c r="D26" s="7" t="s">
        <v>41</v>
      </c>
      <c r="E26" s="17">
        <f>E25+I25+I34</f>
        <v>1511.67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217.32999999999993</v>
      </c>
      <c r="D28" s="7" t="s">
        <v>43</v>
      </c>
      <c r="E28" s="44">
        <f>E21-E25-I25-I34+I24+I33</f>
        <v>-461.66999999999996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0.29220840336134446</v>
      </c>
      <c r="D29" s="46" t="s">
        <v>44</v>
      </c>
      <c r="E29" s="47">
        <f>(E28*12)/B17</f>
        <v>-0.62073277310924357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86.45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86.45</v>
      </c>
    </row>
    <row r="32" spans="1:16" x14ac:dyDescent="0.25">
      <c r="A32" s="26" t="s">
        <v>49</v>
      </c>
      <c r="B32" s="8">
        <f>B16</f>
        <v>178500</v>
      </c>
      <c r="G32" s="27" t="s">
        <v>50</v>
      </c>
      <c r="H32" s="48">
        <v>0.05</v>
      </c>
      <c r="I32" s="49">
        <f>$B$21*H32</f>
        <v>86.45</v>
      </c>
    </row>
    <row r="33" spans="1:9" x14ac:dyDescent="0.25">
      <c r="A33" s="7" t="s">
        <v>51</v>
      </c>
      <c r="B33" s="17">
        <f>B32-B18</f>
        <v>8925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259.35000000000002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120.11562500000001</v>
      </c>
      <c r="D39" s="7"/>
      <c r="E39" s="17"/>
    </row>
    <row r="40" spans="1:9" x14ac:dyDescent="0.25">
      <c r="A40" s="7" t="s">
        <v>58</v>
      </c>
      <c r="B40" s="17">
        <f>B25-B39</f>
        <v>1132.204375</v>
      </c>
      <c r="D40" s="7"/>
      <c r="E40" s="17"/>
    </row>
    <row r="41" spans="1:9" x14ac:dyDescent="0.25">
      <c r="A41" s="7" t="s">
        <v>59</v>
      </c>
      <c r="B41" s="43">
        <f>B21-B40-I25-I34</f>
        <v>337.44562499999995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0.45370840336134449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916" priority="31" operator="equal">
      <formula>"NO"</formula>
    </cfRule>
    <cfRule type="cellIs" dxfId="6915" priority="32" operator="equal">
      <formula>"YES"</formula>
    </cfRule>
  </conditionalFormatting>
  <conditionalFormatting sqref="E38">
    <cfRule type="cellIs" dxfId="6914" priority="29" operator="equal">
      <formula>"YES"</formula>
    </cfRule>
    <cfRule type="cellIs" dxfId="6913" priority="30" operator="equal">
      <formula>"NO"</formula>
    </cfRule>
  </conditionalFormatting>
  <conditionalFormatting sqref="B23">
    <cfRule type="cellIs" dxfId="6912" priority="27" operator="equal">
      <formula>"NO"</formula>
    </cfRule>
    <cfRule type="cellIs" dxfId="6911" priority="28" operator="equal">
      <formula>"YES"</formula>
    </cfRule>
  </conditionalFormatting>
  <conditionalFormatting sqref="B12">
    <cfRule type="containsText" dxfId="6910" priority="13" operator="containsText" text="Low">
      <formula>NOT(ISERROR(SEARCH("Low",B12)))</formula>
    </cfRule>
    <cfRule type="containsText" dxfId="6909" priority="14" operator="containsText" text="Medium">
      <formula>NOT(ISERROR(SEARCH("Medium",B12)))</formula>
    </cfRule>
    <cfRule type="containsText" dxfId="6908" priority="15" operator="containsText" text="High">
      <formula>NOT(ISERROR(SEARCH("High",B12)))</formula>
    </cfRule>
  </conditionalFormatting>
  <conditionalFormatting sqref="B29">
    <cfRule type="cellIs" dxfId="6907" priority="23" operator="between">
      <formula>10%</formula>
      <formula>11.9%</formula>
    </cfRule>
    <cfRule type="cellIs" dxfId="6906" priority="25" operator="lessThan">
      <formula>0.1</formula>
    </cfRule>
    <cfRule type="cellIs" dxfId="6905" priority="26" operator="greaterThanOrEqual">
      <formula>0.12</formula>
    </cfRule>
  </conditionalFormatting>
  <conditionalFormatting sqref="B42">
    <cfRule type="cellIs" dxfId="6904" priority="21" operator="between">
      <formula>0.1</formula>
      <formula>0.1199</formula>
    </cfRule>
    <cfRule type="cellIs" dxfId="6903" priority="22" operator="lessThan">
      <formula>0.1</formula>
    </cfRule>
    <cfRule type="cellIs" dxfId="6902" priority="24" operator="greaterThanOrEqual">
      <formula>0.12</formula>
    </cfRule>
  </conditionalFormatting>
  <conditionalFormatting sqref="B10">
    <cfRule type="containsText" dxfId="6901" priority="16" operator="containsText" text="Full">
      <formula>NOT(ISERROR(SEARCH("Full",B10)))</formula>
    </cfRule>
    <cfRule type="containsText" dxfId="6900" priority="17" operator="containsText" text="Heavy">
      <formula>NOT(ISERROR(SEARCH("Heavy",B10)))</formula>
    </cfRule>
    <cfRule type="containsText" dxfId="6899" priority="18" operator="containsText" text="Medium">
      <formula>NOT(ISERROR(SEARCH("Medium",B10)))</formula>
    </cfRule>
    <cfRule type="containsText" dxfId="6898" priority="19" operator="containsText" text="Light">
      <formula>NOT(ISERROR(SEARCH("Light",B10)))</formula>
    </cfRule>
    <cfRule type="containsText" dxfId="6897" priority="20" operator="containsText" text="None">
      <formula>NOT(ISERROR(SEARCH("None",B10)))</formula>
    </cfRule>
  </conditionalFormatting>
  <conditionalFormatting sqref="E42">
    <cfRule type="cellIs" dxfId="6896" priority="10" operator="between">
      <formula>0.1</formula>
      <formula>0.119</formula>
    </cfRule>
    <cfRule type="cellIs" dxfId="6895" priority="11" operator="lessThan">
      <formula>0.1</formula>
    </cfRule>
    <cfRule type="cellIs" dxfId="6894" priority="12" operator="greaterThanOrEqual">
      <formula>0.12</formula>
    </cfRule>
  </conditionalFormatting>
  <conditionalFormatting sqref="B28">
    <cfRule type="cellIs" dxfId="6893" priority="33" operator="lessThan">
      <formula>$B$8*100</formula>
    </cfRule>
    <cfRule type="cellIs" dxfId="6892" priority="34" operator="greaterThanOrEqual">
      <formula>$B$8*100</formula>
    </cfRule>
  </conditionalFormatting>
  <conditionalFormatting sqref="B41">
    <cfRule type="cellIs" dxfId="6891" priority="35" operator="lessThan">
      <formula>$B$8*100</formula>
    </cfRule>
    <cfRule type="cellIs" dxfId="6890" priority="36" operator="greaterThan">
      <formula>$B$8*100</formula>
    </cfRule>
    <cfRule type="cellIs" dxfId="6889" priority="37" operator="greaterThan">
      <formula>$B$8*100</formula>
    </cfRule>
  </conditionalFormatting>
  <conditionalFormatting sqref="E41">
    <cfRule type="cellIs" dxfId="6888" priority="38" operator="greaterThan">
      <formula>$B$8*100</formula>
    </cfRule>
    <cfRule type="cellIs" dxfId="6887" priority="39" operator="lessThan">
      <formula>$B$8*100</formula>
    </cfRule>
  </conditionalFormatting>
  <conditionalFormatting sqref="B38">
    <cfRule type="cellIs" dxfId="6886" priority="8" operator="equal">
      <formula>"YES"</formula>
    </cfRule>
    <cfRule type="cellIs" dxfId="6885" priority="9" operator="equal">
      <formula>"NO"</formula>
    </cfRule>
  </conditionalFormatting>
  <conditionalFormatting sqref="E23:E26">
    <cfRule type="cellIs" dxfId="6884" priority="4" operator="equal">
      <formula>"NO"</formula>
    </cfRule>
    <cfRule type="cellIs" dxfId="6883" priority="5" operator="equal">
      <formula>"YES"</formula>
    </cfRule>
  </conditionalFormatting>
  <conditionalFormatting sqref="E29">
    <cfRule type="cellIs" dxfId="6882" priority="1" operator="between">
      <formula>10%</formula>
      <formula>12%</formula>
    </cfRule>
    <cfRule type="cellIs" dxfId="6881" priority="2" operator="lessThan">
      <formula>0.1</formula>
    </cfRule>
    <cfRule type="cellIs" dxfId="6880" priority="3" operator="greaterThan">
      <formula>0.12</formula>
    </cfRule>
  </conditionalFormatting>
  <conditionalFormatting sqref="E28">
    <cfRule type="cellIs" dxfId="6879" priority="6" operator="lessThan">
      <formula>$B$8*100</formula>
    </cfRule>
    <cfRule type="cellIs" dxfId="6878" priority="7" operator="greaterThan">
      <formula>$B$8*100</formula>
    </cfRule>
  </conditionalFormatting>
  <hyperlinks>
    <hyperlink ref="A32" r:id="rId1" display="https://www.zillow.com/homes/recently_sold/" xr:uid="{3A2A4A55-5A05-4075-8F26-3769FDF1DB3B}"/>
    <hyperlink ref="A21" r:id="rId2" xr:uid="{9CCD9F48-5055-4EF8-8339-0C2E19009DAB}"/>
    <hyperlink ref="A25" r:id="rId3" display="www.mortgagecalculator.org" xr:uid="{E17B9EF0-2A51-4880-9013-97683CEC1C66}"/>
    <hyperlink ref="A12" r:id="rId4" xr:uid="{7064A7BA-CB98-4896-9320-95276E349B32}"/>
  </hyperlinks>
  <pageMargins left="0.7" right="0.7" top="0.75" bottom="0.75" header="0.3" footer="0.3"/>
  <drawing r:id="rId5"/>
  <legacyDrawing r:id="rId6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ADBAD-62A3-45BF-BFE9-2FB9283DE328}">
  <sheetPr codeName="Sheet43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197000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167450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167450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8372.5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159077.5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1535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1674.5</v>
      </c>
      <c r="D22" s="7" t="s">
        <v>77</v>
      </c>
      <c r="E22" s="17">
        <f>B16*0.01</f>
        <v>1674.5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1316.74</v>
      </c>
      <c r="D25" s="7" t="s">
        <v>38</v>
      </c>
      <c r="E25" s="35">
        <f>B25</f>
        <v>1316.74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1546.99</v>
      </c>
      <c r="D26" s="7" t="s">
        <v>41</v>
      </c>
      <c r="E26" s="17">
        <f>E25+I25+I34</f>
        <v>1546.99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-11.990000000000009</v>
      </c>
      <c r="D28" s="7" t="s">
        <v>43</v>
      </c>
      <c r="E28" s="44">
        <f>E21-E25-I25-I34+I24+I33</f>
        <v>-496.99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-1.7184831292923274E-2</v>
      </c>
      <c r="D29" s="46" t="s">
        <v>44</v>
      </c>
      <c r="E29" s="47">
        <f>(E28*12)/B17</f>
        <v>-0.71231770677814277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76.75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76.75</v>
      </c>
    </row>
    <row r="32" spans="1:16" x14ac:dyDescent="0.25">
      <c r="A32" s="26" t="s">
        <v>49</v>
      </c>
      <c r="B32" s="8">
        <f>B16</f>
        <v>167450</v>
      </c>
      <c r="G32" s="27" t="s">
        <v>50</v>
      </c>
      <c r="H32" s="48">
        <v>0.05</v>
      </c>
      <c r="I32" s="49">
        <f>$B$21*H32</f>
        <v>76.75</v>
      </c>
    </row>
    <row r="33" spans="1:9" x14ac:dyDescent="0.25">
      <c r="A33" s="7" t="s">
        <v>51</v>
      </c>
      <c r="B33" s="17">
        <f>B32-B18</f>
        <v>8372.5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230.25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112.67989583333333</v>
      </c>
      <c r="D39" s="7"/>
      <c r="E39" s="17"/>
    </row>
    <row r="40" spans="1:9" x14ac:dyDescent="0.25">
      <c r="A40" s="7" t="s">
        <v>58</v>
      </c>
      <c r="B40" s="17">
        <f>B25-B39</f>
        <v>1204.0601041666666</v>
      </c>
      <c r="D40" s="7"/>
      <c r="E40" s="17"/>
    </row>
    <row r="41" spans="1:9" x14ac:dyDescent="0.25">
      <c r="A41" s="7" t="s">
        <v>59</v>
      </c>
      <c r="B41" s="43">
        <f>B21-B40-I25-I34</f>
        <v>100.68989583333337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0.14431516870707678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877" priority="31" operator="equal">
      <formula>"NO"</formula>
    </cfRule>
    <cfRule type="cellIs" dxfId="6876" priority="32" operator="equal">
      <formula>"YES"</formula>
    </cfRule>
  </conditionalFormatting>
  <conditionalFormatting sqref="E38">
    <cfRule type="cellIs" dxfId="6875" priority="29" operator="equal">
      <formula>"YES"</formula>
    </cfRule>
    <cfRule type="cellIs" dxfId="6874" priority="30" operator="equal">
      <formula>"NO"</formula>
    </cfRule>
  </conditionalFormatting>
  <conditionalFormatting sqref="B23">
    <cfRule type="cellIs" dxfId="6873" priority="27" operator="equal">
      <formula>"NO"</formula>
    </cfRule>
    <cfRule type="cellIs" dxfId="6872" priority="28" operator="equal">
      <formula>"YES"</formula>
    </cfRule>
  </conditionalFormatting>
  <conditionalFormatting sqref="B12">
    <cfRule type="containsText" dxfId="6871" priority="13" operator="containsText" text="Low">
      <formula>NOT(ISERROR(SEARCH("Low",B12)))</formula>
    </cfRule>
    <cfRule type="containsText" dxfId="6870" priority="14" operator="containsText" text="Medium">
      <formula>NOT(ISERROR(SEARCH("Medium",B12)))</formula>
    </cfRule>
    <cfRule type="containsText" dxfId="6869" priority="15" operator="containsText" text="High">
      <formula>NOT(ISERROR(SEARCH("High",B12)))</formula>
    </cfRule>
  </conditionalFormatting>
  <conditionalFormatting sqref="B29">
    <cfRule type="cellIs" dxfId="6868" priority="23" operator="between">
      <formula>10%</formula>
      <formula>11.9%</formula>
    </cfRule>
    <cfRule type="cellIs" dxfId="6867" priority="25" operator="lessThan">
      <formula>0.1</formula>
    </cfRule>
    <cfRule type="cellIs" dxfId="6866" priority="26" operator="greaterThanOrEqual">
      <formula>0.12</formula>
    </cfRule>
  </conditionalFormatting>
  <conditionalFormatting sqref="B42">
    <cfRule type="cellIs" dxfId="6865" priority="21" operator="between">
      <formula>0.1</formula>
      <formula>0.1199</formula>
    </cfRule>
    <cfRule type="cellIs" dxfId="6864" priority="22" operator="lessThan">
      <formula>0.1</formula>
    </cfRule>
    <cfRule type="cellIs" dxfId="6863" priority="24" operator="greaterThanOrEqual">
      <formula>0.12</formula>
    </cfRule>
  </conditionalFormatting>
  <conditionalFormatting sqref="B10">
    <cfRule type="containsText" dxfId="6862" priority="16" operator="containsText" text="Full">
      <formula>NOT(ISERROR(SEARCH("Full",B10)))</formula>
    </cfRule>
    <cfRule type="containsText" dxfId="6861" priority="17" operator="containsText" text="Heavy">
      <formula>NOT(ISERROR(SEARCH("Heavy",B10)))</formula>
    </cfRule>
    <cfRule type="containsText" dxfId="6860" priority="18" operator="containsText" text="Medium">
      <formula>NOT(ISERROR(SEARCH("Medium",B10)))</formula>
    </cfRule>
    <cfRule type="containsText" dxfId="6859" priority="19" operator="containsText" text="Light">
      <formula>NOT(ISERROR(SEARCH("Light",B10)))</formula>
    </cfRule>
    <cfRule type="containsText" dxfId="6858" priority="20" operator="containsText" text="None">
      <formula>NOT(ISERROR(SEARCH("None",B10)))</formula>
    </cfRule>
  </conditionalFormatting>
  <conditionalFormatting sqref="E42">
    <cfRule type="cellIs" dxfId="6857" priority="10" operator="between">
      <formula>0.1</formula>
      <formula>0.119</formula>
    </cfRule>
    <cfRule type="cellIs" dxfId="6856" priority="11" operator="lessThan">
      <formula>0.1</formula>
    </cfRule>
    <cfRule type="cellIs" dxfId="6855" priority="12" operator="greaterThanOrEqual">
      <formula>0.12</formula>
    </cfRule>
  </conditionalFormatting>
  <conditionalFormatting sqref="B28">
    <cfRule type="cellIs" dxfId="6854" priority="33" operator="lessThan">
      <formula>$B$8*100</formula>
    </cfRule>
    <cfRule type="cellIs" dxfId="6853" priority="34" operator="greaterThanOrEqual">
      <formula>$B$8*100</formula>
    </cfRule>
  </conditionalFormatting>
  <conditionalFormatting sqref="B41">
    <cfRule type="cellIs" dxfId="6852" priority="35" operator="lessThan">
      <formula>$B$8*100</formula>
    </cfRule>
    <cfRule type="cellIs" dxfId="6851" priority="36" operator="greaterThan">
      <formula>$B$8*100</formula>
    </cfRule>
    <cfRule type="cellIs" dxfId="6850" priority="37" operator="greaterThan">
      <formula>$B$8*100</formula>
    </cfRule>
  </conditionalFormatting>
  <conditionalFormatting sqref="E41">
    <cfRule type="cellIs" dxfId="6849" priority="38" operator="greaterThan">
      <formula>$B$8*100</formula>
    </cfRule>
    <cfRule type="cellIs" dxfId="6848" priority="39" operator="lessThan">
      <formula>$B$8*100</formula>
    </cfRule>
  </conditionalFormatting>
  <conditionalFormatting sqref="B38">
    <cfRule type="cellIs" dxfId="6847" priority="8" operator="equal">
      <formula>"YES"</formula>
    </cfRule>
    <cfRule type="cellIs" dxfId="6846" priority="9" operator="equal">
      <formula>"NO"</formula>
    </cfRule>
  </conditionalFormatting>
  <conditionalFormatting sqref="E23:E26">
    <cfRule type="cellIs" dxfId="6845" priority="4" operator="equal">
      <formula>"NO"</formula>
    </cfRule>
    <cfRule type="cellIs" dxfId="6844" priority="5" operator="equal">
      <formula>"YES"</formula>
    </cfRule>
  </conditionalFormatting>
  <conditionalFormatting sqref="E29">
    <cfRule type="cellIs" dxfId="6843" priority="1" operator="between">
      <formula>10%</formula>
      <formula>12%</formula>
    </cfRule>
    <cfRule type="cellIs" dxfId="6842" priority="2" operator="lessThan">
      <formula>0.1</formula>
    </cfRule>
    <cfRule type="cellIs" dxfId="6841" priority="3" operator="greaterThan">
      <formula>0.12</formula>
    </cfRule>
  </conditionalFormatting>
  <conditionalFormatting sqref="E28">
    <cfRule type="cellIs" dxfId="6840" priority="6" operator="lessThan">
      <formula>$B$8*100</formula>
    </cfRule>
    <cfRule type="cellIs" dxfId="6839" priority="7" operator="greaterThan">
      <formula>$B$8*100</formula>
    </cfRule>
  </conditionalFormatting>
  <hyperlinks>
    <hyperlink ref="A32" r:id="rId1" display="https://www.zillow.com/homes/recently_sold/" xr:uid="{5BDFA7DC-32A5-4FFC-9DDB-D9B6BD1F8014}"/>
    <hyperlink ref="A21" r:id="rId2" xr:uid="{F8A87BB4-1436-4BA2-907B-F5D33EC6341D}"/>
    <hyperlink ref="A25" r:id="rId3" display="www.mortgagecalculator.org" xr:uid="{E95CF386-4697-4094-B92F-0C933E79781D}"/>
    <hyperlink ref="A12" r:id="rId4" xr:uid="{712CB770-36D9-40E5-9F1A-5FF6E52761A1}"/>
  </hyperlinks>
  <pageMargins left="0.7" right="0.7" top="0.75" bottom="0.75" header="0.3" footer="0.3"/>
  <drawing r:id="rId5"/>
  <legacyDrawing r:id="rId6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54EDA-42A1-4C5D-A058-351C0088D3E3}">
  <sheetPr codeName="Sheet44">
    <tabColor rgb="FFFF0000"/>
  </sheetPr>
  <dimension ref="A1:P42"/>
  <sheetViews>
    <sheetView topLeftCell="A11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1686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208250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208250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10412.5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197837.5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1348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2082.5</v>
      </c>
      <c r="D22" s="7" t="s">
        <v>77</v>
      </c>
      <c r="E22" s="17">
        <f>B16*0.01</f>
        <v>2082.5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1551.32</v>
      </c>
      <c r="D25" s="7" t="s">
        <v>38</v>
      </c>
      <c r="E25" s="35">
        <f>B25</f>
        <v>1551.32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1753.52</v>
      </c>
      <c r="D26" s="7" t="s">
        <v>41</v>
      </c>
      <c r="E26" s="17">
        <f>E25+I25+I34</f>
        <v>1753.52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-405.52</v>
      </c>
      <c r="D28" s="7" t="s">
        <v>43</v>
      </c>
      <c r="E28" s="44">
        <f>E21-E25-I25-I34+I24+I33</f>
        <v>-703.52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-0.4673459783913565</v>
      </c>
      <c r="D29" s="46" t="s">
        <v>44</v>
      </c>
      <c r="E29" s="47">
        <f>(E28*12)/B17</f>
        <v>-0.81077935174069626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67.400000000000006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67.400000000000006</v>
      </c>
    </row>
    <row r="32" spans="1:16" x14ac:dyDescent="0.25">
      <c r="A32" s="26" t="s">
        <v>49</v>
      </c>
      <c r="B32" s="8">
        <f>B16</f>
        <v>208250</v>
      </c>
      <c r="G32" s="27" t="s">
        <v>50</v>
      </c>
      <c r="H32" s="48">
        <v>0.05</v>
      </c>
      <c r="I32" s="49">
        <f>$B$21*H32</f>
        <v>67.400000000000006</v>
      </c>
    </row>
    <row r="33" spans="1:9" x14ac:dyDescent="0.25">
      <c r="A33" s="7" t="s">
        <v>51</v>
      </c>
      <c r="B33" s="17">
        <f>B32-B18</f>
        <v>10412.5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202.20000000000002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140.13489583333333</v>
      </c>
      <c r="D39" s="7"/>
      <c r="E39" s="17"/>
    </row>
    <row r="40" spans="1:9" x14ac:dyDescent="0.25">
      <c r="A40" s="7" t="s">
        <v>58</v>
      </c>
      <c r="B40" s="17">
        <f>B25-B39</f>
        <v>1411.1851041666666</v>
      </c>
      <c r="D40" s="7"/>
      <c r="E40" s="17"/>
    </row>
    <row r="41" spans="1:9" x14ac:dyDescent="0.25">
      <c r="A41" s="7" t="s">
        <v>59</v>
      </c>
      <c r="B41" s="43">
        <f>B21-B40-I25-I34</f>
        <v>-265.38510416666668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-0.30584597839135658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838" priority="31" operator="equal">
      <formula>"NO"</formula>
    </cfRule>
    <cfRule type="cellIs" dxfId="6837" priority="32" operator="equal">
      <formula>"YES"</formula>
    </cfRule>
  </conditionalFormatting>
  <conditionalFormatting sqref="E38">
    <cfRule type="cellIs" dxfId="6836" priority="29" operator="equal">
      <formula>"YES"</formula>
    </cfRule>
    <cfRule type="cellIs" dxfId="6835" priority="30" operator="equal">
      <formula>"NO"</formula>
    </cfRule>
  </conditionalFormatting>
  <conditionalFormatting sqref="B23">
    <cfRule type="cellIs" dxfId="6834" priority="27" operator="equal">
      <formula>"NO"</formula>
    </cfRule>
    <cfRule type="cellIs" dxfId="6833" priority="28" operator="equal">
      <formula>"YES"</formula>
    </cfRule>
  </conditionalFormatting>
  <conditionalFormatting sqref="B12">
    <cfRule type="containsText" dxfId="6832" priority="13" operator="containsText" text="Low">
      <formula>NOT(ISERROR(SEARCH("Low",B12)))</formula>
    </cfRule>
    <cfRule type="containsText" dxfId="6831" priority="14" operator="containsText" text="Medium">
      <formula>NOT(ISERROR(SEARCH("Medium",B12)))</formula>
    </cfRule>
    <cfRule type="containsText" dxfId="6830" priority="15" operator="containsText" text="High">
      <formula>NOT(ISERROR(SEARCH("High",B12)))</formula>
    </cfRule>
  </conditionalFormatting>
  <conditionalFormatting sqref="B29">
    <cfRule type="cellIs" dxfId="6829" priority="23" operator="between">
      <formula>10%</formula>
      <formula>11.9%</formula>
    </cfRule>
    <cfRule type="cellIs" dxfId="6828" priority="25" operator="lessThan">
      <formula>0.1</formula>
    </cfRule>
    <cfRule type="cellIs" dxfId="6827" priority="26" operator="greaterThanOrEqual">
      <formula>0.12</formula>
    </cfRule>
  </conditionalFormatting>
  <conditionalFormatting sqref="B42">
    <cfRule type="cellIs" dxfId="6826" priority="21" operator="between">
      <formula>0.1</formula>
      <formula>0.1199</formula>
    </cfRule>
    <cfRule type="cellIs" dxfId="6825" priority="22" operator="lessThan">
      <formula>0.1</formula>
    </cfRule>
    <cfRule type="cellIs" dxfId="6824" priority="24" operator="greaterThanOrEqual">
      <formula>0.12</formula>
    </cfRule>
  </conditionalFormatting>
  <conditionalFormatting sqref="B10">
    <cfRule type="containsText" dxfId="6823" priority="16" operator="containsText" text="Full">
      <formula>NOT(ISERROR(SEARCH("Full",B10)))</formula>
    </cfRule>
    <cfRule type="containsText" dxfId="6822" priority="17" operator="containsText" text="Heavy">
      <formula>NOT(ISERROR(SEARCH("Heavy",B10)))</formula>
    </cfRule>
    <cfRule type="containsText" dxfId="6821" priority="18" operator="containsText" text="Medium">
      <formula>NOT(ISERROR(SEARCH("Medium",B10)))</formula>
    </cfRule>
    <cfRule type="containsText" dxfId="6820" priority="19" operator="containsText" text="Light">
      <formula>NOT(ISERROR(SEARCH("Light",B10)))</formula>
    </cfRule>
    <cfRule type="containsText" dxfId="6819" priority="20" operator="containsText" text="None">
      <formula>NOT(ISERROR(SEARCH("None",B10)))</formula>
    </cfRule>
  </conditionalFormatting>
  <conditionalFormatting sqref="E42">
    <cfRule type="cellIs" dxfId="6818" priority="10" operator="between">
      <formula>0.1</formula>
      <formula>0.119</formula>
    </cfRule>
    <cfRule type="cellIs" dxfId="6817" priority="11" operator="lessThan">
      <formula>0.1</formula>
    </cfRule>
    <cfRule type="cellIs" dxfId="6816" priority="12" operator="greaterThanOrEqual">
      <formula>0.12</formula>
    </cfRule>
  </conditionalFormatting>
  <conditionalFormatting sqref="B28">
    <cfRule type="cellIs" dxfId="6815" priority="33" operator="lessThan">
      <formula>$B$8*100</formula>
    </cfRule>
    <cfRule type="cellIs" dxfId="6814" priority="34" operator="greaterThanOrEqual">
      <formula>$B$8*100</formula>
    </cfRule>
  </conditionalFormatting>
  <conditionalFormatting sqref="B41">
    <cfRule type="cellIs" dxfId="6813" priority="35" operator="lessThan">
      <formula>$B$8*100</formula>
    </cfRule>
    <cfRule type="cellIs" dxfId="6812" priority="36" operator="greaterThan">
      <formula>$B$8*100</formula>
    </cfRule>
    <cfRule type="cellIs" dxfId="6811" priority="37" operator="greaterThan">
      <formula>$B$8*100</formula>
    </cfRule>
  </conditionalFormatting>
  <conditionalFormatting sqref="E41">
    <cfRule type="cellIs" dxfId="6810" priority="38" operator="greaterThan">
      <formula>$B$8*100</formula>
    </cfRule>
    <cfRule type="cellIs" dxfId="6809" priority="39" operator="lessThan">
      <formula>$B$8*100</formula>
    </cfRule>
  </conditionalFormatting>
  <conditionalFormatting sqref="B38">
    <cfRule type="cellIs" dxfId="6808" priority="8" operator="equal">
      <formula>"YES"</formula>
    </cfRule>
    <cfRule type="cellIs" dxfId="6807" priority="9" operator="equal">
      <formula>"NO"</formula>
    </cfRule>
  </conditionalFormatting>
  <conditionalFormatting sqref="E23:E26">
    <cfRule type="cellIs" dxfId="6806" priority="4" operator="equal">
      <formula>"NO"</formula>
    </cfRule>
    <cfRule type="cellIs" dxfId="6805" priority="5" operator="equal">
      <formula>"YES"</formula>
    </cfRule>
  </conditionalFormatting>
  <conditionalFormatting sqref="E29">
    <cfRule type="cellIs" dxfId="6804" priority="1" operator="between">
      <formula>10%</formula>
      <formula>12%</formula>
    </cfRule>
    <cfRule type="cellIs" dxfId="6803" priority="2" operator="lessThan">
      <formula>0.1</formula>
    </cfRule>
    <cfRule type="cellIs" dxfId="6802" priority="3" operator="greaterThan">
      <formula>0.12</formula>
    </cfRule>
  </conditionalFormatting>
  <conditionalFormatting sqref="E28">
    <cfRule type="cellIs" dxfId="6801" priority="6" operator="lessThan">
      <formula>$B$8*100</formula>
    </cfRule>
    <cfRule type="cellIs" dxfId="6800" priority="7" operator="greaterThan">
      <formula>$B$8*100</formula>
    </cfRule>
  </conditionalFormatting>
  <hyperlinks>
    <hyperlink ref="A32" r:id="rId1" display="https://www.zillow.com/homes/recently_sold/" xr:uid="{BE0761CD-39DF-4C13-B84D-D789870BB1A7}"/>
    <hyperlink ref="A21" r:id="rId2" xr:uid="{5E0F1C69-8EE3-44AF-87A3-364F011BC994}"/>
    <hyperlink ref="A25" r:id="rId3" display="www.mortgagecalculator.org" xr:uid="{927BE3E2-DB34-4898-A0CC-CA3E85913887}"/>
    <hyperlink ref="A12" r:id="rId4" xr:uid="{D4695328-D988-40FD-98C7-C1A8337B83A1}"/>
  </hyperlinks>
  <pageMargins left="0.7" right="0.7" top="0.75" bottom="0.75" header="0.3" footer="0.3"/>
  <drawing r:id="rId5"/>
  <legacyDrawing r:id="rId6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1E880-8381-424B-9B90-96B066055D88}">
  <sheetPr codeName="Sheet45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1589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144500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144500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7225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137275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1109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1445</v>
      </c>
      <c r="D22" s="7" t="s">
        <v>77</v>
      </c>
      <c r="E22" s="17">
        <f>B16*0.01</f>
        <v>1445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1124.8900000000001</v>
      </c>
      <c r="D25" s="7" t="s">
        <v>38</v>
      </c>
      <c r="E25" s="35">
        <f>B25</f>
        <v>1124.8900000000001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1291.2400000000002</v>
      </c>
      <c r="D26" s="7" t="s">
        <v>41</v>
      </c>
      <c r="E26" s="17">
        <f>E25+I25+I34</f>
        <v>1291.2400000000002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-182.24000000000024</v>
      </c>
      <c r="D28" s="7" t="s">
        <v>43</v>
      </c>
      <c r="E28" s="44">
        <f>E21-E25-I25-I34+I24+I33</f>
        <v>-241.24000000000012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-0.30268235294117685</v>
      </c>
      <c r="D29" s="46" t="s">
        <v>44</v>
      </c>
      <c r="E29" s="47">
        <f>(E28*12)/B17</f>
        <v>-0.40067543252595178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55.45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55.45</v>
      </c>
    </row>
    <row r="32" spans="1:16" x14ac:dyDescent="0.25">
      <c r="A32" s="26" t="s">
        <v>49</v>
      </c>
      <c r="B32" s="8">
        <f>B16</f>
        <v>144500</v>
      </c>
      <c r="G32" s="27" t="s">
        <v>50</v>
      </c>
      <c r="H32" s="48">
        <v>0.05</v>
      </c>
      <c r="I32" s="49">
        <f>$B$21*H32</f>
        <v>55.45</v>
      </c>
    </row>
    <row r="33" spans="1:9" x14ac:dyDescent="0.25">
      <c r="A33" s="7" t="s">
        <v>51</v>
      </c>
      <c r="B33" s="17">
        <f>B32-B18</f>
        <v>7225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166.35000000000002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97.236458333333346</v>
      </c>
      <c r="D39" s="7"/>
      <c r="E39" s="17"/>
    </row>
    <row r="40" spans="1:9" x14ac:dyDescent="0.25">
      <c r="A40" s="7" t="s">
        <v>58</v>
      </c>
      <c r="B40" s="17">
        <f>B25-B39</f>
        <v>1027.6535416666668</v>
      </c>
      <c r="D40" s="7"/>
      <c r="E40" s="17"/>
    </row>
    <row r="41" spans="1:9" x14ac:dyDescent="0.25">
      <c r="A41" s="7" t="s">
        <v>59</v>
      </c>
      <c r="B41" s="43">
        <f>B21-B40-I25-I34</f>
        <v>-85.00354166666682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-0.14118235294117673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799" priority="31" operator="equal">
      <formula>"NO"</formula>
    </cfRule>
    <cfRule type="cellIs" dxfId="6798" priority="32" operator="equal">
      <formula>"YES"</formula>
    </cfRule>
  </conditionalFormatting>
  <conditionalFormatting sqref="E38">
    <cfRule type="cellIs" dxfId="6797" priority="29" operator="equal">
      <formula>"YES"</formula>
    </cfRule>
    <cfRule type="cellIs" dxfId="6796" priority="30" operator="equal">
      <formula>"NO"</formula>
    </cfRule>
  </conditionalFormatting>
  <conditionalFormatting sqref="B23">
    <cfRule type="cellIs" dxfId="6795" priority="27" operator="equal">
      <formula>"NO"</formula>
    </cfRule>
    <cfRule type="cellIs" dxfId="6794" priority="28" operator="equal">
      <formula>"YES"</formula>
    </cfRule>
  </conditionalFormatting>
  <conditionalFormatting sqref="B12">
    <cfRule type="containsText" dxfId="6793" priority="13" operator="containsText" text="Low">
      <formula>NOT(ISERROR(SEARCH("Low",B12)))</formula>
    </cfRule>
    <cfRule type="containsText" dxfId="6792" priority="14" operator="containsText" text="Medium">
      <formula>NOT(ISERROR(SEARCH("Medium",B12)))</formula>
    </cfRule>
    <cfRule type="containsText" dxfId="6791" priority="15" operator="containsText" text="High">
      <formula>NOT(ISERROR(SEARCH("High",B12)))</formula>
    </cfRule>
  </conditionalFormatting>
  <conditionalFormatting sqref="B29">
    <cfRule type="cellIs" dxfId="6790" priority="23" operator="between">
      <formula>10%</formula>
      <formula>11.9%</formula>
    </cfRule>
    <cfRule type="cellIs" dxfId="6789" priority="25" operator="lessThan">
      <formula>0.1</formula>
    </cfRule>
    <cfRule type="cellIs" dxfId="6788" priority="26" operator="greaterThanOrEqual">
      <formula>0.12</formula>
    </cfRule>
  </conditionalFormatting>
  <conditionalFormatting sqref="B42">
    <cfRule type="cellIs" dxfId="6787" priority="21" operator="between">
      <formula>0.1</formula>
      <formula>0.1199</formula>
    </cfRule>
    <cfRule type="cellIs" dxfId="6786" priority="22" operator="lessThan">
      <formula>0.1</formula>
    </cfRule>
    <cfRule type="cellIs" dxfId="6785" priority="24" operator="greaterThanOrEqual">
      <formula>0.12</formula>
    </cfRule>
  </conditionalFormatting>
  <conditionalFormatting sqref="B10">
    <cfRule type="containsText" dxfId="6784" priority="16" operator="containsText" text="Full">
      <formula>NOT(ISERROR(SEARCH("Full",B10)))</formula>
    </cfRule>
    <cfRule type="containsText" dxfId="6783" priority="17" operator="containsText" text="Heavy">
      <formula>NOT(ISERROR(SEARCH("Heavy",B10)))</formula>
    </cfRule>
    <cfRule type="containsText" dxfId="6782" priority="18" operator="containsText" text="Medium">
      <formula>NOT(ISERROR(SEARCH("Medium",B10)))</formula>
    </cfRule>
    <cfRule type="containsText" dxfId="6781" priority="19" operator="containsText" text="Light">
      <formula>NOT(ISERROR(SEARCH("Light",B10)))</formula>
    </cfRule>
    <cfRule type="containsText" dxfId="6780" priority="20" operator="containsText" text="None">
      <formula>NOT(ISERROR(SEARCH("None",B10)))</formula>
    </cfRule>
  </conditionalFormatting>
  <conditionalFormatting sqref="E42">
    <cfRule type="cellIs" dxfId="6779" priority="10" operator="between">
      <formula>0.1</formula>
      <formula>0.119</formula>
    </cfRule>
    <cfRule type="cellIs" dxfId="6778" priority="11" operator="lessThan">
      <formula>0.1</formula>
    </cfRule>
    <cfRule type="cellIs" dxfId="6777" priority="12" operator="greaterThanOrEqual">
      <formula>0.12</formula>
    </cfRule>
  </conditionalFormatting>
  <conditionalFormatting sqref="B28">
    <cfRule type="cellIs" dxfId="6776" priority="33" operator="lessThan">
      <formula>$B$8*100</formula>
    </cfRule>
    <cfRule type="cellIs" dxfId="6775" priority="34" operator="greaterThanOrEqual">
      <formula>$B$8*100</formula>
    </cfRule>
  </conditionalFormatting>
  <conditionalFormatting sqref="B41">
    <cfRule type="cellIs" dxfId="6774" priority="35" operator="lessThan">
      <formula>$B$8*100</formula>
    </cfRule>
    <cfRule type="cellIs" dxfId="6773" priority="36" operator="greaterThan">
      <formula>$B$8*100</formula>
    </cfRule>
    <cfRule type="cellIs" dxfId="6772" priority="37" operator="greaterThan">
      <formula>$B$8*100</formula>
    </cfRule>
  </conditionalFormatting>
  <conditionalFormatting sqref="E41">
    <cfRule type="cellIs" dxfId="6771" priority="38" operator="greaterThan">
      <formula>$B$8*100</formula>
    </cfRule>
    <cfRule type="cellIs" dxfId="6770" priority="39" operator="lessThan">
      <formula>$B$8*100</formula>
    </cfRule>
  </conditionalFormatting>
  <conditionalFormatting sqref="B38">
    <cfRule type="cellIs" dxfId="6769" priority="8" operator="equal">
      <formula>"YES"</formula>
    </cfRule>
    <cfRule type="cellIs" dxfId="6768" priority="9" operator="equal">
      <formula>"NO"</formula>
    </cfRule>
  </conditionalFormatting>
  <conditionalFormatting sqref="E23:E26">
    <cfRule type="cellIs" dxfId="6767" priority="4" operator="equal">
      <formula>"NO"</formula>
    </cfRule>
    <cfRule type="cellIs" dxfId="6766" priority="5" operator="equal">
      <formula>"YES"</formula>
    </cfRule>
  </conditionalFormatting>
  <conditionalFormatting sqref="E29">
    <cfRule type="cellIs" dxfId="6765" priority="1" operator="between">
      <formula>10%</formula>
      <formula>12%</formula>
    </cfRule>
    <cfRule type="cellIs" dxfId="6764" priority="2" operator="lessThan">
      <formula>0.1</formula>
    </cfRule>
    <cfRule type="cellIs" dxfId="6763" priority="3" operator="greaterThan">
      <formula>0.12</formula>
    </cfRule>
  </conditionalFormatting>
  <conditionalFormatting sqref="E28">
    <cfRule type="cellIs" dxfId="6762" priority="6" operator="lessThan">
      <formula>$B$8*100</formula>
    </cfRule>
    <cfRule type="cellIs" dxfId="6761" priority="7" operator="greaterThan">
      <formula>$B$8*100</formula>
    </cfRule>
  </conditionalFormatting>
  <hyperlinks>
    <hyperlink ref="A32" r:id="rId1" display="https://www.zillow.com/homes/recently_sold/" xr:uid="{4EBACC5B-4847-40B9-94EF-671E0EBF5A3A}"/>
    <hyperlink ref="A21" r:id="rId2" xr:uid="{4B438203-97EE-45EA-9A69-A140DD9B3E3B}"/>
    <hyperlink ref="A25" r:id="rId3" display="www.mortgagecalculator.org" xr:uid="{57CB4284-430A-4EBC-A215-FBB50CAC6932}"/>
    <hyperlink ref="A12" r:id="rId4" xr:uid="{0DCC568F-2E54-4CD5-962B-1592CE9B7344}"/>
  </hyperlinks>
  <pageMargins left="0.7" right="0.7" top="0.75" bottom="0.75" header="0.3" footer="0.3"/>
  <drawing r:id="rId5"/>
  <legacyDrawing r:id="rId6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1EDB-D381-4EF0-920E-AFE65A397D48}">
  <sheetPr codeName="Sheet46">
    <tabColor rgb="FF00B050"/>
  </sheetPr>
  <dimension ref="A1:P42"/>
  <sheetViews>
    <sheetView topLeftCell="A10" workbookViewId="0">
      <selection activeCell="B14" sqref="B1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2024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225500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225500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11275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214225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2115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2255</v>
      </c>
      <c r="D22" s="7" t="s">
        <v>77</v>
      </c>
      <c r="E22" s="17">
        <f>B16*0.01</f>
        <v>2255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1591.21</v>
      </c>
      <c r="D25" s="7" t="s">
        <v>38</v>
      </c>
      <c r="E25" s="35">
        <f>B25</f>
        <v>1591.21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1908.46</v>
      </c>
      <c r="D26" s="7" t="s">
        <v>41</v>
      </c>
      <c r="E26" s="17">
        <f>E25+I25+I34</f>
        <v>1908.46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206.53999999999996</v>
      </c>
      <c r="D28" s="7" t="s">
        <v>43</v>
      </c>
      <c r="E28" s="44">
        <f>E21-E25-I25-I34+I24+I33</f>
        <v>-858.46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0.21982084257206205</v>
      </c>
      <c r="D29" s="46" t="s">
        <v>44</v>
      </c>
      <c r="E29" s="47">
        <f>(E28*12)/B17</f>
        <v>-0.91366031042128604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105.75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105.75</v>
      </c>
    </row>
    <row r="32" spans="1:16" x14ac:dyDescent="0.25">
      <c r="A32" s="26" t="s">
        <v>49</v>
      </c>
      <c r="B32" s="8">
        <f>B16</f>
        <v>225500</v>
      </c>
      <c r="G32" s="27" t="s">
        <v>50</v>
      </c>
      <c r="H32" s="48">
        <v>0.05</v>
      </c>
      <c r="I32" s="49">
        <f>$B$21*H32</f>
        <v>105.75</v>
      </c>
    </row>
    <row r="33" spans="1:9" x14ac:dyDescent="0.25">
      <c r="A33" s="7" t="s">
        <v>51</v>
      </c>
      <c r="B33" s="17">
        <f>B32-B18</f>
        <v>11275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317.25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151.74270833333335</v>
      </c>
      <c r="D39" s="7"/>
      <c r="E39" s="17"/>
    </row>
    <row r="40" spans="1:9" x14ac:dyDescent="0.25">
      <c r="A40" s="7" t="s">
        <v>58</v>
      </c>
      <c r="B40" s="17">
        <f>B25-B39</f>
        <v>1439.4672916666666</v>
      </c>
      <c r="D40" s="7"/>
      <c r="E40" s="17"/>
    </row>
    <row r="41" spans="1:9" x14ac:dyDescent="0.25">
      <c r="A41" s="7" t="s">
        <v>59</v>
      </c>
      <c r="B41" s="43">
        <f>B21-B40-I25-I34</f>
        <v>358.2827083333334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0.38132084257206217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760" priority="31" operator="equal">
      <formula>"NO"</formula>
    </cfRule>
    <cfRule type="cellIs" dxfId="6759" priority="32" operator="equal">
      <formula>"YES"</formula>
    </cfRule>
  </conditionalFormatting>
  <conditionalFormatting sqref="E38">
    <cfRule type="cellIs" dxfId="6758" priority="29" operator="equal">
      <formula>"YES"</formula>
    </cfRule>
    <cfRule type="cellIs" dxfId="6757" priority="30" operator="equal">
      <formula>"NO"</formula>
    </cfRule>
  </conditionalFormatting>
  <conditionalFormatting sqref="B23">
    <cfRule type="cellIs" dxfId="6756" priority="27" operator="equal">
      <formula>"NO"</formula>
    </cfRule>
    <cfRule type="cellIs" dxfId="6755" priority="28" operator="equal">
      <formula>"YES"</formula>
    </cfRule>
  </conditionalFormatting>
  <conditionalFormatting sqref="B12">
    <cfRule type="containsText" dxfId="6754" priority="13" operator="containsText" text="Low">
      <formula>NOT(ISERROR(SEARCH("Low",B12)))</formula>
    </cfRule>
    <cfRule type="containsText" dxfId="6753" priority="14" operator="containsText" text="Medium">
      <formula>NOT(ISERROR(SEARCH("Medium",B12)))</formula>
    </cfRule>
    <cfRule type="containsText" dxfId="6752" priority="15" operator="containsText" text="High">
      <formula>NOT(ISERROR(SEARCH("High",B12)))</formula>
    </cfRule>
  </conditionalFormatting>
  <conditionalFormatting sqref="B29">
    <cfRule type="cellIs" dxfId="6751" priority="23" operator="between">
      <formula>10%</formula>
      <formula>11.9%</formula>
    </cfRule>
    <cfRule type="cellIs" dxfId="6750" priority="25" operator="lessThan">
      <formula>0.1</formula>
    </cfRule>
    <cfRule type="cellIs" dxfId="6749" priority="26" operator="greaterThanOrEqual">
      <formula>0.12</formula>
    </cfRule>
  </conditionalFormatting>
  <conditionalFormatting sqref="B42">
    <cfRule type="cellIs" dxfId="6748" priority="21" operator="between">
      <formula>0.1</formula>
      <formula>0.1199</formula>
    </cfRule>
    <cfRule type="cellIs" dxfId="6747" priority="22" operator="lessThan">
      <formula>0.1</formula>
    </cfRule>
    <cfRule type="cellIs" dxfId="6746" priority="24" operator="greaterThanOrEqual">
      <formula>0.12</formula>
    </cfRule>
  </conditionalFormatting>
  <conditionalFormatting sqref="B10">
    <cfRule type="containsText" dxfId="6745" priority="16" operator="containsText" text="Full">
      <formula>NOT(ISERROR(SEARCH("Full",B10)))</formula>
    </cfRule>
    <cfRule type="containsText" dxfId="6744" priority="17" operator="containsText" text="Heavy">
      <formula>NOT(ISERROR(SEARCH("Heavy",B10)))</formula>
    </cfRule>
    <cfRule type="containsText" dxfId="6743" priority="18" operator="containsText" text="Medium">
      <formula>NOT(ISERROR(SEARCH("Medium",B10)))</formula>
    </cfRule>
    <cfRule type="containsText" dxfId="6742" priority="19" operator="containsText" text="Light">
      <formula>NOT(ISERROR(SEARCH("Light",B10)))</formula>
    </cfRule>
    <cfRule type="containsText" dxfId="6741" priority="20" operator="containsText" text="None">
      <formula>NOT(ISERROR(SEARCH("None",B10)))</formula>
    </cfRule>
  </conditionalFormatting>
  <conditionalFormatting sqref="E42">
    <cfRule type="cellIs" dxfId="6740" priority="10" operator="between">
      <formula>0.1</formula>
      <formula>0.119</formula>
    </cfRule>
    <cfRule type="cellIs" dxfId="6739" priority="11" operator="lessThan">
      <formula>0.1</formula>
    </cfRule>
    <cfRule type="cellIs" dxfId="6738" priority="12" operator="greaterThanOrEqual">
      <formula>0.12</formula>
    </cfRule>
  </conditionalFormatting>
  <conditionalFormatting sqref="B28">
    <cfRule type="cellIs" dxfId="6737" priority="33" operator="lessThan">
      <formula>$B$8*100</formula>
    </cfRule>
    <cfRule type="cellIs" dxfId="6736" priority="34" operator="greaterThanOrEqual">
      <formula>$B$8*100</formula>
    </cfRule>
  </conditionalFormatting>
  <conditionalFormatting sqref="B41">
    <cfRule type="cellIs" dxfId="6735" priority="35" operator="lessThan">
      <formula>$B$8*100</formula>
    </cfRule>
    <cfRule type="cellIs" dxfId="6734" priority="36" operator="greaterThan">
      <formula>$B$8*100</formula>
    </cfRule>
    <cfRule type="cellIs" dxfId="6733" priority="37" operator="greaterThan">
      <formula>$B$8*100</formula>
    </cfRule>
  </conditionalFormatting>
  <conditionalFormatting sqref="E41">
    <cfRule type="cellIs" dxfId="6732" priority="38" operator="greaterThan">
      <formula>$B$8*100</formula>
    </cfRule>
    <cfRule type="cellIs" dxfId="6731" priority="39" operator="lessThan">
      <formula>$B$8*100</formula>
    </cfRule>
  </conditionalFormatting>
  <conditionalFormatting sqref="B38">
    <cfRule type="cellIs" dxfId="6730" priority="8" operator="equal">
      <formula>"YES"</formula>
    </cfRule>
    <cfRule type="cellIs" dxfId="6729" priority="9" operator="equal">
      <formula>"NO"</formula>
    </cfRule>
  </conditionalFormatting>
  <conditionalFormatting sqref="E23:E26">
    <cfRule type="cellIs" dxfId="6728" priority="4" operator="equal">
      <formula>"NO"</formula>
    </cfRule>
    <cfRule type="cellIs" dxfId="6727" priority="5" operator="equal">
      <formula>"YES"</formula>
    </cfRule>
  </conditionalFormatting>
  <conditionalFormatting sqref="E29">
    <cfRule type="cellIs" dxfId="6726" priority="1" operator="between">
      <formula>10%</formula>
      <formula>12%</formula>
    </cfRule>
    <cfRule type="cellIs" dxfId="6725" priority="2" operator="lessThan">
      <formula>0.1</formula>
    </cfRule>
    <cfRule type="cellIs" dxfId="6724" priority="3" operator="greaterThan">
      <formula>0.12</formula>
    </cfRule>
  </conditionalFormatting>
  <conditionalFormatting sqref="E28">
    <cfRule type="cellIs" dxfId="6723" priority="6" operator="lessThan">
      <formula>$B$8*100</formula>
    </cfRule>
    <cfRule type="cellIs" dxfId="6722" priority="7" operator="greaterThan">
      <formula>$B$8*100</formula>
    </cfRule>
  </conditionalFormatting>
  <hyperlinks>
    <hyperlink ref="A32" r:id="rId1" display="https://www.zillow.com/homes/recently_sold/" xr:uid="{5349E8A6-079D-4761-87A4-F7FD79ED1771}"/>
    <hyperlink ref="A21" r:id="rId2" xr:uid="{20CFF2EC-34C0-460E-AB7C-87365C82025C}"/>
    <hyperlink ref="A25" r:id="rId3" display="www.mortgagecalculator.org" xr:uid="{CEEEC404-7248-40AD-BEC5-38D5ABF40D34}"/>
    <hyperlink ref="A12" r:id="rId4" xr:uid="{50EAF049-D481-4A70-AEEF-370D85ECE5F9}"/>
  </hyperlinks>
  <pageMargins left="0.7" right="0.7" top="0.75" bottom="0.75" header="0.3" footer="0.3"/>
  <drawing r:id="rId5"/>
  <legacyDrawing r:id="rId6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D36D-6406-46A7-B5EE-D57D1BCB1CA9}">
  <sheetPr codeName="Sheet47">
    <tabColor rgb="FFFF0000"/>
  </sheetPr>
  <dimension ref="A1:P42"/>
  <sheetViews>
    <sheetView topLeftCell="A14" workbookViewId="0">
      <selection activeCell="B30" sqref="B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1155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203150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203150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10157.5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192992.5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1754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2031.5</v>
      </c>
      <c r="D22" s="7" t="s">
        <v>77</v>
      </c>
      <c r="E22" s="17">
        <f>B16*0.01</f>
        <v>2031.5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1485.54</v>
      </c>
      <c r="D25" s="7" t="s">
        <v>38</v>
      </c>
      <c r="E25" s="35">
        <f>B25</f>
        <v>1485.54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1748.6399999999999</v>
      </c>
      <c r="D26" s="7" t="s">
        <v>41</v>
      </c>
      <c r="E26" s="17">
        <f>E25+I25+I34</f>
        <v>1748.6399999999999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5.3600000000001273</v>
      </c>
      <c r="D28" s="7" t="s">
        <v>43</v>
      </c>
      <c r="E28" s="44">
        <f>E21-E25-I25-I34+I24+I33</f>
        <v>-698.64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6.3322667979327125E-3</v>
      </c>
      <c r="D29" s="46" t="s">
        <v>44</v>
      </c>
      <c r="E29" s="47">
        <f>(E28*12)/B17</f>
        <v>-0.82536844696037415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87.7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87.7</v>
      </c>
    </row>
    <row r="32" spans="1:16" x14ac:dyDescent="0.25">
      <c r="A32" s="26" t="s">
        <v>49</v>
      </c>
      <c r="B32" s="8">
        <f>B16</f>
        <v>203150</v>
      </c>
      <c r="G32" s="27" t="s">
        <v>50</v>
      </c>
      <c r="H32" s="48">
        <v>0.05</v>
      </c>
      <c r="I32" s="49">
        <f>$B$21*H32</f>
        <v>87.7</v>
      </c>
    </row>
    <row r="33" spans="1:9" x14ac:dyDescent="0.25">
      <c r="A33" s="7" t="s">
        <v>51</v>
      </c>
      <c r="B33" s="17">
        <f>B32-B18</f>
        <v>10157.5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263.10000000000002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136.70302083333334</v>
      </c>
      <c r="D39" s="7"/>
      <c r="E39" s="17"/>
    </row>
    <row r="40" spans="1:9" x14ac:dyDescent="0.25">
      <c r="A40" s="7" t="s">
        <v>58</v>
      </c>
      <c r="B40" s="17">
        <f>B25-B39</f>
        <v>1348.8369791666667</v>
      </c>
      <c r="D40" s="7"/>
      <c r="E40" s="17"/>
    </row>
    <row r="41" spans="1:9" x14ac:dyDescent="0.25">
      <c r="A41" s="7" t="s">
        <v>59</v>
      </c>
      <c r="B41" s="43">
        <f>B21-B40-I25-I34</f>
        <v>142.06302083333333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0.16783226679793256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721" priority="31" operator="equal">
      <formula>"NO"</formula>
    </cfRule>
    <cfRule type="cellIs" dxfId="6720" priority="32" operator="equal">
      <formula>"YES"</formula>
    </cfRule>
  </conditionalFormatting>
  <conditionalFormatting sqref="E38">
    <cfRule type="cellIs" dxfId="6719" priority="29" operator="equal">
      <formula>"YES"</formula>
    </cfRule>
    <cfRule type="cellIs" dxfId="6718" priority="30" operator="equal">
      <formula>"NO"</formula>
    </cfRule>
  </conditionalFormatting>
  <conditionalFormatting sqref="B23">
    <cfRule type="cellIs" dxfId="6717" priority="27" operator="equal">
      <formula>"NO"</formula>
    </cfRule>
    <cfRule type="cellIs" dxfId="6716" priority="28" operator="equal">
      <formula>"YES"</formula>
    </cfRule>
  </conditionalFormatting>
  <conditionalFormatting sqref="B12">
    <cfRule type="containsText" dxfId="6715" priority="13" operator="containsText" text="Low">
      <formula>NOT(ISERROR(SEARCH("Low",B12)))</formula>
    </cfRule>
    <cfRule type="containsText" dxfId="6714" priority="14" operator="containsText" text="Medium">
      <formula>NOT(ISERROR(SEARCH("Medium",B12)))</formula>
    </cfRule>
    <cfRule type="containsText" dxfId="6713" priority="15" operator="containsText" text="High">
      <formula>NOT(ISERROR(SEARCH("High",B12)))</formula>
    </cfRule>
  </conditionalFormatting>
  <conditionalFormatting sqref="B29">
    <cfRule type="cellIs" dxfId="6712" priority="23" operator="between">
      <formula>10%</formula>
      <formula>11.9%</formula>
    </cfRule>
    <cfRule type="cellIs" dxfId="6711" priority="25" operator="lessThan">
      <formula>0.1</formula>
    </cfRule>
    <cfRule type="cellIs" dxfId="6710" priority="26" operator="greaterThanOrEqual">
      <formula>0.12</formula>
    </cfRule>
  </conditionalFormatting>
  <conditionalFormatting sqref="B42">
    <cfRule type="cellIs" dxfId="6709" priority="21" operator="between">
      <formula>0.1</formula>
      <formula>0.1199</formula>
    </cfRule>
    <cfRule type="cellIs" dxfId="6708" priority="22" operator="lessThan">
      <formula>0.1</formula>
    </cfRule>
    <cfRule type="cellIs" dxfId="6707" priority="24" operator="greaterThanOrEqual">
      <formula>0.12</formula>
    </cfRule>
  </conditionalFormatting>
  <conditionalFormatting sqref="B10">
    <cfRule type="containsText" dxfId="6706" priority="16" operator="containsText" text="Full">
      <formula>NOT(ISERROR(SEARCH("Full",B10)))</formula>
    </cfRule>
    <cfRule type="containsText" dxfId="6705" priority="17" operator="containsText" text="Heavy">
      <formula>NOT(ISERROR(SEARCH("Heavy",B10)))</formula>
    </cfRule>
    <cfRule type="containsText" dxfId="6704" priority="18" operator="containsText" text="Medium">
      <formula>NOT(ISERROR(SEARCH("Medium",B10)))</formula>
    </cfRule>
    <cfRule type="containsText" dxfId="6703" priority="19" operator="containsText" text="Light">
      <formula>NOT(ISERROR(SEARCH("Light",B10)))</formula>
    </cfRule>
    <cfRule type="containsText" dxfId="6702" priority="20" operator="containsText" text="None">
      <formula>NOT(ISERROR(SEARCH("None",B10)))</formula>
    </cfRule>
  </conditionalFormatting>
  <conditionalFormatting sqref="E42">
    <cfRule type="cellIs" dxfId="6701" priority="10" operator="between">
      <formula>0.1</formula>
      <formula>0.119</formula>
    </cfRule>
    <cfRule type="cellIs" dxfId="6700" priority="11" operator="lessThan">
      <formula>0.1</formula>
    </cfRule>
    <cfRule type="cellIs" dxfId="6699" priority="12" operator="greaterThanOrEqual">
      <formula>0.12</formula>
    </cfRule>
  </conditionalFormatting>
  <conditionalFormatting sqref="B28">
    <cfRule type="cellIs" dxfId="6698" priority="33" operator="lessThan">
      <formula>$B$8*100</formula>
    </cfRule>
    <cfRule type="cellIs" dxfId="6697" priority="34" operator="greaterThanOrEqual">
      <formula>$B$8*100</formula>
    </cfRule>
  </conditionalFormatting>
  <conditionalFormatting sqref="B41">
    <cfRule type="cellIs" dxfId="6696" priority="35" operator="lessThan">
      <formula>$B$8*100</formula>
    </cfRule>
    <cfRule type="cellIs" dxfId="6695" priority="36" operator="greaterThan">
      <formula>$B$8*100</formula>
    </cfRule>
    <cfRule type="cellIs" dxfId="6694" priority="37" operator="greaterThan">
      <formula>$B$8*100</formula>
    </cfRule>
  </conditionalFormatting>
  <conditionalFormatting sqref="E41">
    <cfRule type="cellIs" dxfId="6693" priority="38" operator="greaterThan">
      <formula>$B$8*100</formula>
    </cfRule>
    <cfRule type="cellIs" dxfId="6692" priority="39" operator="lessThan">
      <formula>$B$8*100</formula>
    </cfRule>
  </conditionalFormatting>
  <conditionalFormatting sqref="B38">
    <cfRule type="cellIs" dxfId="6691" priority="8" operator="equal">
      <formula>"YES"</formula>
    </cfRule>
    <cfRule type="cellIs" dxfId="6690" priority="9" operator="equal">
      <formula>"NO"</formula>
    </cfRule>
  </conditionalFormatting>
  <conditionalFormatting sqref="E23:E26">
    <cfRule type="cellIs" dxfId="6689" priority="4" operator="equal">
      <formula>"NO"</formula>
    </cfRule>
    <cfRule type="cellIs" dxfId="6688" priority="5" operator="equal">
      <formula>"YES"</formula>
    </cfRule>
  </conditionalFormatting>
  <conditionalFormatting sqref="E29">
    <cfRule type="cellIs" dxfId="6687" priority="1" operator="between">
      <formula>10%</formula>
      <formula>12%</formula>
    </cfRule>
    <cfRule type="cellIs" dxfId="6686" priority="2" operator="lessThan">
      <formula>0.1</formula>
    </cfRule>
    <cfRule type="cellIs" dxfId="6685" priority="3" operator="greaterThan">
      <formula>0.12</formula>
    </cfRule>
  </conditionalFormatting>
  <conditionalFormatting sqref="E28">
    <cfRule type="cellIs" dxfId="6684" priority="6" operator="lessThan">
      <formula>$B$8*100</formula>
    </cfRule>
    <cfRule type="cellIs" dxfId="6683" priority="7" operator="greaterThan">
      <formula>$B$8*100</formula>
    </cfRule>
  </conditionalFormatting>
  <hyperlinks>
    <hyperlink ref="A32" r:id="rId1" display="https://www.zillow.com/homes/recently_sold/" xr:uid="{BFB4EE63-DC45-4750-BDEF-C3BE3AF658AD}"/>
    <hyperlink ref="A21" r:id="rId2" xr:uid="{1E47974C-3766-4BA2-8BC2-D0BF42A7FB2A}"/>
    <hyperlink ref="A25" r:id="rId3" display="www.mortgagecalculator.org" xr:uid="{243FA96A-8957-4788-B6AD-2644D814A81C}"/>
    <hyperlink ref="A12" r:id="rId4" xr:uid="{81E6C0D9-6A61-4DC3-B909-8E2C704F44FB}"/>
  </hyperlinks>
  <pageMargins left="0.7" right="0.7" top="0.75" bottom="0.75" header="0.3" footer="0.3"/>
  <drawing r:id="rId5"/>
  <legacyDrawing r:id="rId6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D09B3-9816-4C52-9344-4366E9C1A86A}">
  <sheetPr codeName="Sheet48">
    <tabColor rgb="FFFF0000"/>
  </sheetPr>
  <dimension ref="A1:P42"/>
  <sheetViews>
    <sheetView topLeftCell="A11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250000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1842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212500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212500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10625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201875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1779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2125</v>
      </c>
      <c r="D22" s="7" t="s">
        <v>77</v>
      </c>
      <c r="E22" s="17">
        <f>B16*0.01</f>
        <v>2125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1446.41</v>
      </c>
      <c r="D25" s="7" t="s">
        <v>38</v>
      </c>
      <c r="E25" s="35">
        <f>B25</f>
        <v>1446.41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1713.2600000000002</v>
      </c>
      <c r="D26" s="7" t="s">
        <v>41</v>
      </c>
      <c r="E26" s="17">
        <f>E25+I25+I34</f>
        <v>1713.2600000000002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65.739999999999782</v>
      </c>
      <c r="D28" s="7" t="s">
        <v>43</v>
      </c>
      <c r="E28" s="44">
        <f>E21-E25-I25-I34+I24+I33</f>
        <v>-663.2600000000001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7.4247529411764462E-2</v>
      </c>
      <c r="D29" s="46" t="s">
        <v>44</v>
      </c>
      <c r="E29" s="47">
        <f>(E28*12)/B17</f>
        <v>-0.74909364705882364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88.95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88.95</v>
      </c>
    </row>
    <row r="32" spans="1:16" x14ac:dyDescent="0.25">
      <c r="A32" s="26" t="s">
        <v>49</v>
      </c>
      <c r="B32" s="8">
        <f>B16</f>
        <v>212500</v>
      </c>
      <c r="G32" s="27" t="s">
        <v>50</v>
      </c>
      <c r="H32" s="48">
        <v>0.05</v>
      </c>
      <c r="I32" s="49">
        <f>$B$21*H32</f>
        <v>88.95</v>
      </c>
    </row>
    <row r="33" spans="1:9" x14ac:dyDescent="0.25">
      <c r="A33" s="7" t="s">
        <v>51</v>
      </c>
      <c r="B33" s="17">
        <f>B32-B18</f>
        <v>10625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266.85000000000002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142.99479166666669</v>
      </c>
      <c r="D39" s="7"/>
      <c r="E39" s="17"/>
    </row>
    <row r="40" spans="1:9" x14ac:dyDescent="0.25">
      <c r="A40" s="7" t="s">
        <v>58</v>
      </c>
      <c r="B40" s="17">
        <f>B25-B39</f>
        <v>1303.4152083333333</v>
      </c>
      <c r="D40" s="7"/>
      <c r="E40" s="17"/>
    </row>
    <row r="41" spans="1:9" x14ac:dyDescent="0.25">
      <c r="A41" s="7" t="s">
        <v>59</v>
      </c>
      <c r="B41" s="43">
        <f>B21-B40-I25-I34</f>
        <v>208.73479166666664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0.23574752941176466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682" priority="31" operator="equal">
      <formula>"NO"</formula>
    </cfRule>
    <cfRule type="cellIs" dxfId="6681" priority="32" operator="equal">
      <formula>"YES"</formula>
    </cfRule>
  </conditionalFormatting>
  <conditionalFormatting sqref="E38">
    <cfRule type="cellIs" dxfId="6680" priority="29" operator="equal">
      <formula>"YES"</formula>
    </cfRule>
    <cfRule type="cellIs" dxfId="6679" priority="30" operator="equal">
      <formula>"NO"</formula>
    </cfRule>
  </conditionalFormatting>
  <conditionalFormatting sqref="B23">
    <cfRule type="cellIs" dxfId="6678" priority="27" operator="equal">
      <formula>"NO"</formula>
    </cfRule>
    <cfRule type="cellIs" dxfId="6677" priority="28" operator="equal">
      <formula>"YES"</formula>
    </cfRule>
  </conditionalFormatting>
  <conditionalFormatting sqref="B12">
    <cfRule type="containsText" dxfId="6676" priority="13" operator="containsText" text="Low">
      <formula>NOT(ISERROR(SEARCH("Low",B12)))</formula>
    </cfRule>
    <cfRule type="containsText" dxfId="6675" priority="14" operator="containsText" text="Medium">
      <formula>NOT(ISERROR(SEARCH("Medium",B12)))</formula>
    </cfRule>
    <cfRule type="containsText" dxfId="6674" priority="15" operator="containsText" text="High">
      <formula>NOT(ISERROR(SEARCH("High",B12)))</formula>
    </cfRule>
  </conditionalFormatting>
  <conditionalFormatting sqref="B29">
    <cfRule type="cellIs" dxfId="6673" priority="23" operator="between">
      <formula>10%</formula>
      <formula>11.9%</formula>
    </cfRule>
    <cfRule type="cellIs" dxfId="6672" priority="25" operator="lessThan">
      <formula>0.1</formula>
    </cfRule>
    <cfRule type="cellIs" dxfId="6671" priority="26" operator="greaterThanOrEqual">
      <formula>0.12</formula>
    </cfRule>
  </conditionalFormatting>
  <conditionalFormatting sqref="B42">
    <cfRule type="cellIs" dxfId="6670" priority="21" operator="between">
      <formula>0.1</formula>
      <formula>0.1199</formula>
    </cfRule>
    <cfRule type="cellIs" dxfId="6669" priority="22" operator="lessThan">
      <formula>0.1</formula>
    </cfRule>
    <cfRule type="cellIs" dxfId="6668" priority="24" operator="greaterThanOrEqual">
      <formula>0.12</formula>
    </cfRule>
  </conditionalFormatting>
  <conditionalFormatting sqref="B10">
    <cfRule type="containsText" dxfId="6667" priority="16" operator="containsText" text="Full">
      <formula>NOT(ISERROR(SEARCH("Full",B10)))</formula>
    </cfRule>
    <cfRule type="containsText" dxfId="6666" priority="17" operator="containsText" text="Heavy">
      <formula>NOT(ISERROR(SEARCH("Heavy",B10)))</formula>
    </cfRule>
    <cfRule type="containsText" dxfId="6665" priority="18" operator="containsText" text="Medium">
      <formula>NOT(ISERROR(SEARCH("Medium",B10)))</formula>
    </cfRule>
    <cfRule type="containsText" dxfId="6664" priority="19" operator="containsText" text="Light">
      <formula>NOT(ISERROR(SEARCH("Light",B10)))</formula>
    </cfRule>
    <cfRule type="containsText" dxfId="6663" priority="20" operator="containsText" text="None">
      <formula>NOT(ISERROR(SEARCH("None",B10)))</formula>
    </cfRule>
  </conditionalFormatting>
  <conditionalFormatting sqref="E42">
    <cfRule type="cellIs" dxfId="6662" priority="10" operator="between">
      <formula>0.1</formula>
      <formula>0.119</formula>
    </cfRule>
    <cfRule type="cellIs" dxfId="6661" priority="11" operator="lessThan">
      <formula>0.1</formula>
    </cfRule>
    <cfRule type="cellIs" dxfId="6660" priority="12" operator="greaterThanOrEqual">
      <formula>0.12</formula>
    </cfRule>
  </conditionalFormatting>
  <conditionalFormatting sqref="B28">
    <cfRule type="cellIs" dxfId="6659" priority="33" operator="lessThan">
      <formula>$B$8*100</formula>
    </cfRule>
    <cfRule type="cellIs" dxfId="6658" priority="34" operator="greaterThanOrEqual">
      <formula>$B$8*100</formula>
    </cfRule>
  </conditionalFormatting>
  <conditionalFormatting sqref="B41">
    <cfRule type="cellIs" dxfId="6657" priority="35" operator="lessThan">
      <formula>$B$8*100</formula>
    </cfRule>
    <cfRule type="cellIs" dxfId="6656" priority="36" operator="greaterThan">
      <formula>$B$8*100</formula>
    </cfRule>
    <cfRule type="cellIs" dxfId="6655" priority="37" operator="greaterThan">
      <formula>$B$8*100</formula>
    </cfRule>
  </conditionalFormatting>
  <conditionalFormatting sqref="E41">
    <cfRule type="cellIs" dxfId="6654" priority="38" operator="greaterThan">
      <formula>$B$8*100</formula>
    </cfRule>
    <cfRule type="cellIs" dxfId="6653" priority="39" operator="lessThan">
      <formula>$B$8*100</formula>
    </cfRule>
  </conditionalFormatting>
  <conditionalFormatting sqref="B38">
    <cfRule type="cellIs" dxfId="6652" priority="8" operator="equal">
      <formula>"YES"</formula>
    </cfRule>
    <cfRule type="cellIs" dxfId="6651" priority="9" operator="equal">
      <formula>"NO"</formula>
    </cfRule>
  </conditionalFormatting>
  <conditionalFormatting sqref="E23:E26">
    <cfRule type="cellIs" dxfId="6650" priority="4" operator="equal">
      <formula>"NO"</formula>
    </cfRule>
    <cfRule type="cellIs" dxfId="6649" priority="5" operator="equal">
      <formula>"YES"</formula>
    </cfRule>
  </conditionalFormatting>
  <conditionalFormatting sqref="E29">
    <cfRule type="cellIs" dxfId="6648" priority="1" operator="between">
      <formula>10%</formula>
      <formula>12%</formula>
    </cfRule>
    <cfRule type="cellIs" dxfId="6647" priority="2" operator="lessThan">
      <formula>0.1</formula>
    </cfRule>
    <cfRule type="cellIs" dxfId="6646" priority="3" operator="greaterThan">
      <formula>0.12</formula>
    </cfRule>
  </conditionalFormatting>
  <conditionalFormatting sqref="E28">
    <cfRule type="cellIs" dxfId="6645" priority="6" operator="lessThan">
      <formula>$B$8*100</formula>
    </cfRule>
    <cfRule type="cellIs" dxfId="6644" priority="7" operator="greaterThan">
      <formula>$B$8*100</formula>
    </cfRule>
  </conditionalFormatting>
  <hyperlinks>
    <hyperlink ref="A32" r:id="rId1" display="https://www.zillow.com/homes/recently_sold/" xr:uid="{53E36EE8-5304-4486-A7DA-C080344EA3F5}"/>
    <hyperlink ref="A21" r:id="rId2" xr:uid="{8723F032-6FE7-406A-AA61-B55CA6E47072}"/>
    <hyperlink ref="A25" r:id="rId3" display="www.mortgagecalculator.org" xr:uid="{E15F8944-C9FB-48EB-8A93-28AFF8CC9474}"/>
    <hyperlink ref="A12" r:id="rId4" xr:uid="{23DEFAB8-9D3A-4764-92DD-7C6E210453EE}"/>
  </hyperlinks>
  <pageMargins left="0.7" right="0.7" top="0.75" bottom="0.75" header="0.3" footer="0.3"/>
  <drawing r:id="rId5"/>
  <legacyDrawing r:id="rId6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75DFE-B715-4456-9A2A-9657065D1F8E}">
  <sheetPr codeName="Sheet49">
    <tabColor rgb="FF00B050"/>
  </sheetPr>
  <dimension ref="A1:P42"/>
  <sheetViews>
    <sheetView topLeftCell="A11" workbookViewId="0">
      <selection activeCell="B13" sqref="B1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943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200500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200500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10025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190475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1904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2005</v>
      </c>
      <c r="D22" s="7" t="s">
        <v>77</v>
      </c>
      <c r="E22" s="17">
        <f>B16*0.01</f>
        <v>2005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1431.34</v>
      </c>
      <c r="D25" s="7" t="s">
        <v>38</v>
      </c>
      <c r="E25" s="35">
        <f>B25</f>
        <v>1431.34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1716.94</v>
      </c>
      <c r="D26" s="7" t="s">
        <v>41</v>
      </c>
      <c r="E26" s="17">
        <f>E25+I25+I34</f>
        <v>1716.94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187.05999999999995</v>
      </c>
      <c r="D28" s="7" t="s">
        <v>43</v>
      </c>
      <c r="E28" s="44">
        <f>E21-E25-I25-I34+I24+I33</f>
        <v>-666.93999999999994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0.22391221945137152</v>
      </c>
      <c r="D29" s="46" t="s">
        <v>44</v>
      </c>
      <c r="E29" s="47">
        <f>(E28*12)/B17</f>
        <v>-0.79833216957605968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95.2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95.2</v>
      </c>
    </row>
    <row r="32" spans="1:16" x14ac:dyDescent="0.25">
      <c r="A32" s="26" t="s">
        <v>49</v>
      </c>
      <c r="B32" s="8">
        <f>B16</f>
        <v>200500</v>
      </c>
      <c r="G32" s="27" t="s">
        <v>50</v>
      </c>
      <c r="H32" s="48">
        <v>0.05</v>
      </c>
      <c r="I32" s="49">
        <f>$B$21*H32</f>
        <v>95.2</v>
      </c>
    </row>
    <row r="33" spans="1:9" x14ac:dyDescent="0.25">
      <c r="A33" s="7" t="s">
        <v>51</v>
      </c>
      <c r="B33" s="17">
        <f>B32-B18</f>
        <v>10025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285.60000000000002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134.91979166666667</v>
      </c>
      <c r="D39" s="7"/>
      <c r="E39" s="17"/>
    </row>
    <row r="40" spans="1:9" x14ac:dyDescent="0.25">
      <c r="A40" s="7" t="s">
        <v>58</v>
      </c>
      <c r="B40" s="17">
        <f>B25-B39</f>
        <v>1296.4202083333332</v>
      </c>
      <c r="D40" s="7"/>
      <c r="E40" s="17"/>
    </row>
    <row r="41" spans="1:9" x14ac:dyDescent="0.25">
      <c r="A41" s="7" t="s">
        <v>59</v>
      </c>
      <c r="B41" s="43">
        <f>B21-B40-I25-I34</f>
        <v>321.97979166666676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0.38541221945137166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643" priority="31" operator="equal">
      <formula>"NO"</formula>
    </cfRule>
    <cfRule type="cellIs" dxfId="6642" priority="32" operator="equal">
      <formula>"YES"</formula>
    </cfRule>
  </conditionalFormatting>
  <conditionalFormatting sqref="E38">
    <cfRule type="cellIs" dxfId="6641" priority="29" operator="equal">
      <formula>"YES"</formula>
    </cfRule>
    <cfRule type="cellIs" dxfId="6640" priority="30" operator="equal">
      <formula>"NO"</formula>
    </cfRule>
  </conditionalFormatting>
  <conditionalFormatting sqref="B23">
    <cfRule type="cellIs" dxfId="6639" priority="27" operator="equal">
      <formula>"NO"</formula>
    </cfRule>
    <cfRule type="cellIs" dxfId="6638" priority="28" operator="equal">
      <formula>"YES"</formula>
    </cfRule>
  </conditionalFormatting>
  <conditionalFormatting sqref="B12">
    <cfRule type="containsText" dxfId="6637" priority="13" operator="containsText" text="Low">
      <formula>NOT(ISERROR(SEARCH("Low",B12)))</formula>
    </cfRule>
    <cfRule type="containsText" dxfId="6636" priority="14" operator="containsText" text="Medium">
      <formula>NOT(ISERROR(SEARCH("Medium",B12)))</formula>
    </cfRule>
    <cfRule type="containsText" dxfId="6635" priority="15" operator="containsText" text="High">
      <formula>NOT(ISERROR(SEARCH("High",B12)))</formula>
    </cfRule>
  </conditionalFormatting>
  <conditionalFormatting sqref="B29">
    <cfRule type="cellIs" dxfId="6634" priority="23" operator="between">
      <formula>10%</formula>
      <formula>11.9%</formula>
    </cfRule>
    <cfRule type="cellIs" dxfId="6633" priority="25" operator="lessThan">
      <formula>0.1</formula>
    </cfRule>
    <cfRule type="cellIs" dxfId="6632" priority="26" operator="greaterThanOrEqual">
      <formula>0.12</formula>
    </cfRule>
  </conditionalFormatting>
  <conditionalFormatting sqref="B42">
    <cfRule type="cellIs" dxfId="6631" priority="21" operator="between">
      <formula>0.1</formula>
      <formula>0.1199</formula>
    </cfRule>
    <cfRule type="cellIs" dxfId="6630" priority="22" operator="lessThan">
      <formula>0.1</formula>
    </cfRule>
    <cfRule type="cellIs" dxfId="6629" priority="24" operator="greaterThanOrEqual">
      <formula>0.12</formula>
    </cfRule>
  </conditionalFormatting>
  <conditionalFormatting sqref="B10">
    <cfRule type="containsText" dxfId="6628" priority="16" operator="containsText" text="Full">
      <formula>NOT(ISERROR(SEARCH("Full",B10)))</formula>
    </cfRule>
    <cfRule type="containsText" dxfId="6627" priority="17" operator="containsText" text="Heavy">
      <formula>NOT(ISERROR(SEARCH("Heavy",B10)))</formula>
    </cfRule>
    <cfRule type="containsText" dxfId="6626" priority="18" operator="containsText" text="Medium">
      <formula>NOT(ISERROR(SEARCH("Medium",B10)))</formula>
    </cfRule>
    <cfRule type="containsText" dxfId="6625" priority="19" operator="containsText" text="Light">
      <formula>NOT(ISERROR(SEARCH("Light",B10)))</formula>
    </cfRule>
    <cfRule type="containsText" dxfId="6624" priority="20" operator="containsText" text="None">
      <formula>NOT(ISERROR(SEARCH("None",B10)))</formula>
    </cfRule>
  </conditionalFormatting>
  <conditionalFormatting sqref="E42">
    <cfRule type="cellIs" dxfId="6623" priority="10" operator="between">
      <formula>0.1</formula>
      <formula>0.119</formula>
    </cfRule>
    <cfRule type="cellIs" dxfId="6622" priority="11" operator="lessThan">
      <formula>0.1</formula>
    </cfRule>
    <cfRule type="cellIs" dxfId="6621" priority="12" operator="greaterThanOrEqual">
      <formula>0.12</formula>
    </cfRule>
  </conditionalFormatting>
  <conditionalFormatting sqref="B28">
    <cfRule type="cellIs" dxfId="6620" priority="33" operator="lessThan">
      <formula>$B$8*100</formula>
    </cfRule>
    <cfRule type="cellIs" dxfId="6619" priority="34" operator="greaterThanOrEqual">
      <formula>$B$8*100</formula>
    </cfRule>
  </conditionalFormatting>
  <conditionalFormatting sqref="B41">
    <cfRule type="cellIs" dxfId="6618" priority="35" operator="lessThan">
      <formula>$B$8*100</formula>
    </cfRule>
    <cfRule type="cellIs" dxfId="6617" priority="36" operator="greaterThan">
      <formula>$B$8*100</formula>
    </cfRule>
    <cfRule type="cellIs" dxfId="6616" priority="37" operator="greaterThan">
      <formula>$B$8*100</formula>
    </cfRule>
  </conditionalFormatting>
  <conditionalFormatting sqref="E41">
    <cfRule type="cellIs" dxfId="6615" priority="38" operator="greaterThan">
      <formula>$B$8*100</formula>
    </cfRule>
    <cfRule type="cellIs" dxfId="6614" priority="39" operator="lessThan">
      <formula>$B$8*100</formula>
    </cfRule>
  </conditionalFormatting>
  <conditionalFormatting sqref="B38">
    <cfRule type="cellIs" dxfId="6613" priority="8" operator="equal">
      <formula>"YES"</formula>
    </cfRule>
    <cfRule type="cellIs" dxfId="6612" priority="9" operator="equal">
      <formula>"NO"</formula>
    </cfRule>
  </conditionalFormatting>
  <conditionalFormatting sqref="E23:E26">
    <cfRule type="cellIs" dxfId="6611" priority="4" operator="equal">
      <formula>"NO"</formula>
    </cfRule>
    <cfRule type="cellIs" dxfId="6610" priority="5" operator="equal">
      <formula>"YES"</formula>
    </cfRule>
  </conditionalFormatting>
  <conditionalFormatting sqref="E29">
    <cfRule type="cellIs" dxfId="6609" priority="1" operator="between">
      <formula>10%</formula>
      <formula>12%</formula>
    </cfRule>
    <cfRule type="cellIs" dxfId="6608" priority="2" operator="lessThan">
      <formula>0.1</formula>
    </cfRule>
    <cfRule type="cellIs" dxfId="6607" priority="3" operator="greaterThan">
      <formula>0.12</formula>
    </cfRule>
  </conditionalFormatting>
  <conditionalFormatting sqref="E28">
    <cfRule type="cellIs" dxfId="6606" priority="6" operator="lessThan">
      <formula>$B$8*100</formula>
    </cfRule>
    <cfRule type="cellIs" dxfId="6605" priority="7" operator="greaterThan">
      <formula>$B$8*100</formula>
    </cfRule>
  </conditionalFormatting>
  <hyperlinks>
    <hyperlink ref="A32" r:id="rId1" display="https://www.zillow.com/homes/recently_sold/" xr:uid="{F65001CE-A1D1-4DF1-967B-F8A92EF5B152}"/>
    <hyperlink ref="A21" r:id="rId2" xr:uid="{5BDA8F25-0D6B-439D-9CA7-D167E3C5C0A4}"/>
    <hyperlink ref="A25" r:id="rId3" display="www.mortgagecalculator.org" xr:uid="{9A77C54F-802C-4F4D-A469-230605DB26B2}"/>
    <hyperlink ref="A12" r:id="rId4" xr:uid="{6E25CB8D-BE4F-4DF7-831C-1A3398818EFE}"/>
  </hyperlinks>
  <pageMargins left="0.7" right="0.7" top="0.75" bottom="0.75" header="0.3" footer="0.3"/>
  <drawing r:id="rId5"/>
  <legacyDrawing r:id="rId6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57E46-48E8-41A5-AB37-165E5B748CF8}">
  <sheetPr codeName="Sheet50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1439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195415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195415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9770.75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185644.25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1190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1954.15</v>
      </c>
      <c r="D22" s="7" t="s">
        <v>77</v>
      </c>
      <c r="E22" s="17">
        <f>B16*0.01</f>
        <v>1954.15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1407.3</v>
      </c>
      <c r="D25" s="7" t="s">
        <v>38</v>
      </c>
      <c r="E25" s="35">
        <f>B25</f>
        <v>1407.3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1585.8</v>
      </c>
      <c r="D26" s="7" t="s">
        <v>41</v>
      </c>
      <c r="E26" s="17">
        <f>E25+I25+I34</f>
        <v>1585.8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-395.79999999999995</v>
      </c>
      <c r="D28" s="7" t="s">
        <v>43</v>
      </c>
      <c r="E28" s="44">
        <f>E21-E25-I25-I34+I24+I33</f>
        <v>-535.79999999999995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-0.48610393265614199</v>
      </c>
      <c r="D29" s="46" t="s">
        <v>44</v>
      </c>
      <c r="E29" s="47">
        <f>(E28*12)/B17</f>
        <v>-0.65804569761789011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59.5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59.5</v>
      </c>
    </row>
    <row r="32" spans="1:16" x14ac:dyDescent="0.25">
      <c r="A32" s="26" t="s">
        <v>49</v>
      </c>
      <c r="B32" s="8">
        <f>B16</f>
        <v>195415</v>
      </c>
      <c r="G32" s="27" t="s">
        <v>50</v>
      </c>
      <c r="H32" s="48">
        <v>0.05</v>
      </c>
      <c r="I32" s="49">
        <f>$B$21*H32</f>
        <v>59.5</v>
      </c>
    </row>
    <row r="33" spans="1:9" x14ac:dyDescent="0.25">
      <c r="A33" s="7" t="s">
        <v>51</v>
      </c>
      <c r="B33" s="17">
        <f>B32-B18</f>
        <v>9770.75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178.5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131.49801041666669</v>
      </c>
      <c r="D39" s="7"/>
      <c r="E39" s="17"/>
    </row>
    <row r="40" spans="1:9" x14ac:dyDescent="0.25">
      <c r="A40" s="7" t="s">
        <v>58</v>
      </c>
      <c r="B40" s="17">
        <f>B25-B39</f>
        <v>1275.8019895833334</v>
      </c>
      <c r="D40" s="7"/>
      <c r="E40" s="17"/>
    </row>
    <row r="41" spans="1:9" x14ac:dyDescent="0.25">
      <c r="A41" s="7" t="s">
        <v>59</v>
      </c>
      <c r="B41" s="43">
        <f>B21-B40-I25-I34</f>
        <v>-264.30198958333335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-0.32460393265614207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604" priority="31" operator="equal">
      <formula>"NO"</formula>
    </cfRule>
    <cfRule type="cellIs" dxfId="6603" priority="32" operator="equal">
      <formula>"YES"</formula>
    </cfRule>
  </conditionalFormatting>
  <conditionalFormatting sqref="E38">
    <cfRule type="cellIs" dxfId="6602" priority="29" operator="equal">
      <formula>"YES"</formula>
    </cfRule>
    <cfRule type="cellIs" dxfId="6601" priority="30" operator="equal">
      <formula>"NO"</formula>
    </cfRule>
  </conditionalFormatting>
  <conditionalFormatting sqref="B23">
    <cfRule type="cellIs" dxfId="6600" priority="27" operator="equal">
      <formula>"NO"</formula>
    </cfRule>
    <cfRule type="cellIs" dxfId="6599" priority="28" operator="equal">
      <formula>"YES"</formula>
    </cfRule>
  </conditionalFormatting>
  <conditionalFormatting sqref="B12">
    <cfRule type="containsText" dxfId="6598" priority="13" operator="containsText" text="Low">
      <formula>NOT(ISERROR(SEARCH("Low",B12)))</formula>
    </cfRule>
    <cfRule type="containsText" dxfId="6597" priority="14" operator="containsText" text="Medium">
      <formula>NOT(ISERROR(SEARCH("Medium",B12)))</formula>
    </cfRule>
    <cfRule type="containsText" dxfId="6596" priority="15" operator="containsText" text="High">
      <formula>NOT(ISERROR(SEARCH("High",B12)))</formula>
    </cfRule>
  </conditionalFormatting>
  <conditionalFormatting sqref="B29">
    <cfRule type="cellIs" dxfId="6595" priority="23" operator="between">
      <formula>10%</formula>
      <formula>11.9%</formula>
    </cfRule>
    <cfRule type="cellIs" dxfId="6594" priority="25" operator="lessThan">
      <formula>0.1</formula>
    </cfRule>
    <cfRule type="cellIs" dxfId="6593" priority="26" operator="greaterThanOrEqual">
      <formula>0.12</formula>
    </cfRule>
  </conditionalFormatting>
  <conditionalFormatting sqref="B42">
    <cfRule type="cellIs" dxfId="6592" priority="21" operator="between">
      <formula>0.1</formula>
      <formula>0.1199</formula>
    </cfRule>
    <cfRule type="cellIs" dxfId="6591" priority="22" operator="lessThan">
      <formula>0.1</formula>
    </cfRule>
    <cfRule type="cellIs" dxfId="6590" priority="24" operator="greaterThanOrEqual">
      <formula>0.12</formula>
    </cfRule>
  </conditionalFormatting>
  <conditionalFormatting sqref="B10">
    <cfRule type="containsText" dxfId="6589" priority="16" operator="containsText" text="Full">
      <formula>NOT(ISERROR(SEARCH("Full",B10)))</formula>
    </cfRule>
    <cfRule type="containsText" dxfId="6588" priority="17" operator="containsText" text="Heavy">
      <formula>NOT(ISERROR(SEARCH("Heavy",B10)))</formula>
    </cfRule>
    <cfRule type="containsText" dxfId="6587" priority="18" operator="containsText" text="Medium">
      <formula>NOT(ISERROR(SEARCH("Medium",B10)))</formula>
    </cfRule>
    <cfRule type="containsText" dxfId="6586" priority="19" operator="containsText" text="Light">
      <formula>NOT(ISERROR(SEARCH("Light",B10)))</formula>
    </cfRule>
    <cfRule type="containsText" dxfId="6585" priority="20" operator="containsText" text="None">
      <formula>NOT(ISERROR(SEARCH("None",B10)))</formula>
    </cfRule>
  </conditionalFormatting>
  <conditionalFormatting sqref="E42">
    <cfRule type="cellIs" dxfId="6584" priority="10" operator="between">
      <formula>0.1</formula>
      <formula>0.119</formula>
    </cfRule>
    <cfRule type="cellIs" dxfId="6583" priority="11" operator="lessThan">
      <formula>0.1</formula>
    </cfRule>
    <cfRule type="cellIs" dxfId="6582" priority="12" operator="greaterThanOrEqual">
      <formula>0.12</formula>
    </cfRule>
  </conditionalFormatting>
  <conditionalFormatting sqref="B28">
    <cfRule type="cellIs" dxfId="6581" priority="33" operator="lessThan">
      <formula>$B$8*100</formula>
    </cfRule>
    <cfRule type="cellIs" dxfId="6580" priority="34" operator="greaterThanOrEqual">
      <formula>$B$8*100</formula>
    </cfRule>
  </conditionalFormatting>
  <conditionalFormatting sqref="B41">
    <cfRule type="cellIs" dxfId="6579" priority="35" operator="lessThan">
      <formula>$B$8*100</formula>
    </cfRule>
    <cfRule type="cellIs" dxfId="6578" priority="36" operator="greaterThan">
      <formula>$B$8*100</formula>
    </cfRule>
    <cfRule type="cellIs" dxfId="6577" priority="37" operator="greaterThan">
      <formula>$B$8*100</formula>
    </cfRule>
  </conditionalFormatting>
  <conditionalFormatting sqref="E41">
    <cfRule type="cellIs" dxfId="6576" priority="38" operator="greaterThan">
      <formula>$B$8*100</formula>
    </cfRule>
    <cfRule type="cellIs" dxfId="6575" priority="39" operator="lessThan">
      <formula>$B$8*100</formula>
    </cfRule>
  </conditionalFormatting>
  <conditionalFormatting sqref="B38">
    <cfRule type="cellIs" dxfId="6574" priority="8" operator="equal">
      <formula>"YES"</formula>
    </cfRule>
    <cfRule type="cellIs" dxfId="6573" priority="9" operator="equal">
      <formula>"NO"</formula>
    </cfRule>
  </conditionalFormatting>
  <conditionalFormatting sqref="E23:E26">
    <cfRule type="cellIs" dxfId="6572" priority="4" operator="equal">
      <formula>"NO"</formula>
    </cfRule>
    <cfRule type="cellIs" dxfId="6571" priority="5" operator="equal">
      <formula>"YES"</formula>
    </cfRule>
  </conditionalFormatting>
  <conditionalFormatting sqref="E29">
    <cfRule type="cellIs" dxfId="6570" priority="1" operator="between">
      <formula>10%</formula>
      <formula>12%</formula>
    </cfRule>
    <cfRule type="cellIs" dxfId="6569" priority="2" operator="lessThan">
      <formula>0.1</formula>
    </cfRule>
    <cfRule type="cellIs" dxfId="6568" priority="3" operator="greaterThan">
      <formula>0.12</formula>
    </cfRule>
  </conditionalFormatting>
  <conditionalFormatting sqref="E28">
    <cfRule type="cellIs" dxfId="6567" priority="6" operator="lessThan">
      <formula>$B$8*100</formula>
    </cfRule>
    <cfRule type="cellIs" dxfId="6566" priority="7" operator="greaterThan">
      <formula>$B$8*100</formula>
    </cfRule>
  </conditionalFormatting>
  <hyperlinks>
    <hyperlink ref="A32" r:id="rId1" display="https://www.zillow.com/homes/recently_sold/" xr:uid="{50EC7F24-EF74-47D3-A297-D80790BC4244}"/>
    <hyperlink ref="A21" r:id="rId2" xr:uid="{610461A6-FE94-44E6-B5D8-E8AE7868E8EA}"/>
    <hyperlink ref="A25" r:id="rId3" display="www.mortgagecalculator.org" xr:uid="{00280A79-F178-47E5-AB21-6381D930301A}"/>
    <hyperlink ref="A12" r:id="rId4" xr:uid="{D823B8B8-69EE-4C38-AB22-3DF2D6634A8A}"/>
  </hyperlinks>
  <pageMargins left="0.7" right="0.7" top="0.75" bottom="0.75" header="0.3" footer="0.3"/>
  <drawing r:id="rId5"/>
  <legacyDrawing r:id="rId6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ED399-5F10-4ABD-BFE1-1A8D5A79A404}">
  <sheetPr codeName="Sheet51">
    <tabColor rgb="FFFF0000"/>
  </sheetPr>
  <dimension ref="A1:P42"/>
  <sheetViews>
    <sheetView topLeftCell="A8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129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1274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191165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191165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9558.25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181606.75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1202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1911.65</v>
      </c>
      <c r="D22" s="7" t="s">
        <v>77</v>
      </c>
      <c r="E22" s="17">
        <f>B16*0.01</f>
        <v>1911.65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1387.2</v>
      </c>
      <c r="D25" s="7" t="s">
        <v>38</v>
      </c>
      <c r="E25" s="35">
        <f>B25</f>
        <v>1387.2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1567.5</v>
      </c>
      <c r="D26" s="7" t="s">
        <v>41</v>
      </c>
      <c r="E26" s="17">
        <f>E25+I25+I34</f>
        <v>1567.5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-365.5</v>
      </c>
      <c r="D28" s="7" t="s">
        <v>43</v>
      </c>
      <c r="E28" s="44">
        <f>E21-E25-I25-I34+I24+I33</f>
        <v>-517.5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-0.45887060915962652</v>
      </c>
      <c r="D29" s="46" t="s">
        <v>44</v>
      </c>
      <c r="E29" s="47">
        <f>(E28*12)/B17</f>
        <v>-0.64970052049276805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60.1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60.1</v>
      </c>
    </row>
    <row r="32" spans="1:16" x14ac:dyDescent="0.25">
      <c r="A32" s="26" t="s">
        <v>49</v>
      </c>
      <c r="B32" s="8">
        <f>B16</f>
        <v>191165</v>
      </c>
      <c r="G32" s="27" t="s">
        <v>50</v>
      </c>
      <c r="H32" s="48">
        <v>0.05</v>
      </c>
      <c r="I32" s="49">
        <f>$B$21*H32</f>
        <v>60.1</v>
      </c>
    </row>
    <row r="33" spans="1:9" x14ac:dyDescent="0.25">
      <c r="A33" s="7" t="s">
        <v>51</v>
      </c>
      <c r="B33" s="17">
        <f>B32-B18</f>
        <v>9558.25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180.3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128.63811458333333</v>
      </c>
      <c r="D39" s="7"/>
      <c r="E39" s="17"/>
    </row>
    <row r="40" spans="1:9" x14ac:dyDescent="0.25">
      <c r="A40" s="7" t="s">
        <v>58</v>
      </c>
      <c r="B40" s="17">
        <f>B25-B39</f>
        <v>1258.5618854166667</v>
      </c>
      <c r="D40" s="7"/>
      <c r="E40" s="17"/>
    </row>
    <row r="41" spans="1:9" x14ac:dyDescent="0.25">
      <c r="A41" s="7" t="s">
        <v>59</v>
      </c>
      <c r="B41" s="43">
        <f>B21-B40-I25-I34</f>
        <v>-236.86188541666667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-0.29737060915962654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565" priority="31" operator="equal">
      <formula>"NO"</formula>
    </cfRule>
    <cfRule type="cellIs" dxfId="6564" priority="32" operator="equal">
      <formula>"YES"</formula>
    </cfRule>
  </conditionalFormatting>
  <conditionalFormatting sqref="E38">
    <cfRule type="cellIs" dxfId="6563" priority="29" operator="equal">
      <formula>"YES"</formula>
    </cfRule>
    <cfRule type="cellIs" dxfId="6562" priority="30" operator="equal">
      <formula>"NO"</formula>
    </cfRule>
  </conditionalFormatting>
  <conditionalFormatting sqref="B23">
    <cfRule type="cellIs" dxfId="6561" priority="27" operator="equal">
      <formula>"NO"</formula>
    </cfRule>
    <cfRule type="cellIs" dxfId="6560" priority="28" operator="equal">
      <formula>"YES"</formula>
    </cfRule>
  </conditionalFormatting>
  <conditionalFormatting sqref="B12">
    <cfRule type="containsText" dxfId="6559" priority="13" operator="containsText" text="Low">
      <formula>NOT(ISERROR(SEARCH("Low",B12)))</formula>
    </cfRule>
    <cfRule type="containsText" dxfId="6558" priority="14" operator="containsText" text="Medium">
      <formula>NOT(ISERROR(SEARCH("Medium",B12)))</formula>
    </cfRule>
    <cfRule type="containsText" dxfId="6557" priority="15" operator="containsText" text="High">
      <formula>NOT(ISERROR(SEARCH("High",B12)))</formula>
    </cfRule>
  </conditionalFormatting>
  <conditionalFormatting sqref="B29">
    <cfRule type="cellIs" dxfId="6556" priority="23" operator="between">
      <formula>10%</formula>
      <formula>11.9%</formula>
    </cfRule>
    <cfRule type="cellIs" dxfId="6555" priority="25" operator="lessThan">
      <formula>0.1</formula>
    </cfRule>
    <cfRule type="cellIs" dxfId="6554" priority="26" operator="greaterThanOrEqual">
      <formula>0.12</formula>
    </cfRule>
  </conditionalFormatting>
  <conditionalFormatting sqref="B42">
    <cfRule type="cellIs" dxfId="6553" priority="21" operator="between">
      <formula>0.1</formula>
      <formula>0.1199</formula>
    </cfRule>
    <cfRule type="cellIs" dxfId="6552" priority="22" operator="lessThan">
      <formula>0.1</formula>
    </cfRule>
    <cfRule type="cellIs" dxfId="6551" priority="24" operator="greaterThanOrEqual">
      <formula>0.12</formula>
    </cfRule>
  </conditionalFormatting>
  <conditionalFormatting sqref="B10">
    <cfRule type="containsText" dxfId="6550" priority="16" operator="containsText" text="Full">
      <formula>NOT(ISERROR(SEARCH("Full",B10)))</formula>
    </cfRule>
    <cfRule type="containsText" dxfId="6549" priority="17" operator="containsText" text="Heavy">
      <formula>NOT(ISERROR(SEARCH("Heavy",B10)))</formula>
    </cfRule>
    <cfRule type="containsText" dxfId="6548" priority="18" operator="containsText" text="Medium">
      <formula>NOT(ISERROR(SEARCH("Medium",B10)))</formula>
    </cfRule>
    <cfRule type="containsText" dxfId="6547" priority="19" operator="containsText" text="Light">
      <formula>NOT(ISERROR(SEARCH("Light",B10)))</formula>
    </cfRule>
    <cfRule type="containsText" dxfId="6546" priority="20" operator="containsText" text="None">
      <formula>NOT(ISERROR(SEARCH("None",B10)))</formula>
    </cfRule>
  </conditionalFormatting>
  <conditionalFormatting sqref="E42">
    <cfRule type="cellIs" dxfId="6545" priority="10" operator="between">
      <formula>0.1</formula>
      <formula>0.119</formula>
    </cfRule>
    <cfRule type="cellIs" dxfId="6544" priority="11" operator="lessThan">
      <formula>0.1</formula>
    </cfRule>
    <cfRule type="cellIs" dxfId="6543" priority="12" operator="greaterThanOrEqual">
      <formula>0.12</formula>
    </cfRule>
  </conditionalFormatting>
  <conditionalFormatting sqref="B28">
    <cfRule type="cellIs" dxfId="6542" priority="33" operator="lessThan">
      <formula>$B$8*100</formula>
    </cfRule>
    <cfRule type="cellIs" dxfId="6541" priority="34" operator="greaterThanOrEqual">
      <formula>$B$8*100</formula>
    </cfRule>
  </conditionalFormatting>
  <conditionalFormatting sqref="B41">
    <cfRule type="cellIs" dxfId="6540" priority="35" operator="lessThan">
      <formula>$B$8*100</formula>
    </cfRule>
    <cfRule type="cellIs" dxfId="6539" priority="36" operator="greaterThan">
      <formula>$B$8*100</formula>
    </cfRule>
    <cfRule type="cellIs" dxfId="6538" priority="37" operator="greaterThan">
      <formula>$B$8*100</formula>
    </cfRule>
  </conditionalFormatting>
  <conditionalFormatting sqref="E41">
    <cfRule type="cellIs" dxfId="6537" priority="38" operator="greaterThan">
      <formula>$B$8*100</formula>
    </cfRule>
    <cfRule type="cellIs" dxfId="6536" priority="39" operator="lessThan">
      <formula>$B$8*100</formula>
    </cfRule>
  </conditionalFormatting>
  <conditionalFormatting sqref="B38">
    <cfRule type="cellIs" dxfId="6535" priority="8" operator="equal">
      <formula>"YES"</formula>
    </cfRule>
    <cfRule type="cellIs" dxfId="6534" priority="9" operator="equal">
      <formula>"NO"</formula>
    </cfRule>
  </conditionalFormatting>
  <conditionalFormatting sqref="E23:E26">
    <cfRule type="cellIs" dxfId="6533" priority="4" operator="equal">
      <formula>"NO"</formula>
    </cfRule>
    <cfRule type="cellIs" dxfId="6532" priority="5" operator="equal">
      <formula>"YES"</formula>
    </cfRule>
  </conditionalFormatting>
  <conditionalFormatting sqref="E29">
    <cfRule type="cellIs" dxfId="6531" priority="1" operator="between">
      <formula>10%</formula>
      <formula>12%</formula>
    </cfRule>
    <cfRule type="cellIs" dxfId="6530" priority="2" operator="lessThan">
      <formula>0.1</formula>
    </cfRule>
    <cfRule type="cellIs" dxfId="6529" priority="3" operator="greaterThan">
      <formula>0.12</formula>
    </cfRule>
  </conditionalFormatting>
  <conditionalFormatting sqref="E28">
    <cfRule type="cellIs" dxfId="6528" priority="6" operator="lessThan">
      <formula>$B$8*100</formula>
    </cfRule>
    <cfRule type="cellIs" dxfId="6527" priority="7" operator="greaterThan">
      <formula>$B$8*100</formula>
    </cfRule>
  </conditionalFormatting>
  <hyperlinks>
    <hyperlink ref="A32" r:id="rId1" display="https://www.zillow.com/homes/recently_sold/" xr:uid="{93FB3D00-173C-4327-90F7-01138B3F8E81}"/>
    <hyperlink ref="A21" r:id="rId2" xr:uid="{56C67E0D-10CF-47FB-9F1E-08CDC41C89C9}"/>
    <hyperlink ref="A25" r:id="rId3" display="www.mortgagecalculator.org" xr:uid="{5307A4F5-433E-4076-8483-E1B974D87111}"/>
    <hyperlink ref="A12" r:id="rId4" xr:uid="{1E983B56-E498-4D25-9EC8-4C9849C97E78}"/>
  </hyperlinks>
  <pageMargins left="0.7" right="0.7" top="0.75" bottom="0.75" header="0.3" footer="0.3"/>
  <drawing r:id="rId5"/>
  <legacyDrawing r:id="rId6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9E10C-ADC7-404E-8061-9BE1B5D6FCD4}">
  <sheetPr codeName="Sheet52">
    <tabColor rgb="FFFF0000"/>
  </sheetPr>
  <dimension ref="A1:P42"/>
  <sheetViews>
    <sheetView topLeftCell="A11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2070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246415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246415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12320.75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234094.25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1420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2464.15</v>
      </c>
      <c r="D22" s="7" t="s">
        <v>77</v>
      </c>
      <c r="E22" s="17">
        <f>B16*0.01</f>
        <v>2464.15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1798.44</v>
      </c>
      <c r="D25" s="7" t="s">
        <v>38</v>
      </c>
      <c r="E25" s="35">
        <f>B25</f>
        <v>1798.44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2011.44</v>
      </c>
      <c r="D26" s="7" t="s">
        <v>41</v>
      </c>
      <c r="E26" s="17">
        <f>E25+I25+I34</f>
        <v>2011.44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-591.44000000000005</v>
      </c>
      <c r="D28" s="7" t="s">
        <v>43</v>
      </c>
      <c r="E28" s="44">
        <f>E21-E25-I25-I34+I24+I33</f>
        <v>-961.44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-0.57604285453401782</v>
      </c>
      <c r="D29" s="46" t="s">
        <v>44</v>
      </c>
      <c r="E29" s="47">
        <f>(E28*12)/B17</f>
        <v>-0.93641052695655713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71</v>
      </c>
    </row>
    <row r="32" spans="1:16" x14ac:dyDescent="0.25">
      <c r="A32" s="26" t="s">
        <v>49</v>
      </c>
      <c r="B32" s="8">
        <f>B16</f>
        <v>246415</v>
      </c>
      <c r="G32" s="27" t="s">
        <v>50</v>
      </c>
      <c r="H32" s="48">
        <v>0.05</v>
      </c>
      <c r="I32" s="49">
        <f>$B$21*H32</f>
        <v>71</v>
      </c>
    </row>
    <row r="33" spans="1:9" x14ac:dyDescent="0.25">
      <c r="A33" s="7" t="s">
        <v>51</v>
      </c>
      <c r="B33" s="17">
        <f>B32-B18</f>
        <v>12320.75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213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165.81676041666668</v>
      </c>
      <c r="D39" s="7"/>
      <c r="E39" s="17"/>
    </row>
    <row r="40" spans="1:9" x14ac:dyDescent="0.25">
      <c r="A40" s="7" t="s">
        <v>58</v>
      </c>
      <c r="B40" s="17">
        <f>B25-B39</f>
        <v>1632.6232395833333</v>
      </c>
      <c r="D40" s="7"/>
      <c r="E40" s="17"/>
    </row>
    <row r="41" spans="1:9" x14ac:dyDescent="0.25">
      <c r="A41" s="7" t="s">
        <v>59</v>
      </c>
      <c r="B41" s="43">
        <f>B21-B40-I25-I34</f>
        <v>-425.62323958333332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-0.41454285453401779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526" priority="31" operator="equal">
      <formula>"NO"</formula>
    </cfRule>
    <cfRule type="cellIs" dxfId="6525" priority="32" operator="equal">
      <formula>"YES"</formula>
    </cfRule>
  </conditionalFormatting>
  <conditionalFormatting sqref="E38">
    <cfRule type="cellIs" dxfId="6524" priority="29" operator="equal">
      <formula>"YES"</formula>
    </cfRule>
    <cfRule type="cellIs" dxfId="6523" priority="30" operator="equal">
      <formula>"NO"</formula>
    </cfRule>
  </conditionalFormatting>
  <conditionalFormatting sqref="B23">
    <cfRule type="cellIs" dxfId="6522" priority="27" operator="equal">
      <formula>"NO"</formula>
    </cfRule>
    <cfRule type="cellIs" dxfId="6521" priority="28" operator="equal">
      <formula>"YES"</formula>
    </cfRule>
  </conditionalFormatting>
  <conditionalFormatting sqref="B12">
    <cfRule type="containsText" dxfId="6520" priority="13" operator="containsText" text="Low">
      <formula>NOT(ISERROR(SEARCH("Low",B12)))</formula>
    </cfRule>
    <cfRule type="containsText" dxfId="6519" priority="14" operator="containsText" text="Medium">
      <formula>NOT(ISERROR(SEARCH("Medium",B12)))</formula>
    </cfRule>
    <cfRule type="containsText" dxfId="6518" priority="15" operator="containsText" text="High">
      <formula>NOT(ISERROR(SEARCH("High",B12)))</formula>
    </cfRule>
  </conditionalFormatting>
  <conditionalFormatting sqref="B29">
    <cfRule type="cellIs" dxfId="6517" priority="23" operator="between">
      <formula>10%</formula>
      <formula>11.9%</formula>
    </cfRule>
    <cfRule type="cellIs" dxfId="6516" priority="25" operator="lessThan">
      <formula>0.1</formula>
    </cfRule>
    <cfRule type="cellIs" dxfId="6515" priority="26" operator="greaterThanOrEqual">
      <formula>0.12</formula>
    </cfRule>
  </conditionalFormatting>
  <conditionalFormatting sqref="B42">
    <cfRule type="cellIs" dxfId="6514" priority="21" operator="between">
      <formula>0.1</formula>
      <formula>0.1199</formula>
    </cfRule>
    <cfRule type="cellIs" dxfId="6513" priority="22" operator="lessThan">
      <formula>0.1</formula>
    </cfRule>
    <cfRule type="cellIs" dxfId="6512" priority="24" operator="greaterThanOrEqual">
      <formula>0.12</formula>
    </cfRule>
  </conditionalFormatting>
  <conditionalFormatting sqref="B10">
    <cfRule type="containsText" dxfId="6511" priority="16" operator="containsText" text="Full">
      <formula>NOT(ISERROR(SEARCH("Full",B10)))</formula>
    </cfRule>
    <cfRule type="containsText" dxfId="6510" priority="17" operator="containsText" text="Heavy">
      <formula>NOT(ISERROR(SEARCH("Heavy",B10)))</formula>
    </cfRule>
    <cfRule type="containsText" dxfId="6509" priority="18" operator="containsText" text="Medium">
      <formula>NOT(ISERROR(SEARCH("Medium",B10)))</formula>
    </cfRule>
    <cfRule type="containsText" dxfId="6508" priority="19" operator="containsText" text="Light">
      <formula>NOT(ISERROR(SEARCH("Light",B10)))</formula>
    </cfRule>
    <cfRule type="containsText" dxfId="6507" priority="20" operator="containsText" text="None">
      <formula>NOT(ISERROR(SEARCH("None",B10)))</formula>
    </cfRule>
  </conditionalFormatting>
  <conditionalFormatting sqref="E42">
    <cfRule type="cellIs" dxfId="6506" priority="10" operator="between">
      <formula>0.1</formula>
      <formula>0.119</formula>
    </cfRule>
    <cfRule type="cellIs" dxfId="6505" priority="11" operator="lessThan">
      <formula>0.1</formula>
    </cfRule>
    <cfRule type="cellIs" dxfId="6504" priority="12" operator="greaterThanOrEqual">
      <formula>0.12</formula>
    </cfRule>
  </conditionalFormatting>
  <conditionalFormatting sqref="B28">
    <cfRule type="cellIs" dxfId="6503" priority="33" operator="lessThan">
      <formula>$B$8*100</formula>
    </cfRule>
    <cfRule type="cellIs" dxfId="6502" priority="34" operator="greaterThanOrEqual">
      <formula>$B$8*100</formula>
    </cfRule>
  </conditionalFormatting>
  <conditionalFormatting sqref="B41">
    <cfRule type="cellIs" dxfId="6501" priority="35" operator="lessThan">
      <formula>$B$8*100</formula>
    </cfRule>
    <cfRule type="cellIs" dxfId="6500" priority="36" operator="greaterThan">
      <formula>$B$8*100</formula>
    </cfRule>
    <cfRule type="cellIs" dxfId="6499" priority="37" operator="greaterThan">
      <formula>$B$8*100</formula>
    </cfRule>
  </conditionalFormatting>
  <conditionalFormatting sqref="E41">
    <cfRule type="cellIs" dxfId="6498" priority="38" operator="greaterThan">
      <formula>$B$8*100</formula>
    </cfRule>
    <cfRule type="cellIs" dxfId="6497" priority="39" operator="lessThan">
      <formula>$B$8*100</formula>
    </cfRule>
  </conditionalFormatting>
  <conditionalFormatting sqref="B38">
    <cfRule type="cellIs" dxfId="6496" priority="8" operator="equal">
      <formula>"YES"</formula>
    </cfRule>
    <cfRule type="cellIs" dxfId="6495" priority="9" operator="equal">
      <formula>"NO"</formula>
    </cfRule>
  </conditionalFormatting>
  <conditionalFormatting sqref="E23:E26">
    <cfRule type="cellIs" dxfId="6494" priority="4" operator="equal">
      <formula>"NO"</formula>
    </cfRule>
    <cfRule type="cellIs" dxfId="6493" priority="5" operator="equal">
      <formula>"YES"</formula>
    </cfRule>
  </conditionalFormatting>
  <conditionalFormatting sqref="E29">
    <cfRule type="cellIs" dxfId="6492" priority="1" operator="between">
      <formula>10%</formula>
      <formula>12%</formula>
    </cfRule>
    <cfRule type="cellIs" dxfId="6491" priority="2" operator="lessThan">
      <formula>0.1</formula>
    </cfRule>
    <cfRule type="cellIs" dxfId="6490" priority="3" operator="greaterThan">
      <formula>0.12</formula>
    </cfRule>
  </conditionalFormatting>
  <conditionalFormatting sqref="E28">
    <cfRule type="cellIs" dxfId="6489" priority="6" operator="lessThan">
      <formula>$B$8*100</formula>
    </cfRule>
    <cfRule type="cellIs" dxfId="6488" priority="7" operator="greaterThan">
      <formula>$B$8*100</formula>
    </cfRule>
  </conditionalFormatting>
  <hyperlinks>
    <hyperlink ref="A32" r:id="rId1" display="https://www.zillow.com/homes/recently_sold/" xr:uid="{7A2175AA-FB4A-4314-A0E4-6BECD72C8538}"/>
    <hyperlink ref="A21" r:id="rId2" xr:uid="{A2500149-CA9D-40E4-8C7E-B5B90E998516}"/>
    <hyperlink ref="A25" r:id="rId3" display="www.mortgagecalculator.org" xr:uid="{6C605692-0220-430D-8314-A50E88E87268}"/>
    <hyperlink ref="A12" r:id="rId4" xr:uid="{A65E87B7-3B28-4796-A9AE-5AD26E3E20AA}"/>
  </hyperlinks>
  <pageMargins left="0.7" right="0.7" top="0.75" bottom="0.75" header="0.3" footer="0.3"/>
  <drawing r:id="rId5"/>
  <legacyDrawing r:id="rId6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78A2-DFE1-4E26-A86C-1C87D45C9BFF}">
  <sheetPr codeName="Sheet53">
    <tabColor rgb="FFFF0000"/>
  </sheetPr>
  <dimension ref="A1:P42"/>
  <sheetViews>
    <sheetView topLeftCell="A13" workbookViewId="0">
      <selection activeCell="B22" sqref="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2757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288915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288915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14445.75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274469.25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1778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2889.15</v>
      </c>
      <c r="D22" s="7" t="s">
        <v>77</v>
      </c>
      <c r="E22" s="17">
        <f>B16*0.01</f>
        <v>2889.15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1891.05</v>
      </c>
      <c r="D25" s="7" t="s">
        <v>38</v>
      </c>
      <c r="E25" s="35">
        <f>B25</f>
        <v>1891.05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2157.75</v>
      </c>
      <c r="D26" s="7" t="s">
        <v>41</v>
      </c>
      <c r="E26" s="17">
        <f>E25+I25+I34</f>
        <v>2157.75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-379.75</v>
      </c>
      <c r="D28" s="7" t="s">
        <v>43</v>
      </c>
      <c r="E28" s="44">
        <f>E21-E25-I25-I34+I24+I33</f>
        <v>-1107.75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-0.31545610300607446</v>
      </c>
      <c r="D29" s="46" t="s">
        <v>44</v>
      </c>
      <c r="E29" s="47">
        <f>(E28*12)/B17</f>
        <v>-0.92020144333108356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88.9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88.9</v>
      </c>
    </row>
    <row r="32" spans="1:16" x14ac:dyDescent="0.25">
      <c r="A32" s="26" t="s">
        <v>49</v>
      </c>
      <c r="B32" s="8">
        <f>B16</f>
        <v>288915</v>
      </c>
      <c r="G32" s="27" t="s">
        <v>50</v>
      </c>
      <c r="H32" s="48">
        <v>0.05</v>
      </c>
      <c r="I32" s="49">
        <f>$B$21*H32</f>
        <v>88.9</v>
      </c>
    </row>
    <row r="33" spans="1:9" x14ac:dyDescent="0.25">
      <c r="A33" s="7" t="s">
        <v>51</v>
      </c>
      <c r="B33" s="17">
        <f>B32-B18</f>
        <v>14445.75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266.70000000000005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194.41571875</v>
      </c>
      <c r="D39" s="7"/>
      <c r="E39" s="17"/>
    </row>
    <row r="40" spans="1:9" x14ac:dyDescent="0.25">
      <c r="A40" s="7" t="s">
        <v>58</v>
      </c>
      <c r="B40" s="17">
        <f>B25-B39</f>
        <v>1696.63428125</v>
      </c>
      <c r="D40" s="7"/>
      <c r="E40" s="17"/>
    </row>
    <row r="41" spans="1:9" x14ac:dyDescent="0.25">
      <c r="A41" s="7" t="s">
        <v>59</v>
      </c>
      <c r="B41" s="43">
        <f>B21-B40-I25-I34</f>
        <v>-185.33428125</v>
      </c>
      <c r="D41" s="53"/>
      <c r="E41" s="54"/>
    </row>
    <row r="42" spans="1:9" ht="15.75" thickBot="1" x14ac:dyDescent="0.3">
      <c r="A42" s="46" t="s">
        <v>44</v>
      </c>
      <c r="B42" s="47">
        <f>(B41*12)/B17</f>
        <v>-0.15395610300607446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487" priority="31" operator="equal">
      <formula>"NO"</formula>
    </cfRule>
    <cfRule type="cellIs" dxfId="6486" priority="32" operator="equal">
      <formula>"YES"</formula>
    </cfRule>
  </conditionalFormatting>
  <conditionalFormatting sqref="E38">
    <cfRule type="cellIs" dxfId="6485" priority="29" operator="equal">
      <formula>"YES"</formula>
    </cfRule>
    <cfRule type="cellIs" dxfId="6484" priority="30" operator="equal">
      <formula>"NO"</formula>
    </cfRule>
  </conditionalFormatting>
  <conditionalFormatting sqref="B23">
    <cfRule type="cellIs" dxfId="6483" priority="27" operator="equal">
      <formula>"NO"</formula>
    </cfRule>
    <cfRule type="cellIs" dxfId="6482" priority="28" operator="equal">
      <formula>"YES"</formula>
    </cfRule>
  </conditionalFormatting>
  <conditionalFormatting sqref="B12">
    <cfRule type="containsText" dxfId="6481" priority="13" operator="containsText" text="Low">
      <formula>NOT(ISERROR(SEARCH("Low",B12)))</formula>
    </cfRule>
    <cfRule type="containsText" dxfId="6480" priority="14" operator="containsText" text="Medium">
      <formula>NOT(ISERROR(SEARCH("Medium",B12)))</formula>
    </cfRule>
    <cfRule type="containsText" dxfId="6479" priority="15" operator="containsText" text="High">
      <formula>NOT(ISERROR(SEARCH("High",B12)))</formula>
    </cfRule>
  </conditionalFormatting>
  <conditionalFormatting sqref="B29">
    <cfRule type="cellIs" dxfId="6478" priority="23" operator="between">
      <formula>10%</formula>
      <formula>11.9%</formula>
    </cfRule>
    <cfRule type="cellIs" dxfId="6477" priority="25" operator="lessThan">
      <formula>0.1</formula>
    </cfRule>
    <cfRule type="cellIs" dxfId="6476" priority="26" operator="greaterThanOrEqual">
      <formula>0.12</formula>
    </cfRule>
  </conditionalFormatting>
  <conditionalFormatting sqref="B42">
    <cfRule type="cellIs" dxfId="6475" priority="21" operator="between">
      <formula>0.1</formula>
      <formula>0.1199</formula>
    </cfRule>
    <cfRule type="cellIs" dxfId="6474" priority="22" operator="lessThan">
      <formula>0.1</formula>
    </cfRule>
    <cfRule type="cellIs" dxfId="6473" priority="24" operator="greaterThanOrEqual">
      <formula>0.12</formula>
    </cfRule>
  </conditionalFormatting>
  <conditionalFormatting sqref="B10">
    <cfRule type="containsText" dxfId="6472" priority="16" operator="containsText" text="Full">
      <formula>NOT(ISERROR(SEARCH("Full",B10)))</formula>
    </cfRule>
    <cfRule type="containsText" dxfId="6471" priority="17" operator="containsText" text="Heavy">
      <formula>NOT(ISERROR(SEARCH("Heavy",B10)))</formula>
    </cfRule>
    <cfRule type="containsText" dxfId="6470" priority="18" operator="containsText" text="Medium">
      <formula>NOT(ISERROR(SEARCH("Medium",B10)))</formula>
    </cfRule>
    <cfRule type="containsText" dxfId="6469" priority="19" operator="containsText" text="Light">
      <formula>NOT(ISERROR(SEARCH("Light",B10)))</formula>
    </cfRule>
    <cfRule type="containsText" dxfId="6468" priority="20" operator="containsText" text="None">
      <formula>NOT(ISERROR(SEARCH("None",B10)))</formula>
    </cfRule>
  </conditionalFormatting>
  <conditionalFormatting sqref="E42">
    <cfRule type="cellIs" dxfId="6467" priority="10" operator="between">
      <formula>0.1</formula>
      <formula>0.119</formula>
    </cfRule>
    <cfRule type="cellIs" dxfId="6466" priority="11" operator="lessThan">
      <formula>0.1</formula>
    </cfRule>
    <cfRule type="cellIs" dxfId="6465" priority="12" operator="greaterThanOrEqual">
      <formula>0.12</formula>
    </cfRule>
  </conditionalFormatting>
  <conditionalFormatting sqref="B28">
    <cfRule type="cellIs" dxfId="6464" priority="33" operator="lessThan">
      <formula>$B$8*100</formula>
    </cfRule>
    <cfRule type="cellIs" dxfId="6463" priority="34" operator="greaterThanOrEqual">
      <formula>$B$8*100</formula>
    </cfRule>
  </conditionalFormatting>
  <conditionalFormatting sqref="B41">
    <cfRule type="cellIs" dxfId="6462" priority="35" operator="lessThan">
      <formula>$B$8*100</formula>
    </cfRule>
    <cfRule type="cellIs" dxfId="6461" priority="36" operator="greaterThan">
      <formula>$B$8*100</formula>
    </cfRule>
    <cfRule type="cellIs" dxfId="6460" priority="37" operator="greaterThan">
      <formula>$B$8*100</formula>
    </cfRule>
  </conditionalFormatting>
  <conditionalFormatting sqref="E41">
    <cfRule type="cellIs" dxfId="6459" priority="38" operator="greaterThan">
      <formula>$B$8*100</formula>
    </cfRule>
    <cfRule type="cellIs" dxfId="6458" priority="39" operator="lessThan">
      <formula>$B$8*100</formula>
    </cfRule>
  </conditionalFormatting>
  <conditionalFormatting sqref="B38">
    <cfRule type="cellIs" dxfId="6457" priority="8" operator="equal">
      <formula>"YES"</formula>
    </cfRule>
    <cfRule type="cellIs" dxfId="6456" priority="9" operator="equal">
      <formula>"NO"</formula>
    </cfRule>
  </conditionalFormatting>
  <conditionalFormatting sqref="E23:E26">
    <cfRule type="cellIs" dxfId="6455" priority="4" operator="equal">
      <formula>"NO"</formula>
    </cfRule>
    <cfRule type="cellIs" dxfId="6454" priority="5" operator="equal">
      <formula>"YES"</formula>
    </cfRule>
  </conditionalFormatting>
  <conditionalFormatting sqref="E29">
    <cfRule type="cellIs" dxfId="6453" priority="1" operator="between">
      <formula>10%</formula>
      <formula>12%</formula>
    </cfRule>
    <cfRule type="cellIs" dxfId="6452" priority="2" operator="lessThan">
      <formula>0.1</formula>
    </cfRule>
    <cfRule type="cellIs" dxfId="6451" priority="3" operator="greaterThan">
      <formula>0.12</formula>
    </cfRule>
  </conditionalFormatting>
  <conditionalFormatting sqref="E28">
    <cfRule type="cellIs" dxfId="6450" priority="6" operator="lessThan">
      <formula>$B$8*100</formula>
    </cfRule>
    <cfRule type="cellIs" dxfId="6449" priority="7" operator="greaterThan">
      <formula>$B$8*100</formula>
    </cfRule>
  </conditionalFormatting>
  <hyperlinks>
    <hyperlink ref="A32" r:id="rId1" display="https://www.zillow.com/homes/recently_sold/" xr:uid="{3855B83E-07BF-4913-8789-37089972E25D}"/>
    <hyperlink ref="A21" r:id="rId2" xr:uid="{971FF6A1-0F92-43B1-99E7-51A6CF4384FE}"/>
    <hyperlink ref="A25" r:id="rId3" display="www.mortgagecalculator.org" xr:uid="{C9CA9870-B568-48CB-A7EC-03A46501E512}"/>
    <hyperlink ref="A12" r:id="rId4" xr:uid="{B424C561-E8B1-4ABC-9D7E-02DC8F1DACAA}"/>
  </hyperlinks>
  <pageMargins left="0.7" right="0.7" top="0.75" bottom="0.75" header="0.3" footer="0.3"/>
  <drawing r:id="rId5"/>
  <legacyDrawing r:id="rId6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0EDD8-BA0A-4B45-8772-28992CF26602}">
  <sheetPr codeName="Sheet54">
    <tabColor rgb="FFFF0000"/>
  </sheetPr>
  <dimension ref="A1:P42"/>
  <sheetViews>
    <sheetView topLeftCell="A11" workbookViewId="0">
      <selection activeCell="B25" sqref="B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319900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1399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271915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271915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13595.75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258319.25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2195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2719.15</v>
      </c>
      <c r="D22" s="7" t="s">
        <v>77</v>
      </c>
      <c r="E22" s="17">
        <f>B16*0.01</f>
        <v>2719.15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1910.67</v>
      </c>
      <c r="D25" s="7" t="s">
        <v>38</v>
      </c>
      <c r="E25" s="35">
        <f>B25</f>
        <v>1910.67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2239.92</v>
      </c>
      <c r="D26" s="7" t="s">
        <v>41</v>
      </c>
      <c r="E26" s="17">
        <f>E25+I25+I34</f>
        <v>2239.92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-44.920000000000073</v>
      </c>
      <c r="D28" s="7" t="s">
        <v>43</v>
      </c>
      <c r="E28" s="44">
        <f>E21-E25-I25-I34+I24+I33</f>
        <v>-1189.92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-3.9647684018903027E-2</v>
      </c>
      <c r="D29" s="46" t="s">
        <v>44</v>
      </c>
      <c r="E29" s="47">
        <f>(E28*12)/B17</f>
        <v>-1.0502576172701028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109.75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109.75</v>
      </c>
    </row>
    <row r="32" spans="1:16" x14ac:dyDescent="0.25">
      <c r="A32" s="26" t="s">
        <v>49</v>
      </c>
      <c r="B32" s="8">
        <f>B16</f>
        <v>271915</v>
      </c>
      <c r="G32" s="27" t="s">
        <v>50</v>
      </c>
      <c r="H32" s="48">
        <v>0.05</v>
      </c>
      <c r="I32" s="49">
        <f>$B$21*H32</f>
        <v>109.75</v>
      </c>
    </row>
    <row r="33" spans="1:9" x14ac:dyDescent="0.25">
      <c r="A33" s="7" t="s">
        <v>51</v>
      </c>
      <c r="B33" s="17">
        <f>B32-B18</f>
        <v>13595.75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329.25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182.97613541666669</v>
      </c>
      <c r="D39" s="7"/>
      <c r="E39" s="17"/>
    </row>
    <row r="40" spans="1:9" x14ac:dyDescent="0.25">
      <c r="A40" s="7" t="s">
        <v>58</v>
      </c>
      <c r="B40" s="17">
        <f>B25-B39</f>
        <v>1727.6938645833334</v>
      </c>
      <c r="D40" s="7"/>
      <c r="E40" s="17"/>
    </row>
    <row r="41" spans="1:9" x14ac:dyDescent="0.25">
      <c r="A41" s="7" t="s">
        <v>59</v>
      </c>
      <c r="B41" s="43">
        <f>B21-B40-I25-I34</f>
        <v>138.05613541666662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0.121852315981097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448" priority="31" operator="equal">
      <formula>"NO"</formula>
    </cfRule>
    <cfRule type="cellIs" dxfId="6447" priority="32" operator="equal">
      <formula>"YES"</formula>
    </cfRule>
  </conditionalFormatting>
  <conditionalFormatting sqref="E38">
    <cfRule type="cellIs" dxfId="6446" priority="29" operator="equal">
      <formula>"YES"</formula>
    </cfRule>
    <cfRule type="cellIs" dxfId="6445" priority="30" operator="equal">
      <formula>"NO"</formula>
    </cfRule>
  </conditionalFormatting>
  <conditionalFormatting sqref="B23">
    <cfRule type="cellIs" dxfId="6444" priority="27" operator="equal">
      <formula>"NO"</formula>
    </cfRule>
    <cfRule type="cellIs" dxfId="6443" priority="28" operator="equal">
      <formula>"YES"</formula>
    </cfRule>
  </conditionalFormatting>
  <conditionalFormatting sqref="B12">
    <cfRule type="containsText" dxfId="6442" priority="13" operator="containsText" text="Low">
      <formula>NOT(ISERROR(SEARCH("Low",B12)))</formula>
    </cfRule>
    <cfRule type="containsText" dxfId="6441" priority="14" operator="containsText" text="Medium">
      <formula>NOT(ISERROR(SEARCH("Medium",B12)))</formula>
    </cfRule>
    <cfRule type="containsText" dxfId="6440" priority="15" operator="containsText" text="High">
      <formula>NOT(ISERROR(SEARCH("High",B12)))</formula>
    </cfRule>
  </conditionalFormatting>
  <conditionalFormatting sqref="B29">
    <cfRule type="cellIs" dxfId="6439" priority="23" operator="between">
      <formula>10%</formula>
      <formula>11.9%</formula>
    </cfRule>
    <cfRule type="cellIs" dxfId="6438" priority="25" operator="lessThan">
      <formula>0.1</formula>
    </cfRule>
    <cfRule type="cellIs" dxfId="6437" priority="26" operator="greaterThanOrEqual">
      <formula>0.12</formula>
    </cfRule>
  </conditionalFormatting>
  <conditionalFormatting sqref="B42">
    <cfRule type="cellIs" dxfId="6436" priority="21" operator="between">
      <formula>0.1</formula>
      <formula>0.1199</formula>
    </cfRule>
    <cfRule type="cellIs" dxfId="6435" priority="22" operator="lessThan">
      <formula>0.1</formula>
    </cfRule>
    <cfRule type="cellIs" dxfId="6434" priority="24" operator="greaterThanOrEqual">
      <formula>0.12</formula>
    </cfRule>
  </conditionalFormatting>
  <conditionalFormatting sqref="B10">
    <cfRule type="containsText" dxfId="6433" priority="16" operator="containsText" text="Full">
      <formula>NOT(ISERROR(SEARCH("Full",B10)))</formula>
    </cfRule>
    <cfRule type="containsText" dxfId="6432" priority="17" operator="containsText" text="Heavy">
      <formula>NOT(ISERROR(SEARCH("Heavy",B10)))</formula>
    </cfRule>
    <cfRule type="containsText" dxfId="6431" priority="18" operator="containsText" text="Medium">
      <formula>NOT(ISERROR(SEARCH("Medium",B10)))</formula>
    </cfRule>
    <cfRule type="containsText" dxfId="6430" priority="19" operator="containsText" text="Light">
      <formula>NOT(ISERROR(SEARCH("Light",B10)))</formula>
    </cfRule>
    <cfRule type="containsText" dxfId="6429" priority="20" operator="containsText" text="None">
      <formula>NOT(ISERROR(SEARCH("None",B10)))</formula>
    </cfRule>
  </conditionalFormatting>
  <conditionalFormatting sqref="E42">
    <cfRule type="cellIs" dxfId="6428" priority="10" operator="between">
      <formula>0.1</formula>
      <formula>0.119</formula>
    </cfRule>
    <cfRule type="cellIs" dxfId="6427" priority="11" operator="lessThan">
      <formula>0.1</formula>
    </cfRule>
    <cfRule type="cellIs" dxfId="6426" priority="12" operator="greaterThanOrEqual">
      <formula>0.12</formula>
    </cfRule>
  </conditionalFormatting>
  <conditionalFormatting sqref="B28">
    <cfRule type="cellIs" dxfId="6425" priority="33" operator="lessThan">
      <formula>$B$8*100</formula>
    </cfRule>
    <cfRule type="cellIs" dxfId="6424" priority="34" operator="greaterThanOrEqual">
      <formula>$B$8*100</formula>
    </cfRule>
  </conditionalFormatting>
  <conditionalFormatting sqref="B41">
    <cfRule type="cellIs" dxfId="6423" priority="35" operator="lessThan">
      <formula>$B$8*100</formula>
    </cfRule>
    <cfRule type="cellIs" dxfId="6422" priority="36" operator="greaterThan">
      <formula>$B$8*100</formula>
    </cfRule>
    <cfRule type="cellIs" dxfId="6421" priority="37" operator="greaterThan">
      <formula>$B$8*100</formula>
    </cfRule>
  </conditionalFormatting>
  <conditionalFormatting sqref="E41">
    <cfRule type="cellIs" dxfId="6420" priority="38" operator="greaterThan">
      <formula>$B$8*100</formula>
    </cfRule>
    <cfRule type="cellIs" dxfId="6419" priority="39" operator="lessThan">
      <formula>$B$8*100</formula>
    </cfRule>
  </conditionalFormatting>
  <conditionalFormatting sqref="B38">
    <cfRule type="cellIs" dxfId="6418" priority="8" operator="equal">
      <formula>"YES"</formula>
    </cfRule>
    <cfRule type="cellIs" dxfId="6417" priority="9" operator="equal">
      <formula>"NO"</formula>
    </cfRule>
  </conditionalFormatting>
  <conditionalFormatting sqref="E23:E26">
    <cfRule type="cellIs" dxfId="6416" priority="4" operator="equal">
      <formula>"NO"</formula>
    </cfRule>
    <cfRule type="cellIs" dxfId="6415" priority="5" operator="equal">
      <formula>"YES"</formula>
    </cfRule>
  </conditionalFormatting>
  <conditionalFormatting sqref="E29">
    <cfRule type="cellIs" dxfId="6414" priority="1" operator="between">
      <formula>10%</formula>
      <formula>12%</formula>
    </cfRule>
    <cfRule type="cellIs" dxfId="6413" priority="2" operator="lessThan">
      <formula>0.1</formula>
    </cfRule>
    <cfRule type="cellIs" dxfId="6412" priority="3" operator="greaterThan">
      <formula>0.12</formula>
    </cfRule>
  </conditionalFormatting>
  <conditionalFormatting sqref="E28">
    <cfRule type="cellIs" dxfId="6411" priority="6" operator="lessThan">
      <formula>$B$8*100</formula>
    </cfRule>
    <cfRule type="cellIs" dxfId="6410" priority="7" operator="greaterThan">
      <formula>$B$8*100</formula>
    </cfRule>
  </conditionalFormatting>
  <hyperlinks>
    <hyperlink ref="A32" r:id="rId1" display="https://www.zillow.com/homes/recently_sold/" xr:uid="{98A168F0-D42D-441E-A06A-5058C18FD66F}"/>
    <hyperlink ref="A21" r:id="rId2" xr:uid="{55462C77-077D-4DBB-A5D2-DE1FD31A92F7}"/>
    <hyperlink ref="A25" r:id="rId3" display="www.mortgagecalculator.org" xr:uid="{56F40E19-7C1D-4DAA-B07E-342D68E82AAC}"/>
    <hyperlink ref="A12" r:id="rId4" xr:uid="{F97C1471-4AC4-4A1E-B404-5EA1145EE061}"/>
  </hyperlinks>
  <pageMargins left="0.7" right="0.7" top="0.75" bottom="0.75" header="0.3" footer="0.3"/>
  <drawing r:id="rId5"/>
  <legacyDrawing r:id="rId6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89ED7-9D25-468B-940C-3B4DB577693E}">
  <sheetPr codeName="Sheet55">
    <tabColor rgb="FFFF0000"/>
  </sheetPr>
  <dimension ref="A1:P42"/>
  <sheetViews>
    <sheetView topLeftCell="A11" workbookViewId="0">
      <selection activeCell="B25" sqref="B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1155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203150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203150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10157.5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192992.5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1754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2031.5</v>
      </c>
      <c r="D22" s="7" t="s">
        <v>77</v>
      </c>
      <c r="E22" s="17">
        <f>B16*0.01</f>
        <v>2031.5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1512.24</v>
      </c>
      <c r="D25" s="7" t="s">
        <v>38</v>
      </c>
      <c r="E25" s="35">
        <f>B25</f>
        <v>1512.24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1775.3400000000001</v>
      </c>
      <c r="D26" s="7" t="s">
        <v>41</v>
      </c>
      <c r="E26" s="17">
        <f>E25+I25+I34</f>
        <v>1775.3400000000001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-21.340000000000146</v>
      </c>
      <c r="D28" s="7" t="s">
        <v>43</v>
      </c>
      <c r="E28" s="44">
        <f>E21-E25-I25-I34+I24+I33</f>
        <v>-725.34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-2.5210927885798842E-2</v>
      </c>
      <c r="D29" s="46" t="s">
        <v>44</v>
      </c>
      <c r="E29" s="47">
        <f>(E28*12)/B17</f>
        <v>-0.85691164164410538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87.7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87.7</v>
      </c>
    </row>
    <row r="32" spans="1:16" x14ac:dyDescent="0.25">
      <c r="A32" s="26" t="s">
        <v>49</v>
      </c>
      <c r="B32" s="8">
        <f>B16</f>
        <v>203150</v>
      </c>
      <c r="G32" s="27" t="s">
        <v>50</v>
      </c>
      <c r="H32" s="48">
        <v>0.05</v>
      </c>
      <c r="I32" s="49">
        <f>$B$21*H32</f>
        <v>87.7</v>
      </c>
    </row>
    <row r="33" spans="1:9" x14ac:dyDescent="0.25">
      <c r="A33" s="7" t="s">
        <v>51</v>
      </c>
      <c r="B33" s="17">
        <f>B32-B18</f>
        <v>10157.5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263.10000000000002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136.70302083333334</v>
      </c>
      <c r="D39" s="7"/>
      <c r="E39" s="17"/>
    </row>
    <row r="40" spans="1:9" x14ac:dyDescent="0.25">
      <c r="A40" s="7" t="s">
        <v>58</v>
      </c>
      <c r="B40" s="17">
        <f>B25-B39</f>
        <v>1375.5369791666667</v>
      </c>
      <c r="D40" s="7"/>
      <c r="E40" s="17"/>
    </row>
    <row r="41" spans="1:9" x14ac:dyDescent="0.25">
      <c r="A41" s="7" t="s">
        <v>59</v>
      </c>
      <c r="B41" s="43">
        <f>B21-B40-I25-I34</f>
        <v>115.36302083333328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0.13628907211420127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409" priority="31" operator="equal">
      <formula>"NO"</formula>
    </cfRule>
    <cfRule type="cellIs" dxfId="6408" priority="32" operator="equal">
      <formula>"YES"</formula>
    </cfRule>
  </conditionalFormatting>
  <conditionalFormatting sqref="E38">
    <cfRule type="cellIs" dxfId="6407" priority="29" operator="equal">
      <formula>"YES"</formula>
    </cfRule>
    <cfRule type="cellIs" dxfId="6406" priority="30" operator="equal">
      <formula>"NO"</formula>
    </cfRule>
  </conditionalFormatting>
  <conditionalFormatting sqref="B23">
    <cfRule type="cellIs" dxfId="6405" priority="27" operator="equal">
      <formula>"NO"</formula>
    </cfRule>
    <cfRule type="cellIs" dxfId="6404" priority="28" operator="equal">
      <formula>"YES"</formula>
    </cfRule>
  </conditionalFormatting>
  <conditionalFormatting sqref="B12">
    <cfRule type="containsText" dxfId="6403" priority="13" operator="containsText" text="Low">
      <formula>NOT(ISERROR(SEARCH("Low",B12)))</formula>
    </cfRule>
    <cfRule type="containsText" dxfId="6402" priority="14" operator="containsText" text="Medium">
      <formula>NOT(ISERROR(SEARCH("Medium",B12)))</formula>
    </cfRule>
    <cfRule type="containsText" dxfId="6401" priority="15" operator="containsText" text="High">
      <formula>NOT(ISERROR(SEARCH("High",B12)))</formula>
    </cfRule>
  </conditionalFormatting>
  <conditionalFormatting sqref="B29">
    <cfRule type="cellIs" dxfId="6400" priority="23" operator="between">
      <formula>10%</formula>
      <formula>11.9%</formula>
    </cfRule>
    <cfRule type="cellIs" dxfId="6399" priority="25" operator="lessThan">
      <formula>0.1</formula>
    </cfRule>
    <cfRule type="cellIs" dxfId="6398" priority="26" operator="greaterThanOrEqual">
      <formula>0.12</formula>
    </cfRule>
  </conditionalFormatting>
  <conditionalFormatting sqref="B42">
    <cfRule type="cellIs" dxfId="6397" priority="21" operator="between">
      <formula>0.1</formula>
      <formula>0.1199</formula>
    </cfRule>
    <cfRule type="cellIs" dxfId="6396" priority="22" operator="lessThan">
      <formula>0.1</formula>
    </cfRule>
    <cfRule type="cellIs" dxfId="6395" priority="24" operator="greaterThanOrEqual">
      <formula>0.12</formula>
    </cfRule>
  </conditionalFormatting>
  <conditionalFormatting sqref="B10">
    <cfRule type="containsText" dxfId="6394" priority="16" operator="containsText" text="Full">
      <formula>NOT(ISERROR(SEARCH("Full",B10)))</formula>
    </cfRule>
    <cfRule type="containsText" dxfId="6393" priority="17" operator="containsText" text="Heavy">
      <formula>NOT(ISERROR(SEARCH("Heavy",B10)))</formula>
    </cfRule>
    <cfRule type="containsText" dxfId="6392" priority="18" operator="containsText" text="Medium">
      <formula>NOT(ISERROR(SEARCH("Medium",B10)))</formula>
    </cfRule>
    <cfRule type="containsText" dxfId="6391" priority="19" operator="containsText" text="Light">
      <formula>NOT(ISERROR(SEARCH("Light",B10)))</formula>
    </cfRule>
    <cfRule type="containsText" dxfId="6390" priority="20" operator="containsText" text="None">
      <formula>NOT(ISERROR(SEARCH("None",B10)))</formula>
    </cfRule>
  </conditionalFormatting>
  <conditionalFormatting sqref="E42">
    <cfRule type="cellIs" dxfId="6389" priority="10" operator="between">
      <formula>0.1</formula>
      <formula>0.119</formula>
    </cfRule>
    <cfRule type="cellIs" dxfId="6388" priority="11" operator="lessThan">
      <formula>0.1</formula>
    </cfRule>
    <cfRule type="cellIs" dxfId="6387" priority="12" operator="greaterThanOrEqual">
      <formula>0.12</formula>
    </cfRule>
  </conditionalFormatting>
  <conditionalFormatting sqref="B28">
    <cfRule type="cellIs" dxfId="6386" priority="33" operator="lessThan">
      <formula>$B$8*100</formula>
    </cfRule>
    <cfRule type="cellIs" dxfId="6385" priority="34" operator="greaterThanOrEqual">
      <formula>$B$8*100</formula>
    </cfRule>
  </conditionalFormatting>
  <conditionalFormatting sqref="B41">
    <cfRule type="cellIs" dxfId="6384" priority="35" operator="lessThan">
      <formula>$B$8*100</formula>
    </cfRule>
    <cfRule type="cellIs" dxfId="6383" priority="36" operator="greaterThan">
      <formula>$B$8*100</formula>
    </cfRule>
    <cfRule type="cellIs" dxfId="6382" priority="37" operator="greaterThan">
      <formula>$B$8*100</formula>
    </cfRule>
  </conditionalFormatting>
  <conditionalFormatting sqref="E41">
    <cfRule type="cellIs" dxfId="6381" priority="38" operator="greaterThan">
      <formula>$B$8*100</formula>
    </cfRule>
    <cfRule type="cellIs" dxfId="6380" priority="39" operator="lessThan">
      <formula>$B$8*100</formula>
    </cfRule>
  </conditionalFormatting>
  <conditionalFormatting sqref="B38">
    <cfRule type="cellIs" dxfId="6379" priority="8" operator="equal">
      <formula>"YES"</formula>
    </cfRule>
    <cfRule type="cellIs" dxfId="6378" priority="9" operator="equal">
      <formula>"NO"</formula>
    </cfRule>
  </conditionalFormatting>
  <conditionalFormatting sqref="E23:E26">
    <cfRule type="cellIs" dxfId="6377" priority="4" operator="equal">
      <formula>"NO"</formula>
    </cfRule>
    <cfRule type="cellIs" dxfId="6376" priority="5" operator="equal">
      <formula>"YES"</formula>
    </cfRule>
  </conditionalFormatting>
  <conditionalFormatting sqref="E29">
    <cfRule type="cellIs" dxfId="6375" priority="1" operator="between">
      <formula>10%</formula>
      <formula>12%</formula>
    </cfRule>
    <cfRule type="cellIs" dxfId="6374" priority="2" operator="lessThan">
      <formula>0.1</formula>
    </cfRule>
    <cfRule type="cellIs" dxfId="6373" priority="3" operator="greaterThan">
      <formula>0.12</formula>
    </cfRule>
  </conditionalFormatting>
  <conditionalFormatting sqref="E28">
    <cfRule type="cellIs" dxfId="6372" priority="6" operator="lessThan">
      <formula>$B$8*100</formula>
    </cfRule>
    <cfRule type="cellIs" dxfId="6371" priority="7" operator="greaterThan">
      <formula>$B$8*100</formula>
    </cfRule>
  </conditionalFormatting>
  <hyperlinks>
    <hyperlink ref="A32" r:id="rId1" display="https://www.zillow.com/homes/recently_sold/" xr:uid="{7FE2C70C-83D1-4A9A-80C9-CEEF2F08B92D}"/>
    <hyperlink ref="A21" r:id="rId2" xr:uid="{B7C54238-B758-42D6-8BAC-B63D8C965A4E}"/>
    <hyperlink ref="A25" r:id="rId3" display="www.mortgagecalculator.org" xr:uid="{5EF85451-3CA8-4A29-9366-32DF1F76C007}"/>
    <hyperlink ref="A12" r:id="rId4" xr:uid="{34C99777-FB1A-4E48-8D86-38E15B4B0F71}"/>
  </hyperlinks>
  <pageMargins left="0.7" right="0.7" top="0.75" bottom="0.75" header="0.3" footer="0.3"/>
  <drawing r:id="rId5"/>
  <legacyDrawing r:id="rId6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ED94-9994-480C-8486-190F74B29863}">
  <sheetPr codeName="Sheet56">
    <tabColor rgb="FF00B05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221500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221500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11075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210425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2069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2215</v>
      </c>
      <c r="D22" s="7" t="s">
        <v>77</v>
      </c>
      <c r="E22" s="17">
        <f>B16*0.01</f>
        <v>2215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1568.08</v>
      </c>
      <c r="D25" s="7" t="s">
        <v>38</v>
      </c>
      <c r="E25" s="35">
        <f>B25</f>
        <v>1568.08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1878.4299999999998</v>
      </c>
      <c r="D26" s="7" t="s">
        <v>41</v>
      </c>
      <c r="E26" s="17">
        <f>E25+I25+I34</f>
        <v>1878.4299999999998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190.57000000000016</v>
      </c>
      <c r="D28" s="7" t="s">
        <v>43</v>
      </c>
      <c r="E28" s="44">
        <f>E21-E25-I25-I34+I24+I33</f>
        <v>-828.43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0.2064866817155758</v>
      </c>
      <c r="D29" s="46" t="s">
        <v>44</v>
      </c>
      <c r="E29" s="47">
        <f>(E28*12)/B17</f>
        <v>-0.89762167042889385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103.45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103.45</v>
      </c>
    </row>
    <row r="32" spans="1:16" x14ac:dyDescent="0.25">
      <c r="A32" s="26" t="s">
        <v>49</v>
      </c>
      <c r="B32" s="8">
        <f>B16</f>
        <v>221500</v>
      </c>
      <c r="G32" s="27" t="s">
        <v>50</v>
      </c>
      <c r="H32" s="48">
        <v>0.05</v>
      </c>
      <c r="I32" s="49">
        <f>$B$21*H32</f>
        <v>103.45</v>
      </c>
    </row>
    <row r="33" spans="1:9" x14ac:dyDescent="0.25">
      <c r="A33" s="7" t="s">
        <v>51</v>
      </c>
      <c r="B33" s="17">
        <f>B32-B18</f>
        <v>11075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310.35000000000002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149.05104166666669</v>
      </c>
      <c r="D39" s="7"/>
      <c r="E39" s="17"/>
    </row>
    <row r="40" spans="1:9" x14ac:dyDescent="0.25">
      <c r="A40" s="7" t="s">
        <v>58</v>
      </c>
      <c r="B40" s="17">
        <f>B25-B39</f>
        <v>1419.0289583333333</v>
      </c>
      <c r="D40" s="7"/>
      <c r="E40" s="17"/>
    </row>
    <row r="41" spans="1:9" x14ac:dyDescent="0.25">
      <c r="A41" s="7" t="s">
        <v>59</v>
      </c>
      <c r="B41" s="43">
        <f>B21-B40-I25-I34</f>
        <v>339.62104166666666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0.36798668171557564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370" priority="31" operator="equal">
      <formula>"NO"</formula>
    </cfRule>
    <cfRule type="cellIs" dxfId="6369" priority="32" operator="equal">
      <formula>"YES"</formula>
    </cfRule>
  </conditionalFormatting>
  <conditionalFormatting sqref="E38">
    <cfRule type="cellIs" dxfId="6368" priority="29" operator="equal">
      <formula>"YES"</formula>
    </cfRule>
    <cfRule type="cellIs" dxfId="6367" priority="30" operator="equal">
      <formula>"NO"</formula>
    </cfRule>
  </conditionalFormatting>
  <conditionalFormatting sqref="B23">
    <cfRule type="cellIs" dxfId="6366" priority="27" operator="equal">
      <formula>"NO"</formula>
    </cfRule>
    <cfRule type="cellIs" dxfId="6365" priority="28" operator="equal">
      <formula>"YES"</formula>
    </cfRule>
  </conditionalFormatting>
  <conditionalFormatting sqref="B12">
    <cfRule type="containsText" dxfId="6364" priority="13" operator="containsText" text="Low">
      <formula>NOT(ISERROR(SEARCH("Low",B12)))</formula>
    </cfRule>
    <cfRule type="containsText" dxfId="6363" priority="14" operator="containsText" text="Medium">
      <formula>NOT(ISERROR(SEARCH("Medium",B12)))</formula>
    </cfRule>
    <cfRule type="containsText" dxfId="6362" priority="15" operator="containsText" text="High">
      <formula>NOT(ISERROR(SEARCH("High",B12)))</formula>
    </cfRule>
  </conditionalFormatting>
  <conditionalFormatting sqref="B29">
    <cfRule type="cellIs" dxfId="6361" priority="23" operator="between">
      <formula>10%</formula>
      <formula>11.9%</formula>
    </cfRule>
    <cfRule type="cellIs" dxfId="6360" priority="25" operator="lessThan">
      <formula>0.1</formula>
    </cfRule>
    <cfRule type="cellIs" dxfId="6359" priority="26" operator="greaterThanOrEqual">
      <formula>0.12</formula>
    </cfRule>
  </conditionalFormatting>
  <conditionalFormatting sqref="B42">
    <cfRule type="cellIs" dxfId="6358" priority="21" operator="between">
      <formula>0.1</formula>
      <formula>0.1199</formula>
    </cfRule>
    <cfRule type="cellIs" dxfId="6357" priority="22" operator="lessThan">
      <formula>0.1</formula>
    </cfRule>
    <cfRule type="cellIs" dxfId="6356" priority="24" operator="greaterThanOrEqual">
      <formula>0.12</formula>
    </cfRule>
  </conditionalFormatting>
  <conditionalFormatting sqref="B10">
    <cfRule type="containsText" dxfId="6355" priority="16" operator="containsText" text="Full">
      <formula>NOT(ISERROR(SEARCH("Full",B10)))</formula>
    </cfRule>
    <cfRule type="containsText" dxfId="6354" priority="17" operator="containsText" text="Heavy">
      <formula>NOT(ISERROR(SEARCH("Heavy",B10)))</formula>
    </cfRule>
    <cfRule type="containsText" dxfId="6353" priority="18" operator="containsText" text="Medium">
      <formula>NOT(ISERROR(SEARCH("Medium",B10)))</formula>
    </cfRule>
    <cfRule type="containsText" dxfId="6352" priority="19" operator="containsText" text="Light">
      <formula>NOT(ISERROR(SEARCH("Light",B10)))</formula>
    </cfRule>
    <cfRule type="containsText" dxfId="6351" priority="20" operator="containsText" text="None">
      <formula>NOT(ISERROR(SEARCH("None",B10)))</formula>
    </cfRule>
  </conditionalFormatting>
  <conditionalFormatting sqref="E42">
    <cfRule type="cellIs" dxfId="6350" priority="10" operator="between">
      <formula>0.1</formula>
      <formula>0.119</formula>
    </cfRule>
    <cfRule type="cellIs" dxfId="6349" priority="11" operator="lessThan">
      <formula>0.1</formula>
    </cfRule>
    <cfRule type="cellIs" dxfId="6348" priority="12" operator="greaterThanOrEqual">
      <formula>0.12</formula>
    </cfRule>
  </conditionalFormatting>
  <conditionalFormatting sqref="B28">
    <cfRule type="cellIs" dxfId="6347" priority="33" operator="lessThan">
      <formula>$B$8*100</formula>
    </cfRule>
    <cfRule type="cellIs" dxfId="6346" priority="34" operator="greaterThanOrEqual">
      <formula>$B$8*100</formula>
    </cfRule>
  </conditionalFormatting>
  <conditionalFormatting sqref="B41">
    <cfRule type="cellIs" dxfId="6345" priority="35" operator="lessThan">
      <formula>$B$8*100</formula>
    </cfRule>
    <cfRule type="cellIs" dxfId="6344" priority="36" operator="greaterThan">
      <formula>$B$8*100</formula>
    </cfRule>
    <cfRule type="cellIs" dxfId="6343" priority="37" operator="greaterThan">
      <formula>$B$8*100</formula>
    </cfRule>
  </conditionalFormatting>
  <conditionalFormatting sqref="E41">
    <cfRule type="cellIs" dxfId="6342" priority="38" operator="greaterThan">
      <formula>$B$8*100</formula>
    </cfRule>
    <cfRule type="cellIs" dxfId="6341" priority="39" operator="lessThan">
      <formula>$B$8*100</formula>
    </cfRule>
  </conditionalFormatting>
  <conditionalFormatting sqref="B38">
    <cfRule type="cellIs" dxfId="6340" priority="8" operator="equal">
      <formula>"YES"</formula>
    </cfRule>
    <cfRule type="cellIs" dxfId="6339" priority="9" operator="equal">
      <formula>"NO"</formula>
    </cfRule>
  </conditionalFormatting>
  <conditionalFormatting sqref="E23:E26">
    <cfRule type="cellIs" dxfId="6338" priority="4" operator="equal">
      <formula>"NO"</formula>
    </cfRule>
    <cfRule type="cellIs" dxfId="6337" priority="5" operator="equal">
      <formula>"YES"</formula>
    </cfRule>
  </conditionalFormatting>
  <conditionalFormatting sqref="E29">
    <cfRule type="cellIs" dxfId="6336" priority="1" operator="between">
      <formula>10%</formula>
      <formula>12%</formula>
    </cfRule>
    <cfRule type="cellIs" dxfId="6335" priority="2" operator="lessThan">
      <formula>0.1</formula>
    </cfRule>
    <cfRule type="cellIs" dxfId="6334" priority="3" operator="greaterThan">
      <formula>0.12</formula>
    </cfRule>
  </conditionalFormatting>
  <conditionalFormatting sqref="E28">
    <cfRule type="cellIs" dxfId="6333" priority="6" operator="lessThan">
      <formula>$B$8*100</formula>
    </cfRule>
    <cfRule type="cellIs" dxfId="6332" priority="7" operator="greaterThan">
      <formula>$B$8*100</formula>
    </cfRule>
  </conditionalFormatting>
  <hyperlinks>
    <hyperlink ref="A32" r:id="rId1" display="https://www.zillow.com/homes/recently_sold/" xr:uid="{44E7311A-ED91-484D-AC9D-A9E98469B341}"/>
    <hyperlink ref="A21" r:id="rId2" xr:uid="{BB309265-61EC-4FC1-99CE-A312AD1F32DA}"/>
    <hyperlink ref="A25" r:id="rId3" display="www.mortgagecalculator.org" xr:uid="{9E36AB55-C2B4-4E7A-B424-489FE41BBBE6}"/>
    <hyperlink ref="A12" r:id="rId4" xr:uid="{CD6E4DBB-988A-4398-BB60-FBD6EF97BAAE}"/>
  </hyperlinks>
  <pageMargins left="0.7" right="0.7" top="0.75" bottom="0.75" header="0.3" footer="0.3"/>
  <drawing r:id="rId5"/>
  <legacyDrawing r:id="rId6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9F28-F97A-408B-891D-AFB9377F7097}">
  <sheetPr codeName="Sheet57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1396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135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199750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199750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9987.5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189762.5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1764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1997.5</v>
      </c>
      <c r="D22" s="7" t="s">
        <v>77</v>
      </c>
      <c r="E22" s="17">
        <f>B16*0.01</f>
        <v>1997.5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1402.12</v>
      </c>
      <c r="D25" s="7" t="s">
        <v>38</v>
      </c>
      <c r="E25" s="35">
        <f>B25</f>
        <v>1402.12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1666.7199999999998</v>
      </c>
      <c r="D26" s="7" t="s">
        <v>41</v>
      </c>
      <c r="E26" s="17">
        <f>E25+I25+I34</f>
        <v>1666.7199999999998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97.2800000000002</v>
      </c>
      <c r="D28" s="7" t="s">
        <v>43</v>
      </c>
      <c r="E28" s="44">
        <f>E21-E25-I25-I34+I24+I33</f>
        <v>-616.71999999999991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0.11688210262828559</v>
      </c>
      <c r="D29" s="46" t="s">
        <v>44</v>
      </c>
      <c r="E29" s="47">
        <f>(E28*12)/B17</f>
        <v>-0.74099023779724649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88.2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88.2</v>
      </c>
    </row>
    <row r="32" spans="1:16" x14ac:dyDescent="0.25">
      <c r="A32" s="26" t="s">
        <v>49</v>
      </c>
      <c r="B32" s="8">
        <f>B16</f>
        <v>199750</v>
      </c>
      <c r="G32" s="27" t="s">
        <v>50</v>
      </c>
      <c r="H32" s="48">
        <v>0.05</v>
      </c>
      <c r="I32" s="49">
        <f>$B$21*H32</f>
        <v>88.2</v>
      </c>
    </row>
    <row r="33" spans="1:9" x14ac:dyDescent="0.25">
      <c r="A33" s="7" t="s">
        <v>51</v>
      </c>
      <c r="B33" s="17">
        <f>B32-B18</f>
        <v>9987.5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264.60000000000002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134.41510416666668</v>
      </c>
      <c r="D39" s="7"/>
      <c r="E39" s="17"/>
    </row>
    <row r="40" spans="1:9" x14ac:dyDescent="0.25">
      <c r="A40" s="7" t="s">
        <v>58</v>
      </c>
      <c r="B40" s="17">
        <f>B25-B39</f>
        <v>1267.7048958333332</v>
      </c>
      <c r="D40" s="7"/>
      <c r="E40" s="17"/>
    </row>
    <row r="41" spans="1:9" x14ac:dyDescent="0.25">
      <c r="A41" s="7" t="s">
        <v>59</v>
      </c>
      <c r="B41" s="43">
        <f>B21-B40-I25-I34</f>
        <v>231.69510416666674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0.27838210262828544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331" priority="31" operator="equal">
      <formula>"NO"</formula>
    </cfRule>
    <cfRule type="cellIs" dxfId="6330" priority="32" operator="equal">
      <formula>"YES"</formula>
    </cfRule>
  </conditionalFormatting>
  <conditionalFormatting sqref="E38">
    <cfRule type="cellIs" dxfId="6329" priority="29" operator="equal">
      <formula>"YES"</formula>
    </cfRule>
    <cfRule type="cellIs" dxfId="6328" priority="30" operator="equal">
      <formula>"NO"</formula>
    </cfRule>
  </conditionalFormatting>
  <conditionalFormatting sqref="B23">
    <cfRule type="cellIs" dxfId="6327" priority="27" operator="equal">
      <formula>"NO"</formula>
    </cfRule>
    <cfRule type="cellIs" dxfId="6326" priority="28" operator="equal">
      <formula>"YES"</formula>
    </cfRule>
  </conditionalFormatting>
  <conditionalFormatting sqref="B12">
    <cfRule type="containsText" dxfId="6325" priority="13" operator="containsText" text="Low">
      <formula>NOT(ISERROR(SEARCH("Low",B12)))</formula>
    </cfRule>
    <cfRule type="containsText" dxfId="6324" priority="14" operator="containsText" text="Medium">
      <formula>NOT(ISERROR(SEARCH("Medium",B12)))</formula>
    </cfRule>
    <cfRule type="containsText" dxfId="6323" priority="15" operator="containsText" text="High">
      <formula>NOT(ISERROR(SEARCH("High",B12)))</formula>
    </cfRule>
  </conditionalFormatting>
  <conditionalFormatting sqref="B29">
    <cfRule type="cellIs" dxfId="6322" priority="23" operator="between">
      <formula>10%</formula>
      <formula>11.9%</formula>
    </cfRule>
    <cfRule type="cellIs" dxfId="6321" priority="25" operator="lessThan">
      <formula>0.1</formula>
    </cfRule>
    <cfRule type="cellIs" dxfId="6320" priority="26" operator="greaterThanOrEqual">
      <formula>0.12</formula>
    </cfRule>
  </conditionalFormatting>
  <conditionalFormatting sqref="B42">
    <cfRule type="cellIs" dxfId="6319" priority="21" operator="between">
      <formula>0.1</formula>
      <formula>0.1199</formula>
    </cfRule>
    <cfRule type="cellIs" dxfId="6318" priority="22" operator="lessThan">
      <formula>0.1</formula>
    </cfRule>
    <cfRule type="cellIs" dxfId="6317" priority="24" operator="greaterThanOrEqual">
      <formula>0.12</formula>
    </cfRule>
  </conditionalFormatting>
  <conditionalFormatting sqref="B10">
    <cfRule type="containsText" dxfId="6316" priority="16" operator="containsText" text="Full">
      <formula>NOT(ISERROR(SEARCH("Full",B10)))</formula>
    </cfRule>
    <cfRule type="containsText" dxfId="6315" priority="17" operator="containsText" text="Heavy">
      <formula>NOT(ISERROR(SEARCH("Heavy",B10)))</formula>
    </cfRule>
    <cfRule type="containsText" dxfId="6314" priority="18" operator="containsText" text="Medium">
      <formula>NOT(ISERROR(SEARCH("Medium",B10)))</formula>
    </cfRule>
    <cfRule type="containsText" dxfId="6313" priority="19" operator="containsText" text="Light">
      <formula>NOT(ISERROR(SEARCH("Light",B10)))</formula>
    </cfRule>
    <cfRule type="containsText" dxfId="6312" priority="20" operator="containsText" text="None">
      <formula>NOT(ISERROR(SEARCH("None",B10)))</formula>
    </cfRule>
  </conditionalFormatting>
  <conditionalFormatting sqref="E42">
    <cfRule type="cellIs" dxfId="6311" priority="10" operator="between">
      <formula>0.1</formula>
      <formula>0.119</formula>
    </cfRule>
    <cfRule type="cellIs" dxfId="6310" priority="11" operator="lessThan">
      <formula>0.1</formula>
    </cfRule>
    <cfRule type="cellIs" dxfId="6309" priority="12" operator="greaterThanOrEqual">
      <formula>0.12</formula>
    </cfRule>
  </conditionalFormatting>
  <conditionalFormatting sqref="B28">
    <cfRule type="cellIs" dxfId="6308" priority="33" operator="lessThan">
      <formula>$B$8*100</formula>
    </cfRule>
    <cfRule type="cellIs" dxfId="6307" priority="34" operator="greaterThanOrEqual">
      <formula>$B$8*100</formula>
    </cfRule>
  </conditionalFormatting>
  <conditionalFormatting sqref="B41">
    <cfRule type="cellIs" dxfId="6306" priority="35" operator="lessThan">
      <formula>$B$8*100</formula>
    </cfRule>
    <cfRule type="cellIs" dxfId="6305" priority="36" operator="greaterThan">
      <formula>$B$8*100</formula>
    </cfRule>
    <cfRule type="cellIs" dxfId="6304" priority="37" operator="greaterThan">
      <formula>$B$8*100</formula>
    </cfRule>
  </conditionalFormatting>
  <conditionalFormatting sqref="E41">
    <cfRule type="cellIs" dxfId="6303" priority="38" operator="greaterThan">
      <formula>$B$8*100</formula>
    </cfRule>
    <cfRule type="cellIs" dxfId="6302" priority="39" operator="lessThan">
      <formula>$B$8*100</formula>
    </cfRule>
  </conditionalFormatting>
  <conditionalFormatting sqref="B38">
    <cfRule type="cellIs" dxfId="6301" priority="8" operator="equal">
      <formula>"YES"</formula>
    </cfRule>
    <cfRule type="cellIs" dxfId="6300" priority="9" operator="equal">
      <formula>"NO"</formula>
    </cfRule>
  </conditionalFormatting>
  <conditionalFormatting sqref="E23:E26">
    <cfRule type="cellIs" dxfId="6299" priority="4" operator="equal">
      <formula>"NO"</formula>
    </cfRule>
    <cfRule type="cellIs" dxfId="6298" priority="5" operator="equal">
      <formula>"YES"</formula>
    </cfRule>
  </conditionalFormatting>
  <conditionalFormatting sqref="E29">
    <cfRule type="cellIs" dxfId="6297" priority="1" operator="between">
      <formula>10%</formula>
      <formula>12%</formula>
    </cfRule>
    <cfRule type="cellIs" dxfId="6296" priority="2" operator="lessThan">
      <formula>0.1</formula>
    </cfRule>
    <cfRule type="cellIs" dxfId="6295" priority="3" operator="greaterThan">
      <formula>0.12</formula>
    </cfRule>
  </conditionalFormatting>
  <conditionalFormatting sqref="E28">
    <cfRule type="cellIs" dxfId="6294" priority="6" operator="lessThan">
      <formula>$B$8*100</formula>
    </cfRule>
    <cfRule type="cellIs" dxfId="6293" priority="7" operator="greaterThan">
      <formula>$B$8*100</formula>
    </cfRule>
  </conditionalFormatting>
  <hyperlinks>
    <hyperlink ref="A32" r:id="rId1" display="https://www.zillow.com/homes/recently_sold/" xr:uid="{936EB378-760A-46B8-81EF-6FD83477E336}"/>
    <hyperlink ref="A21" r:id="rId2" xr:uid="{F4E0A1F8-3118-46ED-991E-BBFA74BA08F7}"/>
    <hyperlink ref="A25" r:id="rId3" display="www.mortgagecalculator.org" xr:uid="{29F29F63-1314-47D4-9698-6919B57E87AA}"/>
    <hyperlink ref="A12" r:id="rId4" xr:uid="{6FCD0AEF-F7CC-47B6-8B75-80FDE8AF6F08}"/>
  </hyperlinks>
  <pageMargins left="0.7" right="0.7" top="0.75" bottom="0.75" header="0.3" footer="0.3"/>
  <drawing r:id="rId5"/>
  <legacyDrawing r:id="rId6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18F23-1B5B-47E8-9434-FF7B4BB6A69D}">
  <sheetPr codeName="Sheet58">
    <tabColor rgb="FF00B05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1280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161415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161415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8070.75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153344.25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1499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1614.15</v>
      </c>
      <c r="D22" s="7" t="s">
        <v>77</v>
      </c>
      <c r="E22" s="17">
        <f>B16*0.01</f>
        <v>1614.15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1109.42</v>
      </c>
      <c r="D25" s="7" t="s">
        <v>38</v>
      </c>
      <c r="E25" s="35">
        <f>B25</f>
        <v>1109.42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1334.27</v>
      </c>
      <c r="D26" s="7" t="s">
        <v>41</v>
      </c>
      <c r="E26" s="17">
        <f>E25+I25+I34</f>
        <v>1334.27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164.73000000000002</v>
      </c>
      <c r="D28" s="7" t="s">
        <v>43</v>
      </c>
      <c r="E28" s="44">
        <f>E21-E25-I25-I34+I24+I33</f>
        <v>-284.2700000000001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0.24492890995260666</v>
      </c>
      <c r="D29" s="46" t="s">
        <v>44</v>
      </c>
      <c r="E29" s="47">
        <f>(E28*12)/B17</f>
        <v>-0.42266703837933289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74.95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74.95</v>
      </c>
    </row>
    <row r="32" spans="1:16" x14ac:dyDescent="0.25">
      <c r="A32" s="26" t="s">
        <v>49</v>
      </c>
      <c r="B32" s="8">
        <f>B16</f>
        <v>161415</v>
      </c>
      <c r="G32" s="27" t="s">
        <v>50</v>
      </c>
      <c r="H32" s="48">
        <v>0.05</v>
      </c>
      <c r="I32" s="49">
        <f>$B$21*H32</f>
        <v>74.95</v>
      </c>
    </row>
    <row r="33" spans="1:9" x14ac:dyDescent="0.25">
      <c r="A33" s="7" t="s">
        <v>51</v>
      </c>
      <c r="B33" s="17">
        <f>B32-B18</f>
        <v>8070.75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224.85000000000002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108.61884375000001</v>
      </c>
      <c r="D39" s="7"/>
      <c r="E39" s="17"/>
    </row>
    <row r="40" spans="1:9" x14ac:dyDescent="0.25">
      <c r="A40" s="7" t="s">
        <v>58</v>
      </c>
      <c r="B40" s="17">
        <f>B25-B39</f>
        <v>1000.8011562500001</v>
      </c>
      <c r="D40" s="7"/>
      <c r="E40" s="17"/>
    </row>
    <row r="41" spans="1:9" x14ac:dyDescent="0.25">
      <c r="A41" s="7" t="s">
        <v>59</v>
      </c>
      <c r="B41" s="43">
        <f>B21-B40-I25-I34</f>
        <v>273.3488437499999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0.4064289099526065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292" priority="31" operator="equal">
      <formula>"NO"</formula>
    </cfRule>
    <cfRule type="cellIs" dxfId="6291" priority="32" operator="equal">
      <formula>"YES"</formula>
    </cfRule>
  </conditionalFormatting>
  <conditionalFormatting sqref="E38">
    <cfRule type="cellIs" dxfId="6290" priority="29" operator="equal">
      <formula>"YES"</formula>
    </cfRule>
    <cfRule type="cellIs" dxfId="6289" priority="30" operator="equal">
      <formula>"NO"</formula>
    </cfRule>
  </conditionalFormatting>
  <conditionalFormatting sqref="B23">
    <cfRule type="cellIs" dxfId="6288" priority="27" operator="equal">
      <formula>"NO"</formula>
    </cfRule>
    <cfRule type="cellIs" dxfId="6287" priority="28" operator="equal">
      <formula>"YES"</formula>
    </cfRule>
  </conditionalFormatting>
  <conditionalFormatting sqref="B12">
    <cfRule type="containsText" dxfId="6286" priority="13" operator="containsText" text="Low">
      <formula>NOT(ISERROR(SEARCH("Low",B12)))</formula>
    </cfRule>
    <cfRule type="containsText" dxfId="6285" priority="14" operator="containsText" text="Medium">
      <formula>NOT(ISERROR(SEARCH("Medium",B12)))</formula>
    </cfRule>
    <cfRule type="containsText" dxfId="6284" priority="15" operator="containsText" text="High">
      <formula>NOT(ISERROR(SEARCH("High",B12)))</formula>
    </cfRule>
  </conditionalFormatting>
  <conditionalFormatting sqref="B29">
    <cfRule type="cellIs" dxfId="6283" priority="23" operator="between">
      <formula>10%</formula>
      <formula>11.9%</formula>
    </cfRule>
    <cfRule type="cellIs" dxfId="6282" priority="25" operator="lessThan">
      <formula>0.1</formula>
    </cfRule>
    <cfRule type="cellIs" dxfId="6281" priority="26" operator="greaterThanOrEqual">
      <formula>0.12</formula>
    </cfRule>
  </conditionalFormatting>
  <conditionalFormatting sqref="B42">
    <cfRule type="cellIs" dxfId="6280" priority="21" operator="between">
      <formula>0.1</formula>
      <formula>0.1199</formula>
    </cfRule>
    <cfRule type="cellIs" dxfId="6279" priority="22" operator="lessThan">
      <formula>0.1</formula>
    </cfRule>
    <cfRule type="cellIs" dxfId="6278" priority="24" operator="greaterThanOrEqual">
      <formula>0.12</formula>
    </cfRule>
  </conditionalFormatting>
  <conditionalFormatting sqref="B10">
    <cfRule type="containsText" dxfId="6277" priority="16" operator="containsText" text="Full">
      <formula>NOT(ISERROR(SEARCH("Full",B10)))</formula>
    </cfRule>
    <cfRule type="containsText" dxfId="6276" priority="17" operator="containsText" text="Heavy">
      <formula>NOT(ISERROR(SEARCH("Heavy",B10)))</formula>
    </cfRule>
    <cfRule type="containsText" dxfId="6275" priority="18" operator="containsText" text="Medium">
      <formula>NOT(ISERROR(SEARCH("Medium",B10)))</formula>
    </cfRule>
    <cfRule type="containsText" dxfId="6274" priority="19" operator="containsText" text="Light">
      <formula>NOT(ISERROR(SEARCH("Light",B10)))</formula>
    </cfRule>
    <cfRule type="containsText" dxfId="6273" priority="20" operator="containsText" text="None">
      <formula>NOT(ISERROR(SEARCH("None",B10)))</formula>
    </cfRule>
  </conditionalFormatting>
  <conditionalFormatting sqref="E42">
    <cfRule type="cellIs" dxfId="6272" priority="10" operator="between">
      <formula>0.1</formula>
      <formula>0.119</formula>
    </cfRule>
    <cfRule type="cellIs" dxfId="6271" priority="11" operator="lessThan">
      <formula>0.1</formula>
    </cfRule>
    <cfRule type="cellIs" dxfId="6270" priority="12" operator="greaterThanOrEqual">
      <formula>0.12</formula>
    </cfRule>
  </conditionalFormatting>
  <conditionalFormatting sqref="B28">
    <cfRule type="cellIs" dxfId="6269" priority="33" operator="lessThan">
      <formula>$B$8*100</formula>
    </cfRule>
    <cfRule type="cellIs" dxfId="6268" priority="34" operator="greaterThanOrEqual">
      <formula>$B$8*100</formula>
    </cfRule>
  </conditionalFormatting>
  <conditionalFormatting sqref="B41">
    <cfRule type="cellIs" dxfId="6267" priority="35" operator="lessThan">
      <formula>$B$8*100</formula>
    </cfRule>
    <cfRule type="cellIs" dxfId="6266" priority="36" operator="greaterThan">
      <formula>$B$8*100</formula>
    </cfRule>
    <cfRule type="cellIs" dxfId="6265" priority="37" operator="greaterThan">
      <formula>$B$8*100</formula>
    </cfRule>
  </conditionalFormatting>
  <conditionalFormatting sqref="E41">
    <cfRule type="cellIs" dxfId="6264" priority="38" operator="greaterThan">
      <formula>$B$8*100</formula>
    </cfRule>
    <cfRule type="cellIs" dxfId="6263" priority="39" operator="lessThan">
      <formula>$B$8*100</formula>
    </cfRule>
  </conditionalFormatting>
  <conditionalFormatting sqref="B38">
    <cfRule type="cellIs" dxfId="6262" priority="8" operator="equal">
      <formula>"YES"</formula>
    </cfRule>
    <cfRule type="cellIs" dxfId="6261" priority="9" operator="equal">
      <formula>"NO"</formula>
    </cfRule>
  </conditionalFormatting>
  <conditionalFormatting sqref="E23:E26">
    <cfRule type="cellIs" dxfId="6260" priority="4" operator="equal">
      <formula>"NO"</formula>
    </cfRule>
    <cfRule type="cellIs" dxfId="6259" priority="5" operator="equal">
      <formula>"YES"</formula>
    </cfRule>
  </conditionalFormatting>
  <conditionalFormatting sqref="E29">
    <cfRule type="cellIs" dxfId="6258" priority="1" operator="between">
      <formula>10%</formula>
      <formula>12%</formula>
    </cfRule>
    <cfRule type="cellIs" dxfId="6257" priority="2" operator="lessThan">
      <formula>0.1</formula>
    </cfRule>
    <cfRule type="cellIs" dxfId="6256" priority="3" operator="greaterThan">
      <formula>0.12</formula>
    </cfRule>
  </conditionalFormatting>
  <conditionalFormatting sqref="E28">
    <cfRule type="cellIs" dxfId="6255" priority="6" operator="lessThan">
      <formula>$B$8*100</formula>
    </cfRule>
    <cfRule type="cellIs" dxfId="6254" priority="7" operator="greaterThan">
      <formula>$B$8*100</formula>
    </cfRule>
  </conditionalFormatting>
  <hyperlinks>
    <hyperlink ref="A32" r:id="rId1" display="https://www.zillow.com/homes/recently_sold/" xr:uid="{7B11D71B-2CFE-4B46-888C-6F58A4000CB6}"/>
    <hyperlink ref="A21" r:id="rId2" xr:uid="{B9C14645-FDFF-4D3A-84FD-CBA3B4687923}"/>
    <hyperlink ref="A25" r:id="rId3" display="www.mortgagecalculator.org" xr:uid="{0B514264-7AAD-4DB5-99E8-102A79D515EC}"/>
    <hyperlink ref="A12" r:id="rId4" xr:uid="{B9C271FF-ED11-422E-BEC3-6BAF2B13C9D8}"/>
  </hyperlinks>
  <pageMargins left="0.7" right="0.7" top="0.75" bottom="0.75" header="0.3" footer="0.3"/>
  <drawing r:id="rId5"/>
  <legacyDrawing r:id="rId6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1FAC-057E-4B9E-8FFF-4AADD9385C69}">
  <sheetPr codeName="Sheet59">
    <tabColor rgb="FFFF0000"/>
  </sheetPr>
  <dimension ref="A1:P42"/>
  <sheetViews>
    <sheetView topLeftCell="A16" workbookViewId="0">
      <selection activeCell="B22" sqref="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295000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2104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250750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250750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12537.5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238212.5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2007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2507.5</v>
      </c>
      <c r="D22" s="7" t="s">
        <v>77</v>
      </c>
      <c r="E22" s="17">
        <f>B16*0.01</f>
        <v>2507.5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1710.6</v>
      </c>
      <c r="D25" s="7" t="s">
        <v>38</v>
      </c>
      <c r="E25" s="35">
        <f>B25</f>
        <v>1710.6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2011.6499999999999</v>
      </c>
      <c r="D26" s="7" t="s">
        <v>41</v>
      </c>
      <c r="E26" s="17">
        <f>E25+I25+I34</f>
        <v>2011.6499999999999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-4.6499999999998636</v>
      </c>
      <c r="D28" s="7" t="s">
        <v>43</v>
      </c>
      <c r="E28" s="44">
        <f>E21-E25-I25-I34+I24+I33</f>
        <v>-961.64999999999986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-4.4506480558323723E-3</v>
      </c>
      <c r="D29" s="46" t="s">
        <v>44</v>
      </c>
      <c r="E29" s="47">
        <f>(E28*12)/B17</f>
        <v>-0.92042273180458622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100.35000000000001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100.35000000000001</v>
      </c>
    </row>
    <row r="32" spans="1:16" x14ac:dyDescent="0.25">
      <c r="A32" s="26" t="s">
        <v>49</v>
      </c>
      <c r="B32" s="8">
        <f>B16</f>
        <v>250750</v>
      </c>
      <c r="G32" s="27" t="s">
        <v>50</v>
      </c>
      <c r="H32" s="48">
        <v>0.05</v>
      </c>
      <c r="I32" s="49">
        <f>$B$21*H32</f>
        <v>100.35000000000001</v>
      </c>
    </row>
    <row r="33" spans="1:9" x14ac:dyDescent="0.25">
      <c r="A33" s="7" t="s">
        <v>51</v>
      </c>
      <c r="B33" s="17">
        <f>B32-B18</f>
        <v>12537.5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301.05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168.73385416666667</v>
      </c>
      <c r="D39" s="7"/>
      <c r="E39" s="17"/>
    </row>
    <row r="40" spans="1:9" x14ac:dyDescent="0.25">
      <c r="A40" s="7" t="s">
        <v>58</v>
      </c>
      <c r="B40" s="17">
        <f>B25-B39</f>
        <v>1541.8661458333331</v>
      </c>
      <c r="D40" s="7"/>
      <c r="E40" s="17"/>
    </row>
    <row r="41" spans="1:9" x14ac:dyDescent="0.25">
      <c r="A41" s="7" t="s">
        <v>59</v>
      </c>
      <c r="B41" s="43">
        <f>B21-B40-I25-I34</f>
        <v>164.08385416666687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0.15704935194416769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253" priority="31" operator="equal">
      <formula>"NO"</formula>
    </cfRule>
    <cfRule type="cellIs" dxfId="6252" priority="32" operator="equal">
      <formula>"YES"</formula>
    </cfRule>
  </conditionalFormatting>
  <conditionalFormatting sqref="E38">
    <cfRule type="cellIs" dxfId="6251" priority="29" operator="equal">
      <formula>"YES"</formula>
    </cfRule>
    <cfRule type="cellIs" dxfId="6250" priority="30" operator="equal">
      <formula>"NO"</formula>
    </cfRule>
  </conditionalFormatting>
  <conditionalFormatting sqref="B23">
    <cfRule type="cellIs" dxfId="6249" priority="27" operator="equal">
      <formula>"NO"</formula>
    </cfRule>
    <cfRule type="cellIs" dxfId="6248" priority="28" operator="equal">
      <formula>"YES"</formula>
    </cfRule>
  </conditionalFormatting>
  <conditionalFormatting sqref="B12">
    <cfRule type="containsText" dxfId="6247" priority="13" operator="containsText" text="Low">
      <formula>NOT(ISERROR(SEARCH("Low",B12)))</formula>
    </cfRule>
    <cfRule type="containsText" dxfId="6246" priority="14" operator="containsText" text="Medium">
      <formula>NOT(ISERROR(SEARCH("Medium",B12)))</formula>
    </cfRule>
    <cfRule type="containsText" dxfId="6245" priority="15" operator="containsText" text="High">
      <formula>NOT(ISERROR(SEARCH("High",B12)))</formula>
    </cfRule>
  </conditionalFormatting>
  <conditionalFormatting sqref="B29">
    <cfRule type="cellIs" dxfId="6244" priority="23" operator="between">
      <formula>10%</formula>
      <formula>11.9%</formula>
    </cfRule>
    <cfRule type="cellIs" dxfId="6243" priority="25" operator="lessThan">
      <formula>0.1</formula>
    </cfRule>
    <cfRule type="cellIs" dxfId="6242" priority="26" operator="greaterThanOrEqual">
      <formula>0.12</formula>
    </cfRule>
  </conditionalFormatting>
  <conditionalFormatting sqref="B42">
    <cfRule type="cellIs" dxfId="6241" priority="21" operator="between">
      <formula>0.1</formula>
      <formula>0.1199</formula>
    </cfRule>
    <cfRule type="cellIs" dxfId="6240" priority="22" operator="lessThan">
      <formula>0.1</formula>
    </cfRule>
    <cfRule type="cellIs" dxfId="6239" priority="24" operator="greaterThanOrEqual">
      <formula>0.12</formula>
    </cfRule>
  </conditionalFormatting>
  <conditionalFormatting sqref="B10">
    <cfRule type="containsText" dxfId="6238" priority="16" operator="containsText" text="Full">
      <formula>NOT(ISERROR(SEARCH("Full",B10)))</formula>
    </cfRule>
    <cfRule type="containsText" dxfId="6237" priority="17" operator="containsText" text="Heavy">
      <formula>NOT(ISERROR(SEARCH("Heavy",B10)))</formula>
    </cfRule>
    <cfRule type="containsText" dxfId="6236" priority="18" operator="containsText" text="Medium">
      <formula>NOT(ISERROR(SEARCH("Medium",B10)))</formula>
    </cfRule>
    <cfRule type="containsText" dxfId="6235" priority="19" operator="containsText" text="Light">
      <formula>NOT(ISERROR(SEARCH("Light",B10)))</formula>
    </cfRule>
    <cfRule type="containsText" dxfId="6234" priority="20" operator="containsText" text="None">
      <formula>NOT(ISERROR(SEARCH("None",B10)))</formula>
    </cfRule>
  </conditionalFormatting>
  <conditionalFormatting sqref="E42">
    <cfRule type="cellIs" dxfId="6233" priority="10" operator="between">
      <formula>0.1</formula>
      <formula>0.119</formula>
    </cfRule>
    <cfRule type="cellIs" dxfId="6232" priority="11" operator="lessThan">
      <formula>0.1</formula>
    </cfRule>
    <cfRule type="cellIs" dxfId="6231" priority="12" operator="greaterThanOrEqual">
      <formula>0.12</formula>
    </cfRule>
  </conditionalFormatting>
  <conditionalFormatting sqref="B28">
    <cfRule type="cellIs" dxfId="6230" priority="33" operator="lessThan">
      <formula>$B$8*100</formula>
    </cfRule>
    <cfRule type="cellIs" dxfId="6229" priority="34" operator="greaterThanOrEqual">
      <formula>$B$8*100</formula>
    </cfRule>
  </conditionalFormatting>
  <conditionalFormatting sqref="B41">
    <cfRule type="cellIs" dxfId="6228" priority="35" operator="lessThan">
      <formula>$B$8*100</formula>
    </cfRule>
    <cfRule type="cellIs" dxfId="6227" priority="36" operator="greaterThan">
      <formula>$B$8*100</formula>
    </cfRule>
    <cfRule type="cellIs" dxfId="6226" priority="37" operator="greaterThan">
      <formula>$B$8*100</formula>
    </cfRule>
  </conditionalFormatting>
  <conditionalFormatting sqref="E41">
    <cfRule type="cellIs" dxfId="6225" priority="38" operator="greaterThan">
      <formula>$B$8*100</formula>
    </cfRule>
    <cfRule type="cellIs" dxfId="6224" priority="39" operator="lessThan">
      <formula>$B$8*100</formula>
    </cfRule>
  </conditionalFormatting>
  <conditionalFormatting sqref="B38">
    <cfRule type="cellIs" dxfId="6223" priority="8" operator="equal">
      <formula>"YES"</formula>
    </cfRule>
    <cfRule type="cellIs" dxfId="6222" priority="9" operator="equal">
      <formula>"NO"</formula>
    </cfRule>
  </conditionalFormatting>
  <conditionalFormatting sqref="E23:E26">
    <cfRule type="cellIs" dxfId="6221" priority="4" operator="equal">
      <formula>"NO"</formula>
    </cfRule>
    <cfRule type="cellIs" dxfId="6220" priority="5" operator="equal">
      <formula>"YES"</formula>
    </cfRule>
  </conditionalFormatting>
  <conditionalFormatting sqref="E29">
    <cfRule type="cellIs" dxfId="6219" priority="1" operator="between">
      <formula>10%</formula>
      <formula>12%</formula>
    </cfRule>
    <cfRule type="cellIs" dxfId="6218" priority="2" operator="lessThan">
      <formula>0.1</formula>
    </cfRule>
    <cfRule type="cellIs" dxfId="6217" priority="3" operator="greaterThan">
      <formula>0.12</formula>
    </cfRule>
  </conditionalFormatting>
  <conditionalFormatting sqref="E28">
    <cfRule type="cellIs" dxfId="6216" priority="6" operator="lessThan">
      <formula>$B$8*100</formula>
    </cfRule>
    <cfRule type="cellIs" dxfId="6215" priority="7" operator="greaterThan">
      <formula>$B$8*100</formula>
    </cfRule>
  </conditionalFormatting>
  <hyperlinks>
    <hyperlink ref="A32" r:id="rId1" display="https://www.zillow.com/homes/recently_sold/" xr:uid="{1A5D0376-99D1-4759-8EF8-86136F56CFB5}"/>
    <hyperlink ref="A21" r:id="rId2" xr:uid="{6C2F02A9-0CD4-40AD-BD2C-E2366CC2BD50}"/>
    <hyperlink ref="A25" r:id="rId3" display="www.mortgagecalculator.org" xr:uid="{9F3D2164-3009-4CB1-8C2D-B3550F946CC3}"/>
    <hyperlink ref="A12" r:id="rId4" xr:uid="{76DDCB09-729E-4D53-8D6C-9CCFF8CC591A}"/>
  </hyperlinks>
  <pageMargins left="0.7" right="0.7" top="0.75" bottom="0.75" header="0.3" footer="0.3"/>
  <drawing r:id="rId5"/>
  <legacyDrawing r:id="rId6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6905-7A7B-402F-B272-0C343E09D9E7}">
  <sheetPr codeName="Sheet60">
    <tabColor rgb="FFFF0000"/>
  </sheetPr>
  <dimension ref="A1:P42"/>
  <sheetViews>
    <sheetView topLeftCell="A10" workbookViewId="0">
      <selection activeCell="C25" sqref="C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139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299900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254915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254915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12745.75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242169.25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1983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2549.15</v>
      </c>
      <c r="D22" s="7" t="s">
        <v>77</v>
      </c>
      <c r="E22" s="17">
        <f>B16*0.01</f>
        <v>2549.15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1796.96</v>
      </c>
      <c r="D25" s="7" t="s">
        <v>38</v>
      </c>
      <c r="E25" s="35">
        <f>B25</f>
        <v>1796.96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2094.41</v>
      </c>
      <c r="D26" s="7" t="s">
        <v>41</v>
      </c>
      <c r="E26" s="17">
        <f>E25+I25+I34</f>
        <v>2094.41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-111.40999999999985</v>
      </c>
      <c r="D28" s="7" t="s">
        <v>43</v>
      </c>
      <c r="E28" s="44">
        <f>E21-E25-I25-I34+I24+I33</f>
        <v>-1044.4100000000001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-0.10489143439970172</v>
      </c>
      <c r="D29" s="46" t="s">
        <v>44</v>
      </c>
      <c r="E29" s="47">
        <f>(E28*12)/B17</f>
        <v>-0.98330188494203963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99.15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99.15</v>
      </c>
    </row>
    <row r="32" spans="1:16" x14ac:dyDescent="0.25">
      <c r="A32" s="26" t="s">
        <v>49</v>
      </c>
      <c r="B32" s="8">
        <f>B16</f>
        <v>254915</v>
      </c>
      <c r="G32" s="27" t="s">
        <v>50</v>
      </c>
      <c r="H32" s="48">
        <v>0.05</v>
      </c>
      <c r="I32" s="49">
        <f>$B$21*H32</f>
        <v>99.15</v>
      </c>
    </row>
    <row r="33" spans="1:9" x14ac:dyDescent="0.25">
      <c r="A33" s="7" t="s">
        <v>51</v>
      </c>
      <c r="B33" s="17">
        <f>B32-B18</f>
        <v>12745.75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297.45000000000005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171.53655208333336</v>
      </c>
      <c r="D39" s="7"/>
      <c r="E39" s="17"/>
    </row>
    <row r="40" spans="1:9" x14ac:dyDescent="0.25">
      <c r="A40" s="7" t="s">
        <v>58</v>
      </c>
      <c r="B40" s="17">
        <f>B25-B39</f>
        <v>1625.4234479166666</v>
      </c>
      <c r="D40" s="7"/>
      <c r="E40" s="17"/>
    </row>
    <row r="41" spans="1:9" x14ac:dyDescent="0.25">
      <c r="A41" s="7" t="s">
        <v>59</v>
      </c>
      <c r="B41" s="43">
        <f>B21-B40-I25-I34</f>
        <v>60.126552083333308</v>
      </c>
      <c r="D41" s="53"/>
      <c r="E41" s="54"/>
    </row>
    <row r="42" spans="1:9" ht="15.75" thickBot="1" x14ac:dyDescent="0.3">
      <c r="A42" s="46" t="s">
        <v>44</v>
      </c>
      <c r="B42" s="47">
        <f>(B41*12)/B17</f>
        <v>5.6608565600298116E-2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214" priority="31" operator="equal">
      <formula>"NO"</formula>
    </cfRule>
    <cfRule type="cellIs" dxfId="6213" priority="32" operator="equal">
      <formula>"YES"</formula>
    </cfRule>
  </conditionalFormatting>
  <conditionalFormatting sqref="E38">
    <cfRule type="cellIs" dxfId="6212" priority="29" operator="equal">
      <formula>"YES"</formula>
    </cfRule>
    <cfRule type="cellIs" dxfId="6211" priority="30" operator="equal">
      <formula>"NO"</formula>
    </cfRule>
  </conditionalFormatting>
  <conditionalFormatting sqref="B23">
    <cfRule type="cellIs" dxfId="6210" priority="27" operator="equal">
      <formula>"NO"</formula>
    </cfRule>
    <cfRule type="cellIs" dxfId="6209" priority="28" operator="equal">
      <formula>"YES"</formula>
    </cfRule>
  </conditionalFormatting>
  <conditionalFormatting sqref="B12">
    <cfRule type="containsText" dxfId="6208" priority="13" operator="containsText" text="Low">
      <formula>NOT(ISERROR(SEARCH("Low",B12)))</formula>
    </cfRule>
    <cfRule type="containsText" dxfId="6207" priority="14" operator="containsText" text="Medium">
      <formula>NOT(ISERROR(SEARCH("Medium",B12)))</formula>
    </cfRule>
    <cfRule type="containsText" dxfId="6206" priority="15" operator="containsText" text="High">
      <formula>NOT(ISERROR(SEARCH("High",B12)))</formula>
    </cfRule>
  </conditionalFormatting>
  <conditionalFormatting sqref="B29">
    <cfRule type="cellIs" dxfId="6205" priority="23" operator="between">
      <formula>10%</formula>
      <formula>11.9%</formula>
    </cfRule>
    <cfRule type="cellIs" dxfId="6204" priority="25" operator="lessThan">
      <formula>0.1</formula>
    </cfRule>
    <cfRule type="cellIs" dxfId="6203" priority="26" operator="greaterThanOrEqual">
      <formula>0.12</formula>
    </cfRule>
  </conditionalFormatting>
  <conditionalFormatting sqref="B42">
    <cfRule type="cellIs" dxfId="6202" priority="21" operator="between">
      <formula>0.1</formula>
      <formula>0.1199</formula>
    </cfRule>
    <cfRule type="cellIs" dxfId="6201" priority="22" operator="lessThan">
      <formula>0.1</formula>
    </cfRule>
    <cfRule type="cellIs" dxfId="6200" priority="24" operator="greaterThanOrEqual">
      <formula>0.12</formula>
    </cfRule>
  </conditionalFormatting>
  <conditionalFormatting sqref="B10">
    <cfRule type="containsText" dxfId="6199" priority="16" operator="containsText" text="Full">
      <formula>NOT(ISERROR(SEARCH("Full",B10)))</formula>
    </cfRule>
    <cfRule type="containsText" dxfId="6198" priority="17" operator="containsText" text="Heavy">
      <formula>NOT(ISERROR(SEARCH("Heavy",B10)))</formula>
    </cfRule>
    <cfRule type="containsText" dxfId="6197" priority="18" operator="containsText" text="Medium">
      <formula>NOT(ISERROR(SEARCH("Medium",B10)))</formula>
    </cfRule>
    <cfRule type="containsText" dxfId="6196" priority="19" operator="containsText" text="Light">
      <formula>NOT(ISERROR(SEARCH("Light",B10)))</formula>
    </cfRule>
    <cfRule type="containsText" dxfId="6195" priority="20" operator="containsText" text="None">
      <formula>NOT(ISERROR(SEARCH("None",B10)))</formula>
    </cfRule>
  </conditionalFormatting>
  <conditionalFormatting sqref="E42">
    <cfRule type="cellIs" dxfId="6194" priority="10" operator="between">
      <formula>0.1</formula>
      <formula>0.119</formula>
    </cfRule>
    <cfRule type="cellIs" dxfId="6193" priority="11" operator="lessThan">
      <formula>0.1</formula>
    </cfRule>
    <cfRule type="cellIs" dxfId="6192" priority="12" operator="greaterThanOrEqual">
      <formula>0.12</formula>
    </cfRule>
  </conditionalFormatting>
  <conditionalFormatting sqref="B28">
    <cfRule type="cellIs" dxfId="6191" priority="33" operator="lessThan">
      <formula>$B$8*100</formula>
    </cfRule>
    <cfRule type="cellIs" dxfId="6190" priority="34" operator="greaterThanOrEqual">
      <formula>$B$8*100</formula>
    </cfRule>
  </conditionalFormatting>
  <conditionalFormatting sqref="B41">
    <cfRule type="cellIs" dxfId="6189" priority="35" operator="lessThan">
      <formula>$B$8*100</formula>
    </cfRule>
    <cfRule type="cellIs" dxfId="6188" priority="36" operator="greaterThan">
      <formula>$B$8*100</formula>
    </cfRule>
    <cfRule type="cellIs" dxfId="6187" priority="37" operator="greaterThan">
      <formula>$B$8*100</formula>
    </cfRule>
  </conditionalFormatting>
  <conditionalFormatting sqref="E41">
    <cfRule type="cellIs" dxfId="6186" priority="38" operator="greaterThan">
      <formula>$B$8*100</formula>
    </cfRule>
    <cfRule type="cellIs" dxfId="6185" priority="39" operator="lessThan">
      <formula>$B$8*100</formula>
    </cfRule>
  </conditionalFormatting>
  <conditionalFormatting sqref="B38">
    <cfRule type="cellIs" dxfId="6184" priority="8" operator="equal">
      <formula>"YES"</formula>
    </cfRule>
    <cfRule type="cellIs" dxfId="6183" priority="9" operator="equal">
      <formula>"NO"</formula>
    </cfRule>
  </conditionalFormatting>
  <conditionalFormatting sqref="E23:E26">
    <cfRule type="cellIs" dxfId="6182" priority="4" operator="equal">
      <formula>"NO"</formula>
    </cfRule>
    <cfRule type="cellIs" dxfId="6181" priority="5" operator="equal">
      <formula>"YES"</formula>
    </cfRule>
  </conditionalFormatting>
  <conditionalFormatting sqref="E29">
    <cfRule type="cellIs" dxfId="6180" priority="1" operator="between">
      <formula>10%</formula>
      <formula>12%</formula>
    </cfRule>
    <cfRule type="cellIs" dxfId="6179" priority="2" operator="lessThan">
      <formula>0.1</formula>
    </cfRule>
    <cfRule type="cellIs" dxfId="6178" priority="3" operator="greaterThan">
      <formula>0.12</formula>
    </cfRule>
  </conditionalFormatting>
  <conditionalFormatting sqref="E28">
    <cfRule type="cellIs" dxfId="6177" priority="6" operator="lessThan">
      <formula>$B$8*100</formula>
    </cfRule>
    <cfRule type="cellIs" dxfId="6176" priority="7" operator="greaterThan">
      <formula>$B$8*100</formula>
    </cfRule>
  </conditionalFormatting>
  <hyperlinks>
    <hyperlink ref="A32" r:id="rId1" display="https://www.zillow.com/homes/recently_sold/" xr:uid="{24E38834-A159-482B-85B5-036F293991EE}"/>
    <hyperlink ref="A21" r:id="rId2" xr:uid="{B11FAD1F-1200-4671-BE4E-89803D2A1A4B}"/>
    <hyperlink ref="A25" r:id="rId3" display="www.mortgagecalculator.org" xr:uid="{FB505087-10AA-4247-83BC-7A583BB3EDE2}"/>
    <hyperlink ref="A12" r:id="rId4" xr:uid="{BDDB6FEF-437E-4311-A08C-DF4424D3E5B1}"/>
  </hyperlinks>
  <pageMargins left="0.7" right="0.7" top="0.75" bottom="0.75" header="0.3" footer="0.3"/>
  <drawing r:id="rId5"/>
  <legacyDrawing r:id="rId6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1647-31D3-4858-B9F5-E359747F2572}">
  <sheetPr codeName="Sheet61">
    <tabColor rgb="FFFF0000"/>
  </sheetPr>
  <dimension ref="A1:P42"/>
  <sheetViews>
    <sheetView topLeftCell="A7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140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118915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5945.75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112969.25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1129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1189.1500000000001</v>
      </c>
      <c r="D22" s="7" t="s">
        <v>77</v>
      </c>
      <c r="E22" s="17">
        <f>B16*0.01</f>
        <v>1189.1500000000001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970.59</v>
      </c>
      <c r="D25" s="7" t="s">
        <v>38</v>
      </c>
      <c r="E25" s="35">
        <f>B25</f>
        <v>970.59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1139.94</v>
      </c>
      <c r="D26" s="7" t="s">
        <v>41</v>
      </c>
      <c r="E26" s="17">
        <f>E25+I25+I34</f>
        <v>1139.94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-10.940000000000055</v>
      </c>
      <c r="D28" s="7" t="s">
        <v>43</v>
      </c>
      <c r="E28" s="44">
        <f>E21-E25-I25-I34+I24+I33</f>
        <v>-89.940000000000055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-2.2079636715300954E-2</v>
      </c>
      <c r="D29" s="46" t="s">
        <v>44</v>
      </c>
      <c r="E29" s="47">
        <f>(E28*12)/B17</f>
        <v>-0.18152125467771107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56.45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56.45</v>
      </c>
    </row>
    <row r="32" spans="1:16" x14ac:dyDescent="0.25">
      <c r="A32" s="26" t="s">
        <v>49</v>
      </c>
      <c r="B32" s="8">
        <f>B16</f>
        <v>118915</v>
      </c>
      <c r="G32" s="27" t="s">
        <v>50</v>
      </c>
      <c r="H32" s="48">
        <v>0.05</v>
      </c>
      <c r="I32" s="49">
        <f>$B$21*H32</f>
        <v>56.45</v>
      </c>
    </row>
    <row r="33" spans="1:9" x14ac:dyDescent="0.25">
      <c r="A33" s="7" t="s">
        <v>51</v>
      </c>
      <c r="B33" s="17">
        <f>B32-B18</f>
        <v>5945.75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169.35000000000002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80.019885416666668</v>
      </c>
      <c r="D39" s="7"/>
      <c r="E39" s="17"/>
    </row>
    <row r="40" spans="1:9" x14ac:dyDescent="0.25">
      <c r="A40" s="7" t="s">
        <v>58</v>
      </c>
      <c r="B40" s="17">
        <f>B25-B39</f>
        <v>890.57011458333341</v>
      </c>
      <c r="D40" s="7"/>
      <c r="E40" s="17"/>
    </row>
    <row r="41" spans="1:9" x14ac:dyDescent="0.25">
      <c r="A41" s="7" t="s">
        <v>59</v>
      </c>
      <c r="B41" s="43">
        <f>B21-B40-I25-I34</f>
        <v>69.079885416666571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0.13942036328469895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175" priority="31" operator="equal">
      <formula>"NO"</formula>
    </cfRule>
    <cfRule type="cellIs" dxfId="6174" priority="32" operator="equal">
      <formula>"YES"</formula>
    </cfRule>
  </conditionalFormatting>
  <conditionalFormatting sqref="E38">
    <cfRule type="cellIs" dxfId="6173" priority="29" operator="equal">
      <formula>"YES"</formula>
    </cfRule>
    <cfRule type="cellIs" dxfId="6172" priority="30" operator="equal">
      <formula>"NO"</formula>
    </cfRule>
  </conditionalFormatting>
  <conditionalFormatting sqref="B23">
    <cfRule type="cellIs" dxfId="6171" priority="27" operator="equal">
      <formula>"NO"</formula>
    </cfRule>
    <cfRule type="cellIs" dxfId="6170" priority="28" operator="equal">
      <formula>"YES"</formula>
    </cfRule>
  </conditionalFormatting>
  <conditionalFormatting sqref="B12">
    <cfRule type="containsText" dxfId="6169" priority="13" operator="containsText" text="Low">
      <formula>NOT(ISERROR(SEARCH("Low",B12)))</formula>
    </cfRule>
    <cfRule type="containsText" dxfId="6168" priority="14" operator="containsText" text="Medium">
      <formula>NOT(ISERROR(SEARCH("Medium",B12)))</formula>
    </cfRule>
    <cfRule type="containsText" dxfId="6167" priority="15" operator="containsText" text="High">
      <formula>NOT(ISERROR(SEARCH("High",B12)))</formula>
    </cfRule>
  </conditionalFormatting>
  <conditionalFormatting sqref="B29">
    <cfRule type="cellIs" dxfId="6166" priority="23" operator="between">
      <formula>10%</formula>
      <formula>11.9%</formula>
    </cfRule>
    <cfRule type="cellIs" dxfId="6165" priority="25" operator="lessThan">
      <formula>0.1</formula>
    </cfRule>
    <cfRule type="cellIs" dxfId="6164" priority="26" operator="greaterThanOrEqual">
      <formula>0.12</formula>
    </cfRule>
  </conditionalFormatting>
  <conditionalFormatting sqref="B42">
    <cfRule type="cellIs" dxfId="6163" priority="21" operator="between">
      <formula>0.1</formula>
      <formula>0.1199</formula>
    </cfRule>
    <cfRule type="cellIs" dxfId="6162" priority="22" operator="lessThan">
      <formula>0.1</formula>
    </cfRule>
    <cfRule type="cellIs" dxfId="6161" priority="24" operator="greaterThanOrEqual">
      <formula>0.12</formula>
    </cfRule>
  </conditionalFormatting>
  <conditionalFormatting sqref="B10">
    <cfRule type="containsText" dxfId="6160" priority="16" operator="containsText" text="Full">
      <formula>NOT(ISERROR(SEARCH("Full",B10)))</formula>
    </cfRule>
    <cfRule type="containsText" dxfId="6159" priority="17" operator="containsText" text="Heavy">
      <formula>NOT(ISERROR(SEARCH("Heavy",B10)))</formula>
    </cfRule>
    <cfRule type="containsText" dxfId="6158" priority="18" operator="containsText" text="Medium">
      <formula>NOT(ISERROR(SEARCH("Medium",B10)))</formula>
    </cfRule>
    <cfRule type="containsText" dxfId="6157" priority="19" operator="containsText" text="Light">
      <formula>NOT(ISERROR(SEARCH("Light",B10)))</formula>
    </cfRule>
    <cfRule type="containsText" dxfId="6156" priority="20" operator="containsText" text="None">
      <formula>NOT(ISERROR(SEARCH("None",B10)))</formula>
    </cfRule>
  </conditionalFormatting>
  <conditionalFormatting sqref="E42">
    <cfRule type="cellIs" dxfId="6155" priority="10" operator="between">
      <formula>0.1</formula>
      <formula>0.119</formula>
    </cfRule>
    <cfRule type="cellIs" dxfId="6154" priority="11" operator="lessThan">
      <formula>0.1</formula>
    </cfRule>
    <cfRule type="cellIs" dxfId="6153" priority="12" operator="greaterThanOrEqual">
      <formula>0.12</formula>
    </cfRule>
  </conditionalFormatting>
  <conditionalFormatting sqref="B28">
    <cfRule type="cellIs" dxfId="6152" priority="33" operator="lessThan">
      <formula>$B$8*100</formula>
    </cfRule>
    <cfRule type="cellIs" dxfId="6151" priority="34" operator="greaterThanOrEqual">
      <formula>$B$8*100</formula>
    </cfRule>
  </conditionalFormatting>
  <conditionalFormatting sqref="B41">
    <cfRule type="cellIs" dxfId="6150" priority="35" operator="lessThan">
      <formula>$B$8*100</formula>
    </cfRule>
    <cfRule type="cellIs" dxfId="6149" priority="36" operator="greaterThan">
      <formula>$B$8*100</formula>
    </cfRule>
    <cfRule type="cellIs" dxfId="6148" priority="37" operator="greaterThan">
      <formula>$B$8*100</formula>
    </cfRule>
  </conditionalFormatting>
  <conditionalFormatting sqref="E41">
    <cfRule type="cellIs" dxfId="6147" priority="38" operator="greaterThan">
      <formula>$B$8*100</formula>
    </cfRule>
    <cfRule type="cellIs" dxfId="6146" priority="39" operator="lessThan">
      <formula>$B$8*100</formula>
    </cfRule>
  </conditionalFormatting>
  <conditionalFormatting sqref="B38">
    <cfRule type="cellIs" dxfId="6145" priority="8" operator="equal">
      <formula>"YES"</formula>
    </cfRule>
    <cfRule type="cellIs" dxfId="6144" priority="9" operator="equal">
      <formula>"NO"</formula>
    </cfRule>
  </conditionalFormatting>
  <conditionalFormatting sqref="E23:E26">
    <cfRule type="cellIs" dxfId="6143" priority="4" operator="equal">
      <formula>"NO"</formula>
    </cfRule>
    <cfRule type="cellIs" dxfId="6142" priority="5" operator="equal">
      <formula>"YES"</formula>
    </cfRule>
  </conditionalFormatting>
  <conditionalFormatting sqref="E29">
    <cfRule type="cellIs" dxfId="6141" priority="1" operator="between">
      <formula>10%</formula>
      <formula>12%</formula>
    </cfRule>
    <cfRule type="cellIs" dxfId="6140" priority="2" operator="lessThan">
      <formula>0.1</formula>
    </cfRule>
    <cfRule type="cellIs" dxfId="6139" priority="3" operator="greaterThan">
      <formula>0.12</formula>
    </cfRule>
  </conditionalFormatting>
  <conditionalFormatting sqref="E28">
    <cfRule type="cellIs" dxfId="6138" priority="6" operator="lessThan">
      <formula>$B$8*100</formula>
    </cfRule>
    <cfRule type="cellIs" dxfId="6137" priority="7" operator="greaterThan">
      <formula>$B$8*100</formula>
    </cfRule>
  </conditionalFormatting>
  <hyperlinks>
    <hyperlink ref="A32" r:id="rId1" display="https://www.zillow.com/homes/recently_sold/" xr:uid="{3D5157AA-BA3C-419F-9482-1D7F06FDD8BC}"/>
    <hyperlink ref="A21" r:id="rId2" xr:uid="{CD376380-24F8-40E9-9347-CDF86033FB22}"/>
    <hyperlink ref="A25" r:id="rId3" display="www.mortgagecalculator.org" xr:uid="{549819E6-83ED-4747-8AFA-05BDF5C77266}"/>
    <hyperlink ref="A12" r:id="rId4" xr:uid="{3870367D-0240-4B44-8603-892D89335F61}"/>
  </hyperlinks>
  <pageMargins left="0.7" right="0.7" top="0.75" bottom="0.75" header="0.3" footer="0.3"/>
  <drawing r:id="rId5"/>
  <legacyDrawing r:id="rId6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344E-6D53-411F-989E-3D9BEDFD9DDD}">
  <sheetPr codeName="Sheet62">
    <tabColor rgb="FF00B05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142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80750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27390</v>
      </c>
      <c r="D15" s="2"/>
      <c r="E15" s="3"/>
    </row>
    <row r="16" spans="1:10" x14ac:dyDescent="0.25">
      <c r="A16" s="7" t="s">
        <v>20</v>
      </c>
      <c r="B16" s="17">
        <f>B15+B13</f>
        <v>108140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3784.9000000000005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104355.1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1081.4000000000001</v>
      </c>
      <c r="D22" s="7" t="s">
        <v>77</v>
      </c>
      <c r="E22" s="17">
        <f>B16*0.01</f>
        <v>1081.4000000000001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829.64</v>
      </c>
      <c r="D25" s="7" t="s">
        <v>38</v>
      </c>
      <c r="E25" s="35">
        <f>B25</f>
        <v>829.64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1009.64</v>
      </c>
      <c r="D26" s="7" t="s">
        <v>41</v>
      </c>
      <c r="E26" s="17">
        <f>E25+I25+I34</f>
        <v>1009.64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190.36</v>
      </c>
      <c r="D28" s="7" t="s">
        <v>43</v>
      </c>
      <c r="E28" s="44">
        <f>E21-E25-I25-I34+I24+I33</f>
        <v>40.360000000000014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0.60353510000264199</v>
      </c>
      <c r="D29" s="46" t="s">
        <v>44</v>
      </c>
      <c r="E29" s="47">
        <f>(E28*12)/B17</f>
        <v>0.1279611086158155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</v>
      </c>
    </row>
    <row r="32" spans="1:16" x14ac:dyDescent="0.25">
      <c r="A32" s="26" t="s">
        <v>49</v>
      </c>
      <c r="B32" s="8">
        <f>B16</f>
        <v>108140</v>
      </c>
      <c r="G32" s="27" t="s">
        <v>50</v>
      </c>
      <c r="H32" s="48">
        <v>0.05</v>
      </c>
      <c r="I32" s="49">
        <f>$B$21*H32</f>
        <v>60</v>
      </c>
    </row>
    <row r="33" spans="1:9" x14ac:dyDescent="0.25">
      <c r="A33" s="7" t="s">
        <v>51</v>
      </c>
      <c r="B33" s="17">
        <f>B32-B18</f>
        <v>3784.8999999999942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0.99999999999999833</v>
      </c>
      <c r="G34" s="36" t="s">
        <v>39</v>
      </c>
      <c r="H34" s="37"/>
      <c r="I34" s="51">
        <f>SUM(I30:I33)</f>
        <v>180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0.96500000000000008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73.918195833333343</v>
      </c>
      <c r="D39" s="7"/>
      <c r="E39" s="17"/>
    </row>
    <row r="40" spans="1:9" x14ac:dyDescent="0.25">
      <c r="A40" s="7" t="s">
        <v>58</v>
      </c>
      <c r="B40" s="17">
        <f>B25-B39</f>
        <v>755.72180416666663</v>
      </c>
      <c r="D40" s="7"/>
      <c r="E40" s="17"/>
    </row>
    <row r="41" spans="1:9" x14ac:dyDescent="0.25">
      <c r="A41" s="7" t="s">
        <v>59</v>
      </c>
      <c r="B41" s="43">
        <f>B21-B40-I25-I34</f>
        <v>264.27819583333337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0.83789224285978492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136" priority="31" operator="equal">
      <formula>"NO"</formula>
    </cfRule>
    <cfRule type="cellIs" dxfId="6135" priority="32" operator="equal">
      <formula>"YES"</formula>
    </cfRule>
  </conditionalFormatting>
  <conditionalFormatting sqref="E38">
    <cfRule type="cellIs" dxfId="6134" priority="29" operator="equal">
      <formula>"YES"</formula>
    </cfRule>
    <cfRule type="cellIs" dxfId="6133" priority="30" operator="equal">
      <formula>"NO"</formula>
    </cfRule>
  </conditionalFormatting>
  <conditionalFormatting sqref="B23">
    <cfRule type="cellIs" dxfId="6132" priority="27" operator="equal">
      <formula>"NO"</formula>
    </cfRule>
    <cfRule type="cellIs" dxfId="6131" priority="28" operator="equal">
      <formula>"YES"</formula>
    </cfRule>
  </conditionalFormatting>
  <conditionalFormatting sqref="B12">
    <cfRule type="containsText" dxfId="6130" priority="13" operator="containsText" text="Low">
      <formula>NOT(ISERROR(SEARCH("Low",B12)))</formula>
    </cfRule>
    <cfRule type="containsText" dxfId="6129" priority="14" operator="containsText" text="Medium">
      <formula>NOT(ISERROR(SEARCH("Medium",B12)))</formula>
    </cfRule>
    <cfRule type="containsText" dxfId="6128" priority="15" operator="containsText" text="High">
      <formula>NOT(ISERROR(SEARCH("High",B12)))</formula>
    </cfRule>
  </conditionalFormatting>
  <conditionalFormatting sqref="B29">
    <cfRule type="cellIs" dxfId="6127" priority="23" operator="between">
      <formula>10%</formula>
      <formula>11.9%</formula>
    </cfRule>
    <cfRule type="cellIs" dxfId="6126" priority="25" operator="lessThan">
      <formula>0.1</formula>
    </cfRule>
    <cfRule type="cellIs" dxfId="6125" priority="26" operator="greaterThanOrEqual">
      <formula>0.12</formula>
    </cfRule>
  </conditionalFormatting>
  <conditionalFormatting sqref="B42">
    <cfRule type="cellIs" dxfId="6124" priority="21" operator="between">
      <formula>0.1</formula>
      <formula>0.1199</formula>
    </cfRule>
    <cfRule type="cellIs" dxfId="6123" priority="22" operator="lessThan">
      <formula>0.1</formula>
    </cfRule>
    <cfRule type="cellIs" dxfId="6122" priority="24" operator="greaterThanOrEqual">
      <formula>0.12</formula>
    </cfRule>
  </conditionalFormatting>
  <conditionalFormatting sqref="B10">
    <cfRule type="containsText" dxfId="6121" priority="16" operator="containsText" text="Full">
      <formula>NOT(ISERROR(SEARCH("Full",B10)))</formula>
    </cfRule>
    <cfRule type="containsText" dxfId="6120" priority="17" operator="containsText" text="Heavy">
      <formula>NOT(ISERROR(SEARCH("Heavy",B10)))</formula>
    </cfRule>
    <cfRule type="containsText" dxfId="6119" priority="18" operator="containsText" text="Medium">
      <formula>NOT(ISERROR(SEARCH("Medium",B10)))</formula>
    </cfRule>
    <cfRule type="containsText" dxfId="6118" priority="19" operator="containsText" text="Light">
      <formula>NOT(ISERROR(SEARCH("Light",B10)))</formula>
    </cfRule>
    <cfRule type="containsText" dxfId="6117" priority="20" operator="containsText" text="None">
      <formula>NOT(ISERROR(SEARCH("None",B10)))</formula>
    </cfRule>
  </conditionalFormatting>
  <conditionalFormatting sqref="E42">
    <cfRule type="cellIs" dxfId="6116" priority="10" operator="between">
      <formula>0.1</formula>
      <formula>0.119</formula>
    </cfRule>
    <cfRule type="cellIs" dxfId="6115" priority="11" operator="lessThan">
      <formula>0.1</formula>
    </cfRule>
    <cfRule type="cellIs" dxfId="6114" priority="12" operator="greaterThanOrEqual">
      <formula>0.12</formula>
    </cfRule>
  </conditionalFormatting>
  <conditionalFormatting sqref="B28">
    <cfRule type="cellIs" dxfId="6113" priority="33" operator="lessThan">
      <formula>$B$8*100</formula>
    </cfRule>
    <cfRule type="cellIs" dxfId="6112" priority="34" operator="greaterThanOrEqual">
      <formula>$B$8*100</formula>
    </cfRule>
  </conditionalFormatting>
  <conditionalFormatting sqref="B41">
    <cfRule type="cellIs" dxfId="6111" priority="35" operator="lessThan">
      <formula>$B$8*100</formula>
    </cfRule>
    <cfRule type="cellIs" dxfId="6110" priority="36" operator="greaterThan">
      <formula>$B$8*100</formula>
    </cfRule>
    <cfRule type="cellIs" dxfId="6109" priority="37" operator="greaterThan">
      <formula>$B$8*100</formula>
    </cfRule>
  </conditionalFormatting>
  <conditionalFormatting sqref="E41">
    <cfRule type="cellIs" dxfId="6108" priority="38" operator="greaterThan">
      <formula>$B$8*100</formula>
    </cfRule>
    <cfRule type="cellIs" dxfId="6107" priority="39" operator="lessThan">
      <formula>$B$8*100</formula>
    </cfRule>
  </conditionalFormatting>
  <conditionalFormatting sqref="B38">
    <cfRule type="cellIs" dxfId="6106" priority="8" operator="equal">
      <formula>"YES"</formula>
    </cfRule>
    <cfRule type="cellIs" dxfId="6105" priority="9" operator="equal">
      <formula>"NO"</formula>
    </cfRule>
  </conditionalFormatting>
  <conditionalFormatting sqref="E23:E26">
    <cfRule type="cellIs" dxfId="6104" priority="4" operator="equal">
      <formula>"NO"</formula>
    </cfRule>
    <cfRule type="cellIs" dxfId="6103" priority="5" operator="equal">
      <formula>"YES"</formula>
    </cfRule>
  </conditionalFormatting>
  <conditionalFormatting sqref="E29">
    <cfRule type="cellIs" dxfId="6102" priority="1" operator="between">
      <formula>10%</formula>
      <formula>12%</formula>
    </cfRule>
    <cfRule type="cellIs" dxfId="6101" priority="2" operator="lessThan">
      <formula>0.1</formula>
    </cfRule>
    <cfRule type="cellIs" dxfId="6100" priority="3" operator="greaterThan">
      <formula>0.12</formula>
    </cfRule>
  </conditionalFormatting>
  <conditionalFormatting sqref="E28">
    <cfRule type="cellIs" dxfId="6099" priority="6" operator="lessThan">
      <formula>$B$8*100</formula>
    </cfRule>
    <cfRule type="cellIs" dxfId="6098" priority="7" operator="greaterThan">
      <formula>$B$8*100</formula>
    </cfRule>
  </conditionalFormatting>
  <hyperlinks>
    <hyperlink ref="A32" r:id="rId1" display="https://www.zillow.com/homes/recently_sold/" xr:uid="{9E0F68DD-0081-4D95-AF87-6B515EBB6C25}"/>
    <hyperlink ref="A21" r:id="rId2" xr:uid="{C5A4449C-69DA-459D-9D10-83F3E05B351F}"/>
    <hyperlink ref="A25" r:id="rId3" display="www.mortgagecalculator.org" xr:uid="{A468E009-89C8-4857-9466-793EFBD18F3A}"/>
    <hyperlink ref="A12" r:id="rId4" xr:uid="{CBCE3DAB-AB31-4F71-9614-984C6AD9D1EE}"/>
  </hyperlinks>
  <pageMargins left="0.7" right="0.7" top="0.75" bottom="0.75" header="0.3" footer="0.3"/>
  <drawing r:id="rId5"/>
  <legacyDrawing r:id="rId6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2A3A-EB76-43F4-BA08-1FB54C85B714}">
  <sheetPr codeName="Sheet63">
    <tabColor rgb="FF00B050"/>
  </sheetPr>
  <dimension ref="A1:P42"/>
  <sheetViews>
    <sheetView topLeftCell="A1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143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1196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135000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6750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128250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1350</v>
      </c>
      <c r="D22" s="7" t="s">
        <v>77</v>
      </c>
      <c r="E22" s="17">
        <f>B16*0.01</f>
        <v>1350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996.64</v>
      </c>
      <c r="D25" s="7" t="s">
        <v>38</v>
      </c>
      <c r="E25" s="35">
        <f>B25</f>
        <v>996.64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1206.6399999999999</v>
      </c>
      <c r="D26" s="7" t="s">
        <v>41</v>
      </c>
      <c r="E26" s="17">
        <f>E25+I25+I34</f>
        <v>1206.6399999999999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193.36000000000013</v>
      </c>
      <c r="D28" s="7" t="s">
        <v>43</v>
      </c>
      <c r="E28" s="44">
        <f>E21-E25-I25-I34+I24+I33</f>
        <v>-156.63999999999999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0.34375111111111134</v>
      </c>
      <c r="D29" s="46" t="s">
        <v>44</v>
      </c>
      <c r="E29" s="47">
        <f>(E28*12)/B17</f>
        <v>-0.27847111111111111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70</v>
      </c>
    </row>
    <row r="32" spans="1:16" x14ac:dyDescent="0.25">
      <c r="A32" s="26" t="s">
        <v>49</v>
      </c>
      <c r="B32" s="8">
        <f>B16</f>
        <v>135000</v>
      </c>
      <c r="G32" s="27" t="s">
        <v>50</v>
      </c>
      <c r="H32" s="48">
        <v>0.05</v>
      </c>
      <c r="I32" s="49">
        <f>$B$21*H32</f>
        <v>70</v>
      </c>
    </row>
    <row r="33" spans="1:9" x14ac:dyDescent="0.25">
      <c r="A33" s="7" t="s">
        <v>51</v>
      </c>
      <c r="B33" s="17">
        <f>B32-B18</f>
        <v>6750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210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0.95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90.84375</v>
      </c>
      <c r="D39" s="7"/>
      <c r="E39" s="17"/>
    </row>
    <row r="40" spans="1:9" x14ac:dyDescent="0.25">
      <c r="A40" s="7" t="s">
        <v>58</v>
      </c>
      <c r="B40" s="17">
        <f>B25-B39</f>
        <v>905.79624999999999</v>
      </c>
      <c r="D40" s="7"/>
      <c r="E40" s="17"/>
    </row>
    <row r="41" spans="1:9" x14ac:dyDescent="0.25">
      <c r="A41" s="7" t="s">
        <v>59</v>
      </c>
      <c r="B41" s="43">
        <f>B21-B40-I25-I34</f>
        <v>284.20375000000001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0.5052511111111111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097" priority="31" operator="equal">
      <formula>"NO"</formula>
    </cfRule>
    <cfRule type="cellIs" dxfId="6096" priority="32" operator="equal">
      <formula>"YES"</formula>
    </cfRule>
  </conditionalFormatting>
  <conditionalFormatting sqref="E38">
    <cfRule type="cellIs" dxfId="6095" priority="29" operator="equal">
      <formula>"YES"</formula>
    </cfRule>
    <cfRule type="cellIs" dxfId="6094" priority="30" operator="equal">
      <formula>"NO"</formula>
    </cfRule>
  </conditionalFormatting>
  <conditionalFormatting sqref="B23">
    <cfRule type="cellIs" dxfId="6093" priority="27" operator="equal">
      <formula>"NO"</formula>
    </cfRule>
    <cfRule type="cellIs" dxfId="6092" priority="28" operator="equal">
      <formula>"YES"</formula>
    </cfRule>
  </conditionalFormatting>
  <conditionalFormatting sqref="B12">
    <cfRule type="containsText" dxfId="6091" priority="13" operator="containsText" text="Low">
      <formula>NOT(ISERROR(SEARCH("Low",B12)))</formula>
    </cfRule>
    <cfRule type="containsText" dxfId="6090" priority="14" operator="containsText" text="Medium">
      <formula>NOT(ISERROR(SEARCH("Medium",B12)))</formula>
    </cfRule>
    <cfRule type="containsText" dxfId="6089" priority="15" operator="containsText" text="High">
      <formula>NOT(ISERROR(SEARCH("High",B12)))</formula>
    </cfRule>
  </conditionalFormatting>
  <conditionalFormatting sqref="B29">
    <cfRule type="cellIs" dxfId="6088" priority="23" operator="between">
      <formula>10%</formula>
      <formula>11.9%</formula>
    </cfRule>
    <cfRule type="cellIs" dxfId="6087" priority="25" operator="lessThan">
      <formula>0.1</formula>
    </cfRule>
    <cfRule type="cellIs" dxfId="6086" priority="26" operator="greaterThanOrEqual">
      <formula>0.12</formula>
    </cfRule>
  </conditionalFormatting>
  <conditionalFormatting sqref="B42">
    <cfRule type="cellIs" dxfId="6085" priority="21" operator="between">
      <formula>0.1</formula>
      <formula>0.1199</formula>
    </cfRule>
    <cfRule type="cellIs" dxfId="6084" priority="22" operator="lessThan">
      <formula>0.1</formula>
    </cfRule>
    <cfRule type="cellIs" dxfId="6083" priority="24" operator="greaterThanOrEqual">
      <formula>0.12</formula>
    </cfRule>
  </conditionalFormatting>
  <conditionalFormatting sqref="B10">
    <cfRule type="containsText" dxfId="6082" priority="16" operator="containsText" text="Full">
      <formula>NOT(ISERROR(SEARCH("Full",B10)))</formula>
    </cfRule>
    <cfRule type="containsText" dxfId="6081" priority="17" operator="containsText" text="Heavy">
      <formula>NOT(ISERROR(SEARCH("Heavy",B10)))</formula>
    </cfRule>
    <cfRule type="containsText" dxfId="6080" priority="18" operator="containsText" text="Medium">
      <formula>NOT(ISERROR(SEARCH("Medium",B10)))</formula>
    </cfRule>
    <cfRule type="containsText" dxfId="6079" priority="19" operator="containsText" text="Light">
      <formula>NOT(ISERROR(SEARCH("Light",B10)))</formula>
    </cfRule>
    <cfRule type="containsText" dxfId="6078" priority="20" operator="containsText" text="None">
      <formula>NOT(ISERROR(SEARCH("None",B10)))</formula>
    </cfRule>
  </conditionalFormatting>
  <conditionalFormatting sqref="E42">
    <cfRule type="cellIs" dxfId="6077" priority="10" operator="between">
      <formula>0.1</formula>
      <formula>0.119</formula>
    </cfRule>
    <cfRule type="cellIs" dxfId="6076" priority="11" operator="lessThan">
      <formula>0.1</formula>
    </cfRule>
    <cfRule type="cellIs" dxfId="6075" priority="12" operator="greaterThanOrEqual">
      <formula>0.12</formula>
    </cfRule>
  </conditionalFormatting>
  <conditionalFormatting sqref="B28">
    <cfRule type="cellIs" dxfId="6074" priority="33" operator="lessThan">
      <formula>$B$8*100</formula>
    </cfRule>
    <cfRule type="cellIs" dxfId="6073" priority="34" operator="greaterThanOrEqual">
      <formula>$B$8*100</formula>
    </cfRule>
  </conditionalFormatting>
  <conditionalFormatting sqref="B41">
    <cfRule type="cellIs" dxfId="6072" priority="35" operator="lessThan">
      <formula>$B$8*100</formula>
    </cfRule>
    <cfRule type="cellIs" dxfId="6071" priority="36" operator="greaterThan">
      <formula>$B$8*100</formula>
    </cfRule>
    <cfRule type="cellIs" dxfId="6070" priority="37" operator="greaterThan">
      <formula>$B$8*100</formula>
    </cfRule>
  </conditionalFormatting>
  <conditionalFormatting sqref="E41">
    <cfRule type="cellIs" dxfId="6069" priority="38" operator="greaterThan">
      <formula>$B$8*100</formula>
    </cfRule>
    <cfRule type="cellIs" dxfId="6068" priority="39" operator="lessThan">
      <formula>$B$8*100</formula>
    </cfRule>
  </conditionalFormatting>
  <conditionalFormatting sqref="B38">
    <cfRule type="cellIs" dxfId="6067" priority="8" operator="equal">
      <formula>"YES"</formula>
    </cfRule>
    <cfRule type="cellIs" dxfId="6066" priority="9" operator="equal">
      <formula>"NO"</formula>
    </cfRule>
  </conditionalFormatting>
  <conditionalFormatting sqref="E23:E26">
    <cfRule type="cellIs" dxfId="6065" priority="4" operator="equal">
      <formula>"NO"</formula>
    </cfRule>
    <cfRule type="cellIs" dxfId="6064" priority="5" operator="equal">
      <formula>"YES"</formula>
    </cfRule>
  </conditionalFormatting>
  <conditionalFormatting sqref="E29">
    <cfRule type="cellIs" dxfId="6063" priority="1" operator="between">
      <formula>10%</formula>
      <formula>12%</formula>
    </cfRule>
    <cfRule type="cellIs" dxfId="6062" priority="2" operator="lessThan">
      <formula>0.1</formula>
    </cfRule>
    <cfRule type="cellIs" dxfId="6061" priority="3" operator="greaterThan">
      <formula>0.12</formula>
    </cfRule>
  </conditionalFormatting>
  <conditionalFormatting sqref="E28">
    <cfRule type="cellIs" dxfId="6060" priority="6" operator="lessThan">
      <formula>$B$8*100</formula>
    </cfRule>
    <cfRule type="cellIs" dxfId="6059" priority="7" operator="greaterThan">
      <formula>$B$8*100</formula>
    </cfRule>
  </conditionalFormatting>
  <hyperlinks>
    <hyperlink ref="A32" r:id="rId1" display="https://www.zillow.com/homes/recently_sold/" xr:uid="{430BFCE4-A7E0-445E-A5C5-F6E829016443}"/>
    <hyperlink ref="A21" r:id="rId2" xr:uid="{211BCE45-6493-4A82-BBE8-BBA476333790}"/>
    <hyperlink ref="A25" r:id="rId3" display="www.mortgagecalculator.org" xr:uid="{25647F76-4950-4750-B447-922CB2D42991}"/>
    <hyperlink ref="A12" r:id="rId4" xr:uid="{B8983F88-4C84-4291-A2FF-B776B6708557}"/>
  </hyperlinks>
  <pageMargins left="0.7" right="0.7" top="0.75" bottom="0.75" header="0.3" footer="0.3"/>
  <drawing r:id="rId5"/>
  <legacyDrawing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96B5F-2CF5-4B11-A229-82DD2E303F4C}">
  <sheetPr codeName="Sheet64">
    <tabColor rgb="FF00B050"/>
  </sheetPr>
  <dimension ref="A1:P42"/>
  <sheetViews>
    <sheetView topLeftCell="A13" workbookViewId="0">
      <selection activeCell="B14" sqref="B1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144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213000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 t="s">
        <v>152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213000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 t="e">
        <f>B14*B9</f>
        <v>#VALUE!</v>
      </c>
      <c r="D15" s="2"/>
      <c r="E15" s="3"/>
    </row>
    <row r="16" spans="1:10" x14ac:dyDescent="0.25">
      <c r="A16" s="7" t="s">
        <v>20</v>
      </c>
      <c r="B16" s="17" t="e">
        <f>B15+B13</f>
        <v>#VALUE!</v>
      </c>
      <c r="D16" s="2"/>
      <c r="E16" s="18"/>
    </row>
    <row r="17" spans="1:16" ht="15.75" thickBot="1" x14ac:dyDescent="0.3">
      <c r="A17" s="7" t="s">
        <v>21</v>
      </c>
      <c r="B17" s="17" t="e">
        <f>IF(B10="None",B16*0.05,B16*0.035)</f>
        <v>#VALUE!</v>
      </c>
      <c r="D17" s="19" t="s">
        <v>22</v>
      </c>
      <c r="E17" s="20"/>
      <c r="P17" s="21"/>
    </row>
    <row r="18" spans="1:16" x14ac:dyDescent="0.25">
      <c r="A18" s="7" t="s">
        <v>23</v>
      </c>
      <c r="B18" s="17" t="e">
        <f>B16-B17</f>
        <v>#VALUE!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773*4</f>
        <v>3092</v>
      </c>
      <c r="D21" s="23" t="s">
        <v>28</v>
      </c>
      <c r="E21" s="8">
        <f>773*3</f>
        <v>2319</v>
      </c>
      <c r="G21" s="27" t="s">
        <v>29</v>
      </c>
      <c r="H21" s="28"/>
      <c r="I21" s="29"/>
    </row>
    <row r="22" spans="1:16" x14ac:dyDescent="0.25">
      <c r="A22" s="7" t="s">
        <v>78</v>
      </c>
      <c r="B22" s="17" t="e">
        <f>B16*0.01</f>
        <v>#VALUE!</v>
      </c>
      <c r="D22" s="7" t="s">
        <v>77</v>
      </c>
      <c r="E22" s="17" t="e">
        <f>B16*0.01</f>
        <v>#VALUE!</v>
      </c>
      <c r="G22" s="27" t="s">
        <v>32</v>
      </c>
      <c r="H22" s="28"/>
      <c r="I22" s="29"/>
    </row>
    <row r="23" spans="1:16" x14ac:dyDescent="0.25">
      <c r="A23" s="7" t="s">
        <v>33</v>
      </c>
      <c r="B23" s="30" t="e">
        <f>IF(B21&gt;=B22,"YES","NO")</f>
        <v>#VALUE!</v>
      </c>
      <c r="D23" s="7" t="s">
        <v>33</v>
      </c>
      <c r="E23" s="31" t="e">
        <f>IF(E21&gt;=E22,"YES","NO")</f>
        <v>#VALUE!</v>
      </c>
      <c r="G23" s="27" t="s">
        <v>35</v>
      </c>
      <c r="H23" s="28"/>
      <c r="I23" s="29">
        <v>200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200</v>
      </c>
    </row>
    <row r="25" spans="1:16" ht="15.75" thickBot="1" x14ac:dyDescent="0.3">
      <c r="A25" s="26" t="s">
        <v>37</v>
      </c>
      <c r="B25" s="8">
        <v>1643.44</v>
      </c>
      <c r="D25" s="7" t="s">
        <v>38</v>
      </c>
      <c r="E25" s="35">
        <f>B25</f>
        <v>1643.44</v>
      </c>
      <c r="G25" s="36" t="s">
        <v>39</v>
      </c>
      <c r="H25" s="37"/>
      <c r="I25" s="38">
        <f>SUM(I21:I24)</f>
        <v>400</v>
      </c>
    </row>
    <row r="26" spans="1:16" x14ac:dyDescent="0.25">
      <c r="A26" s="7" t="s">
        <v>40</v>
      </c>
      <c r="B26" s="17">
        <f>B25+I25+I34</f>
        <v>2507.2400000000002</v>
      </c>
      <c r="D26" s="7" t="s">
        <v>41</v>
      </c>
      <c r="E26" s="17">
        <f>E25+I25+I34</f>
        <v>2507.2400000000002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584.75999999999976</v>
      </c>
      <c r="D28" s="7" t="s">
        <v>43</v>
      </c>
      <c r="E28" s="44">
        <f>E21-E25-I25-I34+I24+I33</f>
        <v>11.759999999999877</v>
      </c>
      <c r="G28" s="28"/>
      <c r="H28" s="28"/>
      <c r="I28" s="28"/>
    </row>
    <row r="29" spans="1:16" ht="16.5" thickBot="1" x14ac:dyDescent="0.3">
      <c r="A29" s="7" t="s">
        <v>44</v>
      </c>
      <c r="B29" s="45" t="e">
        <f>(B28*12)/B17</f>
        <v>#VALUE!</v>
      </c>
      <c r="D29" s="46" t="s">
        <v>44</v>
      </c>
      <c r="E29" s="47" t="e">
        <f>(E28*12)/B17</f>
        <v>#VALUE!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154.60000000000002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154.60000000000002</v>
      </c>
    </row>
    <row r="32" spans="1:16" x14ac:dyDescent="0.25">
      <c r="A32" s="26" t="s">
        <v>49</v>
      </c>
      <c r="B32" s="8" t="e">
        <f>B16</f>
        <v>#VALUE!</v>
      </c>
      <c r="G32" s="27" t="s">
        <v>50</v>
      </c>
      <c r="H32" s="48">
        <v>0.05</v>
      </c>
      <c r="I32" s="49">
        <f>$B$21*H32</f>
        <v>154.60000000000002</v>
      </c>
    </row>
    <row r="33" spans="1:9" x14ac:dyDescent="0.25">
      <c r="A33" s="7" t="s">
        <v>51</v>
      </c>
      <c r="B33" s="17" t="e">
        <f>B32-B18</f>
        <v>#VALUE!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 t="e">
        <f>B33/B17</f>
        <v>#VALUE!</v>
      </c>
      <c r="G34" s="36" t="s">
        <v>39</v>
      </c>
      <c r="H34" s="37"/>
      <c r="I34" s="51">
        <f>SUM(I30:I33)</f>
        <v>463.80000000000007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 t="e">
        <f>B18/B32</f>
        <v>#VALUE!</v>
      </c>
      <c r="D37" s="7"/>
      <c r="E37" s="50"/>
    </row>
    <row r="38" spans="1:9" x14ac:dyDescent="0.25">
      <c r="A38" s="7" t="s">
        <v>56</v>
      </c>
      <c r="B38" s="31" t="e">
        <f>IF(B37&lt;0.8, "YES", "NO")</f>
        <v>#VALUE!</v>
      </c>
      <c r="D38" s="7"/>
      <c r="E38" s="31"/>
    </row>
    <row r="39" spans="1:9" x14ac:dyDescent="0.25">
      <c r="A39" s="7" t="s">
        <v>57</v>
      </c>
      <c r="B39" s="17" t="e">
        <f>(B18*0.0085)/12</f>
        <v>#VALUE!</v>
      </c>
      <c r="D39" s="7"/>
      <c r="E39" s="17"/>
    </row>
    <row r="40" spans="1:9" x14ac:dyDescent="0.25">
      <c r="A40" s="7" t="s">
        <v>58</v>
      </c>
      <c r="B40" s="17" t="e">
        <f>B25-B39</f>
        <v>#VALUE!</v>
      </c>
      <c r="D40" s="7"/>
      <c r="E40" s="17"/>
    </row>
    <row r="41" spans="1:9" x14ac:dyDescent="0.25">
      <c r="A41" s="7" t="s">
        <v>59</v>
      </c>
      <c r="B41" s="43" t="e">
        <f>B21-B40-I25-I34</f>
        <v>#VALUE!</v>
      </c>
      <c r="D41" s="53"/>
      <c r="E41" s="54"/>
    </row>
    <row r="42" spans="1:9" ht="15.75" thickBot="1" x14ac:dyDescent="0.3">
      <c r="A42" s="46" t="s">
        <v>44</v>
      </c>
      <c r="B42" s="47" t="e">
        <f>(B41*12)/B17</f>
        <v>#VALUE!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058" priority="31" operator="equal">
      <formula>"NO"</formula>
    </cfRule>
    <cfRule type="cellIs" dxfId="6057" priority="32" operator="equal">
      <formula>"YES"</formula>
    </cfRule>
  </conditionalFormatting>
  <conditionalFormatting sqref="E38">
    <cfRule type="cellIs" dxfId="6056" priority="29" operator="equal">
      <formula>"YES"</formula>
    </cfRule>
    <cfRule type="cellIs" dxfId="6055" priority="30" operator="equal">
      <formula>"NO"</formula>
    </cfRule>
  </conditionalFormatting>
  <conditionalFormatting sqref="B23">
    <cfRule type="cellIs" dxfId="6054" priority="27" operator="equal">
      <formula>"NO"</formula>
    </cfRule>
    <cfRule type="cellIs" dxfId="6053" priority="28" operator="equal">
      <formula>"YES"</formula>
    </cfRule>
  </conditionalFormatting>
  <conditionalFormatting sqref="B12">
    <cfRule type="containsText" dxfId="6052" priority="13" operator="containsText" text="Low">
      <formula>NOT(ISERROR(SEARCH("Low",B12)))</formula>
    </cfRule>
    <cfRule type="containsText" dxfId="6051" priority="14" operator="containsText" text="Medium">
      <formula>NOT(ISERROR(SEARCH("Medium",B12)))</formula>
    </cfRule>
    <cfRule type="containsText" dxfId="6050" priority="15" operator="containsText" text="High">
      <formula>NOT(ISERROR(SEARCH("High",B12)))</formula>
    </cfRule>
  </conditionalFormatting>
  <conditionalFormatting sqref="B29">
    <cfRule type="cellIs" dxfId="6049" priority="23" operator="between">
      <formula>10%</formula>
      <formula>11.9%</formula>
    </cfRule>
    <cfRule type="cellIs" dxfId="6048" priority="25" operator="lessThan">
      <formula>0.1</formula>
    </cfRule>
    <cfRule type="cellIs" dxfId="6047" priority="26" operator="greaterThanOrEqual">
      <formula>0.12</formula>
    </cfRule>
  </conditionalFormatting>
  <conditionalFormatting sqref="B42">
    <cfRule type="cellIs" dxfId="6046" priority="21" operator="between">
      <formula>0.1</formula>
      <formula>0.1199</formula>
    </cfRule>
    <cfRule type="cellIs" dxfId="6045" priority="22" operator="lessThan">
      <formula>0.1</formula>
    </cfRule>
    <cfRule type="cellIs" dxfId="6044" priority="24" operator="greaterThanOrEqual">
      <formula>0.12</formula>
    </cfRule>
  </conditionalFormatting>
  <conditionalFormatting sqref="B10">
    <cfRule type="containsText" dxfId="6043" priority="16" operator="containsText" text="Full">
      <formula>NOT(ISERROR(SEARCH("Full",B10)))</formula>
    </cfRule>
    <cfRule type="containsText" dxfId="6042" priority="17" operator="containsText" text="Heavy">
      <formula>NOT(ISERROR(SEARCH("Heavy",B10)))</formula>
    </cfRule>
    <cfRule type="containsText" dxfId="6041" priority="18" operator="containsText" text="Medium">
      <formula>NOT(ISERROR(SEARCH("Medium",B10)))</formula>
    </cfRule>
    <cfRule type="containsText" dxfId="6040" priority="19" operator="containsText" text="Light">
      <formula>NOT(ISERROR(SEARCH("Light",B10)))</formula>
    </cfRule>
    <cfRule type="containsText" dxfId="6039" priority="20" operator="containsText" text="None">
      <formula>NOT(ISERROR(SEARCH("None",B10)))</formula>
    </cfRule>
  </conditionalFormatting>
  <conditionalFormatting sqref="E42">
    <cfRule type="cellIs" dxfId="6038" priority="10" operator="between">
      <formula>0.1</formula>
      <formula>0.119</formula>
    </cfRule>
    <cfRule type="cellIs" dxfId="6037" priority="11" operator="lessThan">
      <formula>0.1</formula>
    </cfRule>
    <cfRule type="cellIs" dxfId="6036" priority="12" operator="greaterThanOrEqual">
      <formula>0.12</formula>
    </cfRule>
  </conditionalFormatting>
  <conditionalFormatting sqref="B28">
    <cfRule type="cellIs" dxfId="6035" priority="33" operator="lessThan">
      <formula>$B$8*100</formula>
    </cfRule>
    <cfRule type="cellIs" dxfId="6034" priority="34" operator="greaterThanOrEqual">
      <formula>$B$8*100</formula>
    </cfRule>
  </conditionalFormatting>
  <conditionalFormatting sqref="B41">
    <cfRule type="cellIs" dxfId="6033" priority="35" operator="lessThan">
      <formula>$B$8*100</formula>
    </cfRule>
    <cfRule type="cellIs" dxfId="6032" priority="36" operator="greaterThan">
      <formula>$B$8*100</formula>
    </cfRule>
    <cfRule type="cellIs" dxfId="6031" priority="37" operator="greaterThan">
      <formula>$B$8*100</formula>
    </cfRule>
  </conditionalFormatting>
  <conditionalFormatting sqref="E41">
    <cfRule type="cellIs" dxfId="6030" priority="38" operator="greaterThan">
      <formula>$B$8*100</formula>
    </cfRule>
    <cfRule type="cellIs" dxfId="6029" priority="39" operator="lessThan">
      <formula>$B$8*100</formula>
    </cfRule>
  </conditionalFormatting>
  <conditionalFormatting sqref="B38">
    <cfRule type="cellIs" dxfId="6028" priority="8" operator="equal">
      <formula>"YES"</formula>
    </cfRule>
    <cfRule type="cellIs" dxfId="6027" priority="9" operator="equal">
      <formula>"NO"</formula>
    </cfRule>
  </conditionalFormatting>
  <conditionalFormatting sqref="E23:E26">
    <cfRule type="cellIs" dxfId="6026" priority="4" operator="equal">
      <formula>"NO"</formula>
    </cfRule>
    <cfRule type="cellIs" dxfId="6025" priority="5" operator="equal">
      <formula>"YES"</formula>
    </cfRule>
  </conditionalFormatting>
  <conditionalFormatting sqref="E29">
    <cfRule type="cellIs" dxfId="6024" priority="1" operator="between">
      <formula>10%</formula>
      <formula>12%</formula>
    </cfRule>
    <cfRule type="cellIs" dxfId="6023" priority="2" operator="lessThan">
      <formula>0.1</formula>
    </cfRule>
    <cfRule type="cellIs" dxfId="6022" priority="3" operator="greaterThan">
      <formula>0.12</formula>
    </cfRule>
  </conditionalFormatting>
  <conditionalFormatting sqref="E28">
    <cfRule type="cellIs" dxfId="6021" priority="6" operator="lessThan">
      <formula>$B$8*100</formula>
    </cfRule>
    <cfRule type="cellIs" dxfId="6020" priority="7" operator="greaterThan">
      <formula>$B$8*100</formula>
    </cfRule>
  </conditionalFormatting>
  <hyperlinks>
    <hyperlink ref="A32" r:id="rId1" display="https://www.zillow.com/homes/recently_sold/" xr:uid="{DAC62594-8D34-41D4-A152-6911D626E65D}"/>
    <hyperlink ref="A21" r:id="rId2" xr:uid="{D42FBC2A-FF23-4ECE-B6BE-5958C2B49B2C}"/>
    <hyperlink ref="A25" r:id="rId3" display="www.mortgagecalculator.org" xr:uid="{E04FAF34-C75E-45C2-AEBC-1E018D8CF9A4}"/>
    <hyperlink ref="A12" r:id="rId4" xr:uid="{478E93CC-B0B7-41CD-BE60-679C43DE2DCE}"/>
  </hyperlinks>
  <pageMargins left="0.7" right="0.7" top="0.75" bottom="0.75" header="0.3" footer="0.3"/>
  <drawing r:id="rId5"/>
  <legacyDrawing r:id="rId6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2A59B-C985-4CDA-93AD-FEA513228B35}">
  <sheetPr codeName="Sheet65">
    <tabColor rgb="FF00B050"/>
  </sheetPr>
  <dimension ref="A1:P42"/>
  <sheetViews>
    <sheetView topLeftCell="A10" workbookViewId="0">
      <selection activeCell="B16" sqref="B1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146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1568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161415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23520</v>
      </c>
      <c r="D15" s="2"/>
      <c r="E15" s="3"/>
    </row>
    <row r="16" spans="1:10" x14ac:dyDescent="0.25">
      <c r="A16" s="7" t="s">
        <v>20</v>
      </c>
      <c r="B16" s="17">
        <f>B15+B13</f>
        <v>184935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6472.7250000000004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178462.27499999999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148</v>
      </c>
      <c r="H20" s="73"/>
      <c r="I20" s="74"/>
    </row>
    <row r="21" spans="1:16" x14ac:dyDescent="0.25">
      <c r="A21" s="26" t="s">
        <v>27</v>
      </c>
      <c r="B21" s="8">
        <f>1064*2</f>
        <v>2128</v>
      </c>
      <c r="D21" s="23" t="s">
        <v>28</v>
      </c>
      <c r="E21" s="8">
        <f>1064*2*5/6</f>
        <v>1773.3333333333333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1849.3500000000001</v>
      </c>
      <c r="D22" s="7" t="s">
        <v>77</v>
      </c>
      <c r="E22" s="17">
        <f>B16*0.01</f>
        <v>1849.3500000000001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1520.08</v>
      </c>
      <c r="D25" s="7" t="s">
        <v>38</v>
      </c>
      <c r="E25" s="35">
        <f>B25</f>
        <v>1520.08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1839.28</v>
      </c>
      <c r="D26" s="7" t="s">
        <v>41</v>
      </c>
      <c r="E26" s="17">
        <f>E25+I25+I34</f>
        <v>1839.28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288.72000000000003</v>
      </c>
      <c r="D28" s="7" t="s">
        <v>43</v>
      </c>
      <c r="E28" s="44">
        <f>E21-E25-I25-I34+I24+I33</f>
        <v>-65.946666666666715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0.5352676036754227</v>
      </c>
      <c r="D29" s="46" t="s">
        <v>44</v>
      </c>
      <c r="E29" s="47">
        <f>(E28*12)/B17</f>
        <v>-0.12226071708592602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106.4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106.4</v>
      </c>
    </row>
    <row r="32" spans="1:16" x14ac:dyDescent="0.25">
      <c r="A32" s="26" t="s">
        <v>49</v>
      </c>
      <c r="B32" s="8">
        <f>B16</f>
        <v>184935</v>
      </c>
      <c r="G32" s="27" t="s">
        <v>50</v>
      </c>
      <c r="H32" s="48">
        <v>0.05</v>
      </c>
      <c r="I32" s="49">
        <f>$B$21*H32</f>
        <v>106.4</v>
      </c>
    </row>
    <row r="33" spans="1:9" x14ac:dyDescent="0.25">
      <c r="A33" s="7" t="s">
        <v>51</v>
      </c>
      <c r="B33" s="17">
        <f>B32-B18</f>
        <v>6472.7250000000058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1.0000000000000009</v>
      </c>
      <c r="G34" s="36" t="s">
        <v>39</v>
      </c>
      <c r="H34" s="37"/>
      <c r="I34" s="51">
        <f>SUM(I30:I33)</f>
        <v>319.20000000000005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0.96499999999999997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126.41077812499999</v>
      </c>
      <c r="D39" s="7"/>
      <c r="E39" s="17"/>
    </row>
    <row r="40" spans="1:9" x14ac:dyDescent="0.25">
      <c r="A40" s="7" t="s">
        <v>58</v>
      </c>
      <c r="B40" s="17">
        <f>B25-B39</f>
        <v>1393.6692218749999</v>
      </c>
      <c r="D40" s="7"/>
      <c r="E40" s="17"/>
    </row>
    <row r="41" spans="1:9" x14ac:dyDescent="0.25">
      <c r="A41" s="7" t="s">
        <v>59</v>
      </c>
      <c r="B41" s="43">
        <f>B21-B40-I25-I34</f>
        <v>415.13077812500001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0.76962474653256552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6019" priority="31" operator="equal">
      <formula>"NO"</formula>
    </cfRule>
    <cfRule type="cellIs" dxfId="6018" priority="32" operator="equal">
      <formula>"YES"</formula>
    </cfRule>
  </conditionalFormatting>
  <conditionalFormatting sqref="E38">
    <cfRule type="cellIs" dxfId="6017" priority="29" operator="equal">
      <formula>"YES"</formula>
    </cfRule>
    <cfRule type="cellIs" dxfId="6016" priority="30" operator="equal">
      <formula>"NO"</formula>
    </cfRule>
  </conditionalFormatting>
  <conditionalFormatting sqref="B23">
    <cfRule type="cellIs" dxfId="6015" priority="27" operator="equal">
      <formula>"NO"</formula>
    </cfRule>
    <cfRule type="cellIs" dxfId="6014" priority="28" operator="equal">
      <formula>"YES"</formula>
    </cfRule>
  </conditionalFormatting>
  <conditionalFormatting sqref="B12">
    <cfRule type="containsText" dxfId="6013" priority="13" operator="containsText" text="Low">
      <formula>NOT(ISERROR(SEARCH("Low",B12)))</formula>
    </cfRule>
    <cfRule type="containsText" dxfId="6012" priority="14" operator="containsText" text="Medium">
      <formula>NOT(ISERROR(SEARCH("Medium",B12)))</formula>
    </cfRule>
    <cfRule type="containsText" dxfId="6011" priority="15" operator="containsText" text="High">
      <formula>NOT(ISERROR(SEARCH("High",B12)))</formula>
    </cfRule>
  </conditionalFormatting>
  <conditionalFormatting sqref="B29">
    <cfRule type="cellIs" dxfId="6010" priority="23" operator="between">
      <formula>10%</formula>
      <formula>11.9%</formula>
    </cfRule>
    <cfRule type="cellIs" dxfId="6009" priority="25" operator="lessThan">
      <formula>0.1</formula>
    </cfRule>
    <cfRule type="cellIs" dxfId="6008" priority="26" operator="greaterThanOrEqual">
      <formula>0.12</formula>
    </cfRule>
  </conditionalFormatting>
  <conditionalFormatting sqref="B42">
    <cfRule type="cellIs" dxfId="6007" priority="21" operator="between">
      <formula>0.1</formula>
      <formula>0.1199</formula>
    </cfRule>
    <cfRule type="cellIs" dxfId="6006" priority="22" operator="lessThan">
      <formula>0.1</formula>
    </cfRule>
    <cfRule type="cellIs" dxfId="6005" priority="24" operator="greaterThanOrEqual">
      <formula>0.12</formula>
    </cfRule>
  </conditionalFormatting>
  <conditionalFormatting sqref="B10">
    <cfRule type="containsText" dxfId="6004" priority="16" operator="containsText" text="Full">
      <formula>NOT(ISERROR(SEARCH("Full",B10)))</formula>
    </cfRule>
    <cfRule type="containsText" dxfId="6003" priority="17" operator="containsText" text="Heavy">
      <formula>NOT(ISERROR(SEARCH("Heavy",B10)))</formula>
    </cfRule>
    <cfRule type="containsText" dxfId="6002" priority="18" operator="containsText" text="Medium">
      <formula>NOT(ISERROR(SEARCH("Medium",B10)))</formula>
    </cfRule>
    <cfRule type="containsText" dxfId="6001" priority="19" operator="containsText" text="Light">
      <formula>NOT(ISERROR(SEARCH("Light",B10)))</formula>
    </cfRule>
    <cfRule type="containsText" dxfId="6000" priority="20" operator="containsText" text="None">
      <formula>NOT(ISERROR(SEARCH("None",B10)))</formula>
    </cfRule>
  </conditionalFormatting>
  <conditionalFormatting sqref="E42">
    <cfRule type="cellIs" dxfId="5999" priority="10" operator="between">
      <formula>0.1</formula>
      <formula>0.119</formula>
    </cfRule>
    <cfRule type="cellIs" dxfId="5998" priority="11" operator="lessThan">
      <formula>0.1</formula>
    </cfRule>
    <cfRule type="cellIs" dxfId="5997" priority="12" operator="greaterThanOrEqual">
      <formula>0.12</formula>
    </cfRule>
  </conditionalFormatting>
  <conditionalFormatting sqref="B28">
    <cfRule type="cellIs" dxfId="5996" priority="33" operator="lessThan">
      <formula>$B$8*100</formula>
    </cfRule>
    <cfRule type="cellIs" dxfId="5995" priority="34" operator="greaterThanOrEqual">
      <formula>$B$8*100</formula>
    </cfRule>
  </conditionalFormatting>
  <conditionalFormatting sqref="B41">
    <cfRule type="cellIs" dxfId="5994" priority="35" operator="lessThan">
      <formula>$B$8*100</formula>
    </cfRule>
    <cfRule type="cellIs" dxfId="5993" priority="36" operator="greaterThan">
      <formula>$B$8*100</formula>
    </cfRule>
    <cfRule type="cellIs" dxfId="5992" priority="37" operator="greaterThan">
      <formula>$B$8*100</formula>
    </cfRule>
  </conditionalFormatting>
  <conditionalFormatting sqref="E41">
    <cfRule type="cellIs" dxfId="5991" priority="38" operator="greaterThan">
      <formula>$B$8*100</formula>
    </cfRule>
    <cfRule type="cellIs" dxfId="5990" priority="39" operator="lessThan">
      <formula>$B$8*100</formula>
    </cfRule>
  </conditionalFormatting>
  <conditionalFormatting sqref="B38">
    <cfRule type="cellIs" dxfId="5989" priority="8" operator="equal">
      <formula>"YES"</formula>
    </cfRule>
    <cfRule type="cellIs" dxfId="5988" priority="9" operator="equal">
      <formula>"NO"</formula>
    </cfRule>
  </conditionalFormatting>
  <conditionalFormatting sqref="E23:E26">
    <cfRule type="cellIs" dxfId="5987" priority="4" operator="equal">
      <formula>"NO"</formula>
    </cfRule>
    <cfRule type="cellIs" dxfId="5986" priority="5" operator="equal">
      <formula>"YES"</formula>
    </cfRule>
  </conditionalFormatting>
  <conditionalFormatting sqref="E29">
    <cfRule type="cellIs" dxfId="5985" priority="1" operator="between">
      <formula>10%</formula>
      <formula>12%</formula>
    </cfRule>
    <cfRule type="cellIs" dxfId="5984" priority="2" operator="lessThan">
      <formula>0.1</formula>
    </cfRule>
    <cfRule type="cellIs" dxfId="5983" priority="3" operator="greaterThan">
      <formula>0.12</formula>
    </cfRule>
  </conditionalFormatting>
  <conditionalFormatting sqref="E28">
    <cfRule type="cellIs" dxfId="5982" priority="6" operator="lessThan">
      <formula>$B$8*100</formula>
    </cfRule>
    <cfRule type="cellIs" dxfId="5981" priority="7" operator="greaterThan">
      <formula>$B$8*100</formula>
    </cfRule>
  </conditionalFormatting>
  <hyperlinks>
    <hyperlink ref="A32" r:id="rId1" display="https://www.zillow.com/homes/recently_sold/" xr:uid="{5AE35684-93D7-4F38-BDAA-05BF04A3B49C}"/>
    <hyperlink ref="A21" r:id="rId2" xr:uid="{35C5D79A-C529-4698-8406-3DD50251E6BC}"/>
    <hyperlink ref="A25" r:id="rId3" display="www.mortgagecalculator.org" xr:uid="{F7953EFB-76DC-4A3A-A59F-0FFFBD9545C8}"/>
    <hyperlink ref="A12" r:id="rId4" xr:uid="{B9DB22DB-CBDE-4D6B-8D00-6A7375DC6808}"/>
  </hyperlinks>
  <pageMargins left="0.7" right="0.7" top="0.75" bottom="0.75" header="0.3" footer="0.3"/>
  <drawing r:id="rId5"/>
  <legacyDrawing r:id="rId6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FDFF-A9BE-45B7-81E3-4997E45B2F6C}">
  <sheetPr codeName="Sheet66">
    <tabColor rgb="FF00B050"/>
  </sheetPr>
  <dimension ref="A1:P42"/>
  <sheetViews>
    <sheetView topLeftCell="A13"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150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1568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161415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23520</v>
      </c>
      <c r="D15" s="2"/>
      <c r="E15" s="3"/>
    </row>
    <row r="16" spans="1:10" x14ac:dyDescent="0.25">
      <c r="A16" s="7" t="s">
        <v>20</v>
      </c>
      <c r="B16" s="17">
        <f>B15+B13</f>
        <v>184935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6472.7250000000004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178462.27499999999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151</v>
      </c>
      <c r="H20" s="73"/>
      <c r="I20" s="74"/>
    </row>
    <row r="21" spans="1:16" x14ac:dyDescent="0.25">
      <c r="A21" s="26" t="s">
        <v>27</v>
      </c>
      <c r="B21" s="8">
        <f>1064*2</f>
        <v>2128</v>
      </c>
      <c r="D21" s="23" t="s">
        <v>28</v>
      </c>
      <c r="E21" s="8">
        <f>1064*2*5/6</f>
        <v>1773.3333333333333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1849.3500000000001</v>
      </c>
      <c r="D22" s="7" t="s">
        <v>77</v>
      </c>
      <c r="E22" s="17">
        <f>B16*0.01</f>
        <v>1849.3500000000001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1520.08</v>
      </c>
      <c r="D25" s="7" t="s">
        <v>38</v>
      </c>
      <c r="E25" s="35">
        <f>B25</f>
        <v>1520.08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1839.28</v>
      </c>
      <c r="D26" s="7" t="s">
        <v>41</v>
      </c>
      <c r="E26" s="17">
        <f>E25+I25+I34</f>
        <v>1839.28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288.72000000000003</v>
      </c>
      <c r="D28" s="7" t="s">
        <v>43</v>
      </c>
      <c r="E28" s="44">
        <f>E21-E25-I25-I34+I24+I33</f>
        <v>-65.946666666666715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0.5352676036754227</v>
      </c>
      <c r="D29" s="46" t="s">
        <v>44</v>
      </c>
      <c r="E29" s="47">
        <f>(E28*12)/B17</f>
        <v>-0.12226071708592602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106.4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106.4</v>
      </c>
    </row>
    <row r="32" spans="1:16" x14ac:dyDescent="0.25">
      <c r="A32" s="26" t="s">
        <v>49</v>
      </c>
      <c r="B32" s="8">
        <f>B16</f>
        <v>184935</v>
      </c>
      <c r="G32" s="27" t="s">
        <v>50</v>
      </c>
      <c r="H32" s="48">
        <v>0.05</v>
      </c>
      <c r="I32" s="49">
        <f>$B$21*H32</f>
        <v>106.4</v>
      </c>
    </row>
    <row r="33" spans="1:9" x14ac:dyDescent="0.25">
      <c r="A33" s="7" t="s">
        <v>51</v>
      </c>
      <c r="B33" s="17">
        <f>B32-B18</f>
        <v>6472.7250000000058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1.0000000000000009</v>
      </c>
      <c r="G34" s="36" t="s">
        <v>39</v>
      </c>
      <c r="H34" s="37"/>
      <c r="I34" s="51">
        <f>SUM(I30:I33)</f>
        <v>319.20000000000005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0.96499999999999997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126.41077812499999</v>
      </c>
      <c r="D39" s="7"/>
      <c r="E39" s="17"/>
    </row>
    <row r="40" spans="1:9" x14ac:dyDescent="0.25">
      <c r="A40" s="7" t="s">
        <v>58</v>
      </c>
      <c r="B40" s="17">
        <f>B25-B39</f>
        <v>1393.6692218749999</v>
      </c>
      <c r="D40" s="7"/>
      <c r="E40" s="17"/>
    </row>
    <row r="41" spans="1:9" x14ac:dyDescent="0.25">
      <c r="A41" s="7" t="s">
        <v>59</v>
      </c>
      <c r="B41" s="43">
        <f>B21-B40-I25-I34</f>
        <v>415.13077812500001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0.76962474653256552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980" priority="31" operator="equal">
      <formula>"NO"</formula>
    </cfRule>
    <cfRule type="cellIs" dxfId="5979" priority="32" operator="equal">
      <formula>"YES"</formula>
    </cfRule>
  </conditionalFormatting>
  <conditionalFormatting sqref="E38">
    <cfRule type="cellIs" dxfId="5978" priority="29" operator="equal">
      <formula>"YES"</formula>
    </cfRule>
    <cfRule type="cellIs" dxfId="5977" priority="30" operator="equal">
      <formula>"NO"</formula>
    </cfRule>
  </conditionalFormatting>
  <conditionalFormatting sqref="B23">
    <cfRule type="cellIs" dxfId="5976" priority="27" operator="equal">
      <formula>"NO"</formula>
    </cfRule>
    <cfRule type="cellIs" dxfId="5975" priority="28" operator="equal">
      <formula>"YES"</formula>
    </cfRule>
  </conditionalFormatting>
  <conditionalFormatting sqref="B12">
    <cfRule type="containsText" dxfId="5974" priority="13" operator="containsText" text="Low">
      <formula>NOT(ISERROR(SEARCH("Low",B12)))</formula>
    </cfRule>
    <cfRule type="containsText" dxfId="5973" priority="14" operator="containsText" text="Medium">
      <formula>NOT(ISERROR(SEARCH("Medium",B12)))</formula>
    </cfRule>
    <cfRule type="containsText" dxfId="5972" priority="15" operator="containsText" text="High">
      <formula>NOT(ISERROR(SEARCH("High",B12)))</formula>
    </cfRule>
  </conditionalFormatting>
  <conditionalFormatting sqref="B29">
    <cfRule type="cellIs" dxfId="5971" priority="23" operator="between">
      <formula>10%</formula>
      <formula>11.9%</formula>
    </cfRule>
    <cfRule type="cellIs" dxfId="5970" priority="25" operator="lessThan">
      <formula>0.1</formula>
    </cfRule>
    <cfRule type="cellIs" dxfId="5969" priority="26" operator="greaterThanOrEqual">
      <formula>0.12</formula>
    </cfRule>
  </conditionalFormatting>
  <conditionalFormatting sqref="B42">
    <cfRule type="cellIs" dxfId="5968" priority="21" operator="between">
      <formula>0.1</formula>
      <formula>0.1199</formula>
    </cfRule>
    <cfRule type="cellIs" dxfId="5967" priority="22" operator="lessThan">
      <formula>0.1</formula>
    </cfRule>
    <cfRule type="cellIs" dxfId="5966" priority="24" operator="greaterThanOrEqual">
      <formula>0.12</formula>
    </cfRule>
  </conditionalFormatting>
  <conditionalFormatting sqref="B10">
    <cfRule type="containsText" dxfId="5965" priority="16" operator="containsText" text="Full">
      <formula>NOT(ISERROR(SEARCH("Full",B10)))</formula>
    </cfRule>
    <cfRule type="containsText" dxfId="5964" priority="17" operator="containsText" text="Heavy">
      <formula>NOT(ISERROR(SEARCH("Heavy",B10)))</formula>
    </cfRule>
    <cfRule type="containsText" dxfId="5963" priority="18" operator="containsText" text="Medium">
      <formula>NOT(ISERROR(SEARCH("Medium",B10)))</formula>
    </cfRule>
    <cfRule type="containsText" dxfId="5962" priority="19" operator="containsText" text="Light">
      <formula>NOT(ISERROR(SEARCH("Light",B10)))</formula>
    </cfRule>
    <cfRule type="containsText" dxfId="5961" priority="20" operator="containsText" text="None">
      <formula>NOT(ISERROR(SEARCH("None",B10)))</formula>
    </cfRule>
  </conditionalFormatting>
  <conditionalFormatting sqref="E42">
    <cfRule type="cellIs" dxfId="5960" priority="10" operator="between">
      <formula>0.1</formula>
      <formula>0.119</formula>
    </cfRule>
    <cfRule type="cellIs" dxfId="5959" priority="11" operator="lessThan">
      <formula>0.1</formula>
    </cfRule>
    <cfRule type="cellIs" dxfId="5958" priority="12" operator="greaterThanOrEqual">
      <formula>0.12</formula>
    </cfRule>
  </conditionalFormatting>
  <conditionalFormatting sqref="B28">
    <cfRule type="cellIs" dxfId="5957" priority="33" operator="lessThan">
      <formula>$B$8*100</formula>
    </cfRule>
    <cfRule type="cellIs" dxfId="5956" priority="34" operator="greaterThanOrEqual">
      <formula>$B$8*100</formula>
    </cfRule>
  </conditionalFormatting>
  <conditionalFormatting sqref="B41">
    <cfRule type="cellIs" dxfId="5955" priority="35" operator="lessThan">
      <formula>$B$8*100</formula>
    </cfRule>
    <cfRule type="cellIs" dxfId="5954" priority="36" operator="greaterThan">
      <formula>$B$8*100</formula>
    </cfRule>
    <cfRule type="cellIs" dxfId="5953" priority="37" operator="greaterThan">
      <formula>$B$8*100</formula>
    </cfRule>
  </conditionalFormatting>
  <conditionalFormatting sqref="E41">
    <cfRule type="cellIs" dxfId="5952" priority="38" operator="greaterThan">
      <formula>$B$8*100</formula>
    </cfRule>
    <cfRule type="cellIs" dxfId="5951" priority="39" operator="lessThan">
      <formula>$B$8*100</formula>
    </cfRule>
  </conditionalFormatting>
  <conditionalFormatting sqref="B38">
    <cfRule type="cellIs" dxfId="5950" priority="8" operator="equal">
      <formula>"YES"</formula>
    </cfRule>
    <cfRule type="cellIs" dxfId="5949" priority="9" operator="equal">
      <formula>"NO"</formula>
    </cfRule>
  </conditionalFormatting>
  <conditionalFormatting sqref="E23:E26">
    <cfRule type="cellIs" dxfId="5948" priority="4" operator="equal">
      <formula>"NO"</formula>
    </cfRule>
    <cfRule type="cellIs" dxfId="5947" priority="5" operator="equal">
      <formula>"YES"</formula>
    </cfRule>
  </conditionalFormatting>
  <conditionalFormatting sqref="E29">
    <cfRule type="cellIs" dxfId="5946" priority="1" operator="between">
      <formula>10%</formula>
      <formula>12%</formula>
    </cfRule>
    <cfRule type="cellIs" dxfId="5945" priority="2" operator="lessThan">
      <formula>0.1</formula>
    </cfRule>
    <cfRule type="cellIs" dxfId="5944" priority="3" operator="greaterThan">
      <formula>0.12</formula>
    </cfRule>
  </conditionalFormatting>
  <conditionalFormatting sqref="E28">
    <cfRule type="cellIs" dxfId="5943" priority="6" operator="lessThan">
      <formula>$B$8*100</formula>
    </cfRule>
    <cfRule type="cellIs" dxfId="5942" priority="7" operator="greaterThan">
      <formula>$B$8*100</formula>
    </cfRule>
  </conditionalFormatting>
  <hyperlinks>
    <hyperlink ref="A32" r:id="rId1" display="https://www.zillow.com/homes/recently_sold/" xr:uid="{41D004C8-4E3F-461C-9FC9-03905F7ECF03}"/>
    <hyperlink ref="A21" r:id="rId2" xr:uid="{6F47CC42-38AC-4A0C-90E6-AF770E135263}"/>
    <hyperlink ref="A25" r:id="rId3" display="www.mortgagecalculator.org" xr:uid="{C4A592E1-558E-4E7F-A151-FAC286B7D8EF}"/>
    <hyperlink ref="A12" r:id="rId4" xr:uid="{398B50C3-EFD7-484A-9091-46C056A6EEAE}"/>
  </hyperlinks>
  <pageMargins left="0.7" right="0.7" top="0.75" bottom="0.75" header="0.3" footer="0.3"/>
  <drawing r:id="rId5"/>
  <legacyDrawing r:id="rId6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D702C-46DD-473B-BDC7-6316B9387618}">
  <sheetPr codeName="Sheet67">
    <tabColor rgb="FF00B050"/>
  </sheetPr>
  <dimension ref="A1:P42"/>
  <sheetViews>
    <sheetView topLeftCell="A16" workbookViewId="0">
      <selection activeCell="B17" sqref="B1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153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59415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36000</v>
      </c>
      <c r="D15" s="2"/>
      <c r="E15" s="3"/>
    </row>
    <row r="16" spans="1:10" x14ac:dyDescent="0.25">
      <c r="A16" s="7" t="s">
        <v>20</v>
      </c>
      <c r="B16" s="17">
        <f>B15+B13</f>
        <v>95415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3339.5250000000001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92075.475000000006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1063*2</f>
        <v>2126</v>
      </c>
      <c r="D21" s="23" t="s">
        <v>28</v>
      </c>
      <c r="E21" s="8">
        <f>350*3</f>
        <v>1050</v>
      </c>
      <c r="G21" s="27" t="s">
        <v>29</v>
      </c>
      <c r="H21" s="28"/>
      <c r="I21" s="29">
        <v>180</v>
      </c>
    </row>
    <row r="22" spans="1:16" x14ac:dyDescent="0.25">
      <c r="A22" s="7" t="s">
        <v>78</v>
      </c>
      <c r="B22" s="17">
        <f>B16*0.01</f>
        <v>954.15</v>
      </c>
      <c r="D22" s="7" t="s">
        <v>77</v>
      </c>
      <c r="E22" s="17">
        <f>B16*0.01</f>
        <v>954.15</v>
      </c>
      <c r="G22" s="27" t="s">
        <v>32</v>
      </c>
      <c r="H22" s="28"/>
      <c r="I22" s="29">
        <v>140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>
        <v>100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929.8</v>
      </c>
      <c r="D25" s="7" t="s">
        <v>38</v>
      </c>
      <c r="E25" s="35">
        <f>B25</f>
        <v>929.8</v>
      </c>
      <c r="G25" s="36" t="s">
        <v>39</v>
      </c>
      <c r="H25" s="37"/>
      <c r="I25" s="38">
        <f>SUM(I21:I24)</f>
        <v>420</v>
      </c>
    </row>
    <row r="26" spans="1:16" x14ac:dyDescent="0.25">
      <c r="A26" s="7" t="s">
        <v>40</v>
      </c>
      <c r="B26" s="17">
        <f>B25+I25+I34</f>
        <v>1668.7</v>
      </c>
      <c r="D26" s="7" t="s">
        <v>41</v>
      </c>
      <c r="E26" s="17">
        <f>E25+I25+I34</f>
        <v>1668.7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457.29999999999995</v>
      </c>
      <c r="D28" s="7" t="s">
        <v>43</v>
      </c>
      <c r="E28" s="44">
        <f>E21-E25-I25-I34+I24+I33</f>
        <v>-618.70000000000005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1.6432277045388188</v>
      </c>
      <c r="D29" s="46" t="s">
        <v>44</v>
      </c>
      <c r="E29" s="47">
        <f>(E28*12)/B17</f>
        <v>-2.2231904237878144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106.30000000000001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106.30000000000001</v>
      </c>
    </row>
    <row r="32" spans="1:16" x14ac:dyDescent="0.25">
      <c r="A32" s="26" t="s">
        <v>49</v>
      </c>
      <c r="B32" s="8">
        <f>B16</f>
        <v>95415</v>
      </c>
      <c r="G32" s="27" t="s">
        <v>50</v>
      </c>
      <c r="H32" s="48">
        <v>0.05</v>
      </c>
      <c r="I32" s="49">
        <f>$B$21*H32</f>
        <v>106.30000000000001</v>
      </c>
    </row>
    <row r="33" spans="1:9" x14ac:dyDescent="0.25">
      <c r="A33" s="7" t="s">
        <v>51</v>
      </c>
      <c r="B33" s="17">
        <f>B32-B18</f>
        <v>3339.5249999999942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0.99999999999999822</v>
      </c>
      <c r="G34" s="36" t="s">
        <v>39</v>
      </c>
      <c r="H34" s="37"/>
      <c r="I34" s="51">
        <f>SUM(I30:I33)</f>
        <v>318.90000000000003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0.96500000000000008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65.220128125000016</v>
      </c>
      <c r="D39" s="7"/>
      <c r="E39" s="17"/>
    </row>
    <row r="40" spans="1:9" x14ac:dyDescent="0.25">
      <c r="A40" s="7" t="s">
        <v>58</v>
      </c>
      <c r="B40" s="17">
        <f>B25-B39</f>
        <v>864.57987187499998</v>
      </c>
      <c r="D40" s="7"/>
      <c r="E40" s="17"/>
    </row>
    <row r="41" spans="1:9" x14ac:dyDescent="0.25">
      <c r="A41" s="7" t="s">
        <v>59</v>
      </c>
      <c r="B41" s="43">
        <f>B21-B40-I25-I34</f>
        <v>522.52012812499993</v>
      </c>
      <c r="D41" s="53"/>
      <c r="E41" s="54"/>
    </row>
    <row r="42" spans="1:9" ht="15.75" thickBot="1" x14ac:dyDescent="0.3">
      <c r="A42" s="46" t="s">
        <v>44</v>
      </c>
      <c r="B42" s="47">
        <f>(B41*12)/B17</f>
        <v>1.8775848473959618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941" priority="31" operator="equal">
      <formula>"NO"</formula>
    </cfRule>
    <cfRule type="cellIs" dxfId="5940" priority="32" operator="equal">
      <formula>"YES"</formula>
    </cfRule>
  </conditionalFormatting>
  <conditionalFormatting sqref="E38">
    <cfRule type="cellIs" dxfId="5939" priority="29" operator="equal">
      <formula>"YES"</formula>
    </cfRule>
    <cfRule type="cellIs" dxfId="5938" priority="30" operator="equal">
      <formula>"NO"</formula>
    </cfRule>
  </conditionalFormatting>
  <conditionalFormatting sqref="B23">
    <cfRule type="cellIs" dxfId="5937" priority="27" operator="equal">
      <formula>"NO"</formula>
    </cfRule>
    <cfRule type="cellIs" dxfId="5936" priority="28" operator="equal">
      <formula>"YES"</formula>
    </cfRule>
  </conditionalFormatting>
  <conditionalFormatting sqref="B12">
    <cfRule type="containsText" dxfId="5935" priority="13" operator="containsText" text="Low">
      <formula>NOT(ISERROR(SEARCH("Low",B12)))</formula>
    </cfRule>
    <cfRule type="containsText" dxfId="5934" priority="14" operator="containsText" text="Medium">
      <formula>NOT(ISERROR(SEARCH("Medium",B12)))</formula>
    </cfRule>
    <cfRule type="containsText" dxfId="5933" priority="15" operator="containsText" text="High">
      <formula>NOT(ISERROR(SEARCH("High",B12)))</formula>
    </cfRule>
  </conditionalFormatting>
  <conditionalFormatting sqref="B29">
    <cfRule type="cellIs" dxfId="5932" priority="23" operator="between">
      <formula>10%</formula>
      <formula>11.9%</formula>
    </cfRule>
    <cfRule type="cellIs" dxfId="5931" priority="25" operator="lessThan">
      <formula>0.1</formula>
    </cfRule>
    <cfRule type="cellIs" dxfId="5930" priority="26" operator="greaterThanOrEqual">
      <formula>0.12</formula>
    </cfRule>
  </conditionalFormatting>
  <conditionalFormatting sqref="B42">
    <cfRule type="cellIs" dxfId="5929" priority="21" operator="between">
      <formula>0.1</formula>
      <formula>0.1199</formula>
    </cfRule>
    <cfRule type="cellIs" dxfId="5928" priority="22" operator="lessThan">
      <formula>0.1</formula>
    </cfRule>
    <cfRule type="cellIs" dxfId="5927" priority="24" operator="greaterThanOrEqual">
      <formula>0.12</formula>
    </cfRule>
  </conditionalFormatting>
  <conditionalFormatting sqref="B10">
    <cfRule type="containsText" dxfId="5926" priority="16" operator="containsText" text="Full">
      <formula>NOT(ISERROR(SEARCH("Full",B10)))</formula>
    </cfRule>
    <cfRule type="containsText" dxfId="5925" priority="17" operator="containsText" text="Heavy">
      <formula>NOT(ISERROR(SEARCH("Heavy",B10)))</formula>
    </cfRule>
    <cfRule type="containsText" dxfId="5924" priority="18" operator="containsText" text="Medium">
      <formula>NOT(ISERROR(SEARCH("Medium",B10)))</formula>
    </cfRule>
    <cfRule type="containsText" dxfId="5923" priority="19" operator="containsText" text="Light">
      <formula>NOT(ISERROR(SEARCH("Light",B10)))</formula>
    </cfRule>
    <cfRule type="containsText" dxfId="5922" priority="20" operator="containsText" text="None">
      <formula>NOT(ISERROR(SEARCH("None",B10)))</formula>
    </cfRule>
  </conditionalFormatting>
  <conditionalFormatting sqref="E42">
    <cfRule type="cellIs" dxfId="5921" priority="10" operator="between">
      <formula>0.1</formula>
      <formula>0.119</formula>
    </cfRule>
    <cfRule type="cellIs" dxfId="5920" priority="11" operator="lessThan">
      <formula>0.1</formula>
    </cfRule>
    <cfRule type="cellIs" dxfId="5919" priority="12" operator="greaterThanOrEqual">
      <formula>0.12</formula>
    </cfRule>
  </conditionalFormatting>
  <conditionalFormatting sqref="B28">
    <cfRule type="cellIs" dxfId="5918" priority="33" operator="lessThan">
      <formula>$B$8*100</formula>
    </cfRule>
    <cfRule type="cellIs" dxfId="5917" priority="34" operator="greaterThanOrEqual">
      <formula>$B$8*100</formula>
    </cfRule>
  </conditionalFormatting>
  <conditionalFormatting sqref="B41">
    <cfRule type="cellIs" dxfId="5916" priority="35" operator="lessThan">
      <formula>$B$8*100</formula>
    </cfRule>
    <cfRule type="cellIs" dxfId="5915" priority="36" operator="greaterThan">
      <formula>$B$8*100</formula>
    </cfRule>
    <cfRule type="cellIs" dxfId="5914" priority="37" operator="greaterThan">
      <formula>$B$8*100</formula>
    </cfRule>
  </conditionalFormatting>
  <conditionalFormatting sqref="E41">
    <cfRule type="cellIs" dxfId="5913" priority="38" operator="greaterThan">
      <formula>$B$8*100</formula>
    </cfRule>
    <cfRule type="cellIs" dxfId="5912" priority="39" operator="lessThan">
      <formula>$B$8*100</formula>
    </cfRule>
  </conditionalFormatting>
  <conditionalFormatting sqref="B38">
    <cfRule type="cellIs" dxfId="5911" priority="8" operator="equal">
      <formula>"YES"</formula>
    </cfRule>
    <cfRule type="cellIs" dxfId="5910" priority="9" operator="equal">
      <formula>"NO"</formula>
    </cfRule>
  </conditionalFormatting>
  <conditionalFormatting sqref="E23:E26">
    <cfRule type="cellIs" dxfId="5909" priority="4" operator="equal">
      <formula>"NO"</formula>
    </cfRule>
    <cfRule type="cellIs" dxfId="5908" priority="5" operator="equal">
      <formula>"YES"</formula>
    </cfRule>
  </conditionalFormatting>
  <conditionalFormatting sqref="E29">
    <cfRule type="cellIs" dxfId="5907" priority="1" operator="between">
      <formula>10%</formula>
      <formula>12%</formula>
    </cfRule>
    <cfRule type="cellIs" dxfId="5906" priority="2" operator="lessThan">
      <formula>0.1</formula>
    </cfRule>
    <cfRule type="cellIs" dxfId="5905" priority="3" operator="greaterThan">
      <formula>0.12</formula>
    </cfRule>
  </conditionalFormatting>
  <conditionalFormatting sqref="E28">
    <cfRule type="cellIs" dxfId="5904" priority="6" operator="lessThan">
      <formula>$B$8*100</formula>
    </cfRule>
    <cfRule type="cellIs" dxfId="5903" priority="7" operator="greaterThan">
      <formula>$B$8*100</formula>
    </cfRule>
  </conditionalFormatting>
  <hyperlinks>
    <hyperlink ref="A32" r:id="rId1" display="https://www.zillow.com/homes/recently_sold/" xr:uid="{286FD34C-4786-4B41-8CF9-1E59F372B812}"/>
    <hyperlink ref="A21" r:id="rId2" xr:uid="{FE47C473-551E-4147-A9B1-679CE323CE72}"/>
    <hyperlink ref="A25" r:id="rId3" display="www.mortgagecalculator.org" xr:uid="{2AE95620-53AF-4611-9A61-6158193FBAC5}"/>
    <hyperlink ref="A12" r:id="rId4" xr:uid="{62DA3698-2D3F-4557-885F-BC6204E805AD}"/>
  </hyperlinks>
  <pageMargins left="0.7" right="0.7" top="0.75" bottom="0.75" header="0.3" footer="0.3"/>
  <drawing r:id="rId5"/>
  <legacyDrawing r:id="rId6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CB2E2-7D75-4BFA-AC9D-0FA06B9A1DC7}">
  <sheetPr codeName="Sheet68">
    <tabColor rgb="FF92D050"/>
  </sheetPr>
  <dimension ref="A1:P42"/>
  <sheetViews>
    <sheetView topLeftCell="A13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2582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115000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64550</v>
      </c>
      <c r="D15" s="2"/>
      <c r="E15" s="3"/>
    </row>
    <row r="16" spans="1:10" x14ac:dyDescent="0.25">
      <c r="A16" s="7" t="s">
        <v>20</v>
      </c>
      <c r="B16" s="17">
        <f>B15+B13</f>
        <v>179550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6284.2500000000009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173265.75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600*4</f>
        <v>2400</v>
      </c>
      <c r="D21" s="23" t="s">
        <v>28</v>
      </c>
      <c r="E21" s="8">
        <f>600*3</f>
        <v>1800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1795.5</v>
      </c>
      <c r="D22" s="7" t="s">
        <v>77</v>
      </c>
      <c r="E22" s="17">
        <f>B16*0.01</f>
        <v>1795.5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>
        <v>200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1416.59</v>
      </c>
      <c r="D25" s="7" t="s">
        <v>38</v>
      </c>
      <c r="E25" s="35">
        <f>B25</f>
        <v>1416.59</v>
      </c>
      <c r="G25" s="36" t="s">
        <v>39</v>
      </c>
      <c r="H25" s="37"/>
      <c r="I25" s="38">
        <f>SUM(I21:I24)</f>
        <v>340</v>
      </c>
    </row>
    <row r="26" spans="1:16" x14ac:dyDescent="0.25">
      <c r="A26" s="7" t="s">
        <v>40</v>
      </c>
      <c r="B26" s="17">
        <f>B25+I25+I34</f>
        <v>2116.59</v>
      </c>
      <c r="D26" s="7" t="s">
        <v>41</v>
      </c>
      <c r="E26" s="17">
        <f>E25+I25+I34</f>
        <v>2116.59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283.40999999999985</v>
      </c>
      <c r="D28" s="7" t="s">
        <v>43</v>
      </c>
      <c r="E28" s="44">
        <f>E21-E25-I25-I34+I24+I33</f>
        <v>-176.58999999999992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0.54118152524167529</v>
      </c>
      <c r="D29" s="46" t="s">
        <v>44</v>
      </c>
      <c r="E29" s="47">
        <f>(E28*12)/B17</f>
        <v>-0.33720491705454092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120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120</v>
      </c>
    </row>
    <row r="32" spans="1:16" x14ac:dyDescent="0.25">
      <c r="A32" s="26" t="s">
        <v>49</v>
      </c>
      <c r="B32" s="8">
        <f>B16</f>
        <v>179550</v>
      </c>
      <c r="G32" s="27" t="s">
        <v>50</v>
      </c>
      <c r="H32" s="48">
        <v>0.05</v>
      </c>
      <c r="I32" s="49">
        <f>$B$21*H32</f>
        <v>120</v>
      </c>
    </row>
    <row r="33" spans="1:9" x14ac:dyDescent="0.25">
      <c r="A33" s="7" t="s">
        <v>51</v>
      </c>
      <c r="B33" s="17">
        <f>B32-B18</f>
        <v>6284.25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360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0.96499999999999997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122.72990625000001</v>
      </c>
      <c r="D39" s="7"/>
      <c r="E39" s="17"/>
    </row>
    <row r="40" spans="1:9" x14ac:dyDescent="0.25">
      <c r="A40" s="7" t="s">
        <v>58</v>
      </c>
      <c r="B40" s="17">
        <f>B25-B39</f>
        <v>1293.8600937499998</v>
      </c>
      <c r="D40" s="7"/>
      <c r="E40" s="17"/>
    </row>
    <row r="41" spans="1:9" x14ac:dyDescent="0.25">
      <c r="A41" s="7" t="s">
        <v>59</v>
      </c>
      <c r="B41" s="43">
        <f>B21-B40-I25-I34</f>
        <v>406.13990625000019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0.77553866809881877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902" priority="31" operator="equal">
      <formula>"NO"</formula>
    </cfRule>
    <cfRule type="cellIs" dxfId="5901" priority="32" operator="equal">
      <formula>"YES"</formula>
    </cfRule>
  </conditionalFormatting>
  <conditionalFormatting sqref="E38">
    <cfRule type="cellIs" dxfId="5900" priority="29" operator="equal">
      <formula>"YES"</formula>
    </cfRule>
    <cfRule type="cellIs" dxfId="5899" priority="30" operator="equal">
      <formula>"NO"</formula>
    </cfRule>
  </conditionalFormatting>
  <conditionalFormatting sqref="B23">
    <cfRule type="cellIs" dxfId="5898" priority="27" operator="equal">
      <formula>"NO"</formula>
    </cfRule>
    <cfRule type="cellIs" dxfId="5897" priority="28" operator="equal">
      <formula>"YES"</formula>
    </cfRule>
  </conditionalFormatting>
  <conditionalFormatting sqref="B12">
    <cfRule type="containsText" dxfId="5896" priority="13" operator="containsText" text="Low">
      <formula>NOT(ISERROR(SEARCH("Low",B12)))</formula>
    </cfRule>
    <cfRule type="containsText" dxfId="5895" priority="14" operator="containsText" text="Medium">
      <formula>NOT(ISERROR(SEARCH("Medium",B12)))</formula>
    </cfRule>
    <cfRule type="containsText" dxfId="5894" priority="15" operator="containsText" text="High">
      <formula>NOT(ISERROR(SEARCH("High",B12)))</formula>
    </cfRule>
  </conditionalFormatting>
  <conditionalFormatting sqref="B29">
    <cfRule type="cellIs" dxfId="5893" priority="23" operator="between">
      <formula>10%</formula>
      <formula>11.9%</formula>
    </cfRule>
    <cfRule type="cellIs" dxfId="5892" priority="25" operator="lessThan">
      <formula>0.1</formula>
    </cfRule>
    <cfRule type="cellIs" dxfId="5891" priority="26" operator="greaterThanOrEqual">
      <formula>0.12</formula>
    </cfRule>
  </conditionalFormatting>
  <conditionalFormatting sqref="B42">
    <cfRule type="cellIs" dxfId="5890" priority="21" operator="between">
      <formula>0.1</formula>
      <formula>0.1199</formula>
    </cfRule>
    <cfRule type="cellIs" dxfId="5889" priority="22" operator="lessThan">
      <formula>0.1</formula>
    </cfRule>
    <cfRule type="cellIs" dxfId="5888" priority="24" operator="greaterThanOrEqual">
      <formula>0.12</formula>
    </cfRule>
  </conditionalFormatting>
  <conditionalFormatting sqref="B10">
    <cfRule type="containsText" dxfId="5887" priority="16" operator="containsText" text="Full">
      <formula>NOT(ISERROR(SEARCH("Full",B10)))</formula>
    </cfRule>
    <cfRule type="containsText" dxfId="5886" priority="17" operator="containsText" text="Heavy">
      <formula>NOT(ISERROR(SEARCH("Heavy",B10)))</formula>
    </cfRule>
    <cfRule type="containsText" dxfId="5885" priority="18" operator="containsText" text="Medium">
      <formula>NOT(ISERROR(SEARCH("Medium",B10)))</formula>
    </cfRule>
    <cfRule type="containsText" dxfId="5884" priority="19" operator="containsText" text="Light">
      <formula>NOT(ISERROR(SEARCH("Light",B10)))</formula>
    </cfRule>
    <cfRule type="containsText" dxfId="5883" priority="20" operator="containsText" text="None">
      <formula>NOT(ISERROR(SEARCH("None",B10)))</formula>
    </cfRule>
  </conditionalFormatting>
  <conditionalFormatting sqref="E42">
    <cfRule type="cellIs" dxfId="5882" priority="10" operator="between">
      <formula>0.1</formula>
      <formula>0.119</formula>
    </cfRule>
    <cfRule type="cellIs" dxfId="5881" priority="11" operator="lessThan">
      <formula>0.1</formula>
    </cfRule>
    <cfRule type="cellIs" dxfId="5880" priority="12" operator="greaterThanOrEqual">
      <formula>0.12</formula>
    </cfRule>
  </conditionalFormatting>
  <conditionalFormatting sqref="B28">
    <cfRule type="cellIs" dxfId="5879" priority="33" operator="lessThan">
      <formula>$B$8*100</formula>
    </cfRule>
    <cfRule type="cellIs" dxfId="5878" priority="34" operator="greaterThanOrEqual">
      <formula>$B$8*100</formula>
    </cfRule>
  </conditionalFormatting>
  <conditionalFormatting sqref="B41">
    <cfRule type="cellIs" dxfId="5877" priority="35" operator="lessThan">
      <formula>$B$8*100</formula>
    </cfRule>
    <cfRule type="cellIs" dxfId="5876" priority="36" operator="greaterThan">
      <formula>$B$8*100</formula>
    </cfRule>
    <cfRule type="cellIs" dxfId="5875" priority="37" operator="greaterThan">
      <formula>$B$8*100</formula>
    </cfRule>
  </conditionalFormatting>
  <conditionalFormatting sqref="E41">
    <cfRule type="cellIs" dxfId="5874" priority="38" operator="greaterThan">
      <formula>$B$8*100</formula>
    </cfRule>
    <cfRule type="cellIs" dxfId="5873" priority="39" operator="lessThan">
      <formula>$B$8*100</formula>
    </cfRule>
  </conditionalFormatting>
  <conditionalFormatting sqref="B38">
    <cfRule type="cellIs" dxfId="5872" priority="8" operator="equal">
      <formula>"YES"</formula>
    </cfRule>
    <cfRule type="cellIs" dxfId="5871" priority="9" operator="equal">
      <formula>"NO"</formula>
    </cfRule>
  </conditionalFormatting>
  <conditionalFormatting sqref="E23:E26">
    <cfRule type="cellIs" dxfId="5870" priority="4" operator="equal">
      <formula>"NO"</formula>
    </cfRule>
    <cfRule type="cellIs" dxfId="5869" priority="5" operator="equal">
      <formula>"YES"</formula>
    </cfRule>
  </conditionalFormatting>
  <conditionalFormatting sqref="E29">
    <cfRule type="cellIs" dxfId="5868" priority="1" operator="between">
      <formula>10%</formula>
      <formula>12%</formula>
    </cfRule>
    <cfRule type="cellIs" dxfId="5867" priority="2" operator="lessThan">
      <formula>0.1</formula>
    </cfRule>
    <cfRule type="cellIs" dxfId="5866" priority="3" operator="greaterThan">
      <formula>0.12</formula>
    </cfRule>
  </conditionalFormatting>
  <conditionalFormatting sqref="E28">
    <cfRule type="cellIs" dxfId="5865" priority="6" operator="lessThan">
      <formula>$B$8*100</formula>
    </cfRule>
    <cfRule type="cellIs" dxfId="5864" priority="7" operator="greaterThan">
      <formula>$B$8*100</formula>
    </cfRule>
  </conditionalFormatting>
  <hyperlinks>
    <hyperlink ref="A32" r:id="rId1" display="https://www.zillow.com/homes/recently_sold/" xr:uid="{61CB4858-4FEE-4C8E-8BB1-7EA79A49D123}"/>
    <hyperlink ref="A21" r:id="rId2" xr:uid="{40DC4663-B7E5-40BB-B959-605F2A034B0C}"/>
    <hyperlink ref="A25" r:id="rId3" display="www.mortgagecalculator.org" xr:uid="{FC52E29F-5E72-41BD-8053-D5BE4D11FB1F}"/>
    <hyperlink ref="A12" r:id="rId4" xr:uid="{0F1B3355-8815-4EBA-90F3-86E1BE0BB5CF}"/>
  </hyperlinks>
  <pageMargins left="0.7" right="0.7" top="0.75" bottom="0.75" header="0.3" footer="0.3"/>
  <drawing r:id="rId5"/>
  <legacyDrawing r:id="rId6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7EB2-809A-4ED3-A254-D6BE3AB1156B}">
  <sheetPr codeName="Sheet69">
    <tabColor rgb="FF00B050"/>
  </sheetPr>
  <dimension ref="A1:P42"/>
  <sheetViews>
    <sheetView topLeftCell="A16" workbookViewId="0">
      <selection activeCell="C30" sqref="C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157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2626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114665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65650</v>
      </c>
      <c r="D15" s="2"/>
      <c r="E15" s="3"/>
    </row>
    <row r="16" spans="1:10" x14ac:dyDescent="0.25">
      <c r="A16" s="7" t="s">
        <v>20</v>
      </c>
      <c r="B16" s="17">
        <f>B15+B13</f>
        <v>180315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6311.0250000000005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174003.97500000001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156</v>
      </c>
      <c r="H20" s="73"/>
      <c r="I20" s="74"/>
    </row>
    <row r="21" spans="1:16" x14ac:dyDescent="0.25">
      <c r="A21" s="26" t="s">
        <v>27</v>
      </c>
      <c r="B21" s="8">
        <f>980*2</f>
        <v>1960</v>
      </c>
      <c r="D21" s="23" t="s">
        <v>28</v>
      </c>
      <c r="E21" s="8">
        <f>980*2*5/6</f>
        <v>1633.3333333333333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1803.15</v>
      </c>
      <c r="D22" s="7" t="s">
        <v>77</v>
      </c>
      <c r="E22" s="17">
        <f>B16*0.01</f>
        <v>1803.15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1420.64</v>
      </c>
      <c r="D25" s="7" t="s">
        <v>38</v>
      </c>
      <c r="E25" s="35">
        <f>B25</f>
        <v>1420.64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1714.64</v>
      </c>
      <c r="D26" s="7" t="s">
        <v>41</v>
      </c>
      <c r="E26" s="17">
        <f>E25+I25+I34</f>
        <v>1714.64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245.3599999999999</v>
      </c>
      <c r="D28" s="7" t="s">
        <v>43</v>
      </c>
      <c r="E28" s="44">
        <f>E21-E25-I25-I34+I24+I33</f>
        <v>-81.306666666666843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0.46653594305203966</v>
      </c>
      <c r="D29" s="46" t="s">
        <v>44</v>
      </c>
      <c r="E29" s="47">
        <f>(E28*12)/B17</f>
        <v>-0.15459929250795268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98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98</v>
      </c>
    </row>
    <row r="32" spans="1:16" x14ac:dyDescent="0.25">
      <c r="A32" s="26" t="s">
        <v>49</v>
      </c>
      <c r="B32" s="8">
        <f>B16</f>
        <v>180315</v>
      </c>
      <c r="G32" s="27" t="s">
        <v>50</v>
      </c>
      <c r="H32" s="48">
        <v>0.05</v>
      </c>
      <c r="I32" s="49">
        <f>$B$21*H32</f>
        <v>98</v>
      </c>
    </row>
    <row r="33" spans="1:9" x14ac:dyDescent="0.25">
      <c r="A33" s="7" t="s">
        <v>51</v>
      </c>
      <c r="B33" s="17">
        <f>B32-B18</f>
        <v>6311.0249999999942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</v>
      </c>
      <c r="G34" s="36" t="s">
        <v>39</v>
      </c>
      <c r="H34" s="37"/>
      <c r="I34" s="51">
        <f>SUM(I30:I33)</f>
        <v>294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79"/>
      <c r="E36" s="80"/>
    </row>
    <row r="37" spans="1:9" x14ac:dyDescent="0.25">
      <c r="A37" s="7" t="s">
        <v>55</v>
      </c>
      <c r="B37" s="50">
        <f>B18/B32</f>
        <v>0.96500000000000008</v>
      </c>
      <c r="D37" s="7"/>
      <c r="E37" s="50"/>
    </row>
    <row r="38" spans="1:9" x14ac:dyDescent="0.25">
      <c r="A38" s="7" t="s">
        <v>56</v>
      </c>
      <c r="B38" s="31" t="str">
        <f>IF(B37&lt;0.8, "YES", "NO")</f>
        <v>NO</v>
      </c>
      <c r="D38" s="7"/>
      <c r="E38" s="31"/>
    </row>
    <row r="39" spans="1:9" x14ac:dyDescent="0.25">
      <c r="A39" s="7" t="s">
        <v>57</v>
      </c>
      <c r="B39" s="17">
        <f>(B18*0.0085)/12</f>
        <v>123.25281562500003</v>
      </c>
      <c r="D39" s="7"/>
      <c r="E39" s="17"/>
    </row>
    <row r="40" spans="1:9" x14ac:dyDescent="0.25">
      <c r="A40" s="7" t="s">
        <v>58</v>
      </c>
      <c r="B40" s="17">
        <f>B25-B39</f>
        <v>1297.3871843750001</v>
      </c>
      <c r="D40" s="7"/>
      <c r="E40" s="17"/>
    </row>
    <row r="41" spans="1:9" x14ac:dyDescent="0.25">
      <c r="A41" s="7" t="s">
        <v>59</v>
      </c>
      <c r="B41" s="43">
        <f>B21-B40-I25-I34</f>
        <v>368.61281562499994</v>
      </c>
      <c r="D41" s="53"/>
      <c r="E41" s="54"/>
    </row>
    <row r="42" spans="1:9" ht="15.75" thickBot="1" x14ac:dyDescent="0.3">
      <c r="A42" s="46" t="s">
        <v>44</v>
      </c>
      <c r="B42" s="47">
        <f>(B41*12)/B17</f>
        <v>0.70089308590918253</v>
      </c>
      <c r="D42" s="46"/>
      <c r="E42" s="47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863" priority="31" operator="equal">
      <formula>"NO"</formula>
    </cfRule>
    <cfRule type="cellIs" dxfId="5862" priority="32" operator="equal">
      <formula>"YES"</formula>
    </cfRule>
  </conditionalFormatting>
  <conditionalFormatting sqref="E38">
    <cfRule type="cellIs" dxfId="5861" priority="29" operator="equal">
      <formula>"YES"</formula>
    </cfRule>
    <cfRule type="cellIs" dxfId="5860" priority="30" operator="equal">
      <formula>"NO"</formula>
    </cfRule>
  </conditionalFormatting>
  <conditionalFormatting sqref="B23">
    <cfRule type="cellIs" dxfId="5859" priority="27" operator="equal">
      <formula>"NO"</formula>
    </cfRule>
    <cfRule type="cellIs" dxfId="5858" priority="28" operator="equal">
      <formula>"YES"</formula>
    </cfRule>
  </conditionalFormatting>
  <conditionalFormatting sqref="B12">
    <cfRule type="containsText" dxfId="5857" priority="13" operator="containsText" text="Low">
      <formula>NOT(ISERROR(SEARCH("Low",B12)))</formula>
    </cfRule>
    <cfRule type="containsText" dxfId="5856" priority="14" operator="containsText" text="Medium">
      <formula>NOT(ISERROR(SEARCH("Medium",B12)))</formula>
    </cfRule>
    <cfRule type="containsText" dxfId="5855" priority="15" operator="containsText" text="High">
      <formula>NOT(ISERROR(SEARCH("High",B12)))</formula>
    </cfRule>
  </conditionalFormatting>
  <conditionalFormatting sqref="B29">
    <cfRule type="cellIs" dxfId="5854" priority="23" operator="between">
      <formula>10%</formula>
      <formula>11.9%</formula>
    </cfRule>
    <cfRule type="cellIs" dxfId="5853" priority="25" operator="lessThan">
      <formula>0.1</formula>
    </cfRule>
    <cfRule type="cellIs" dxfId="5852" priority="26" operator="greaterThanOrEqual">
      <formula>0.12</formula>
    </cfRule>
  </conditionalFormatting>
  <conditionalFormatting sqref="B42">
    <cfRule type="cellIs" dxfId="5851" priority="21" operator="between">
      <formula>0.1</formula>
      <formula>0.1199</formula>
    </cfRule>
    <cfRule type="cellIs" dxfId="5850" priority="22" operator="lessThan">
      <formula>0.1</formula>
    </cfRule>
    <cfRule type="cellIs" dxfId="5849" priority="24" operator="greaterThanOrEqual">
      <formula>0.12</formula>
    </cfRule>
  </conditionalFormatting>
  <conditionalFormatting sqref="B10">
    <cfRule type="containsText" dxfId="5848" priority="16" operator="containsText" text="Full">
      <formula>NOT(ISERROR(SEARCH("Full",B10)))</formula>
    </cfRule>
    <cfRule type="containsText" dxfId="5847" priority="17" operator="containsText" text="Heavy">
      <formula>NOT(ISERROR(SEARCH("Heavy",B10)))</formula>
    </cfRule>
    <cfRule type="containsText" dxfId="5846" priority="18" operator="containsText" text="Medium">
      <formula>NOT(ISERROR(SEARCH("Medium",B10)))</formula>
    </cfRule>
    <cfRule type="containsText" dxfId="5845" priority="19" operator="containsText" text="Light">
      <formula>NOT(ISERROR(SEARCH("Light",B10)))</formula>
    </cfRule>
    <cfRule type="containsText" dxfId="5844" priority="20" operator="containsText" text="None">
      <formula>NOT(ISERROR(SEARCH("None",B10)))</formula>
    </cfRule>
  </conditionalFormatting>
  <conditionalFormatting sqref="E42">
    <cfRule type="cellIs" dxfId="5843" priority="10" operator="between">
      <formula>0.1</formula>
      <formula>0.119</formula>
    </cfRule>
    <cfRule type="cellIs" dxfId="5842" priority="11" operator="lessThan">
      <formula>0.1</formula>
    </cfRule>
    <cfRule type="cellIs" dxfId="5841" priority="12" operator="greaterThanOrEqual">
      <formula>0.12</formula>
    </cfRule>
  </conditionalFormatting>
  <conditionalFormatting sqref="B28">
    <cfRule type="cellIs" dxfId="5840" priority="33" operator="lessThan">
      <formula>$B$8*100</formula>
    </cfRule>
    <cfRule type="cellIs" dxfId="5839" priority="34" operator="greaterThanOrEqual">
      <formula>$B$8*100</formula>
    </cfRule>
  </conditionalFormatting>
  <conditionalFormatting sqref="B41">
    <cfRule type="cellIs" dxfId="5838" priority="35" operator="lessThan">
      <formula>$B$8*100</formula>
    </cfRule>
    <cfRule type="cellIs" dxfId="5837" priority="36" operator="greaterThan">
      <formula>$B$8*100</formula>
    </cfRule>
    <cfRule type="cellIs" dxfId="5836" priority="37" operator="greaterThan">
      <formula>$B$8*100</formula>
    </cfRule>
  </conditionalFormatting>
  <conditionalFormatting sqref="E41">
    <cfRule type="cellIs" dxfId="5835" priority="38" operator="greaterThan">
      <formula>$B$8*100</formula>
    </cfRule>
    <cfRule type="cellIs" dxfId="5834" priority="39" operator="lessThan">
      <formula>$B$8*100</formula>
    </cfRule>
  </conditionalFormatting>
  <conditionalFormatting sqref="B38">
    <cfRule type="cellIs" dxfId="5833" priority="8" operator="equal">
      <formula>"YES"</formula>
    </cfRule>
    <cfRule type="cellIs" dxfId="5832" priority="9" operator="equal">
      <formula>"NO"</formula>
    </cfRule>
  </conditionalFormatting>
  <conditionalFormatting sqref="E23:E26">
    <cfRule type="cellIs" dxfId="5831" priority="4" operator="equal">
      <formula>"NO"</formula>
    </cfRule>
    <cfRule type="cellIs" dxfId="5830" priority="5" operator="equal">
      <formula>"YES"</formula>
    </cfRule>
  </conditionalFormatting>
  <conditionalFormatting sqref="E29">
    <cfRule type="cellIs" dxfId="5829" priority="1" operator="between">
      <formula>10%</formula>
      <formula>12%</formula>
    </cfRule>
    <cfRule type="cellIs" dxfId="5828" priority="2" operator="lessThan">
      <formula>0.1</formula>
    </cfRule>
    <cfRule type="cellIs" dxfId="5827" priority="3" operator="greaterThan">
      <formula>0.12</formula>
    </cfRule>
  </conditionalFormatting>
  <conditionalFormatting sqref="E28">
    <cfRule type="cellIs" dxfId="5826" priority="6" operator="lessThan">
      <formula>$B$8*100</formula>
    </cfRule>
    <cfRule type="cellIs" dxfId="5825" priority="7" operator="greaterThan">
      <formula>$B$8*100</formula>
    </cfRule>
  </conditionalFormatting>
  <hyperlinks>
    <hyperlink ref="A32" r:id="rId1" display="https://www.zillow.com/homes/recently_sold/" xr:uid="{5068F971-4C9D-409F-AA1B-F7A27DDDD6CC}"/>
    <hyperlink ref="A21" r:id="rId2" xr:uid="{6495D8B2-ED02-4EAE-815B-5F99511E0E82}"/>
    <hyperlink ref="A25" r:id="rId3" display="www.mortgagecalculator.org" xr:uid="{F928B736-9465-4A4B-BAAC-EE425ABAE40D}"/>
    <hyperlink ref="A12" r:id="rId4" xr:uid="{D4CE1B39-07E0-43BF-920B-F4F0A57B16C9}"/>
  </hyperlinks>
  <pageMargins left="0.7" right="0.7" top="0.75" bottom="0.75" header="0.3" footer="0.3"/>
  <drawing r:id="rId5"/>
  <legacyDrawing r:id="rId6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9E45-80DB-4093-952C-8F66143A665B}">
  <sheetPr codeName="Sheet70">
    <tabColor rgb="FF00B050"/>
  </sheetPr>
  <dimension ref="A1:P42"/>
  <sheetViews>
    <sheetView topLeftCell="A10" workbookViewId="0">
      <selection activeCell="B29" sqref="B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158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128000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1792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108800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26880</v>
      </c>
      <c r="D15" s="2"/>
      <c r="E15" s="3"/>
    </row>
    <row r="16" spans="1:10" x14ac:dyDescent="0.25">
      <c r="A16" s="7" t="s">
        <v>20</v>
      </c>
      <c r="B16" s="17">
        <f>B15+B13</f>
        <v>135680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4748.8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130931.2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156</v>
      </c>
      <c r="H20" s="73"/>
      <c r="I20" s="74"/>
    </row>
    <row r="21" spans="1:16" x14ac:dyDescent="0.25">
      <c r="A21" s="26" t="s">
        <v>27</v>
      </c>
      <c r="B21" s="8">
        <f>981+900</f>
        <v>1881</v>
      </c>
      <c r="D21" s="23" t="s">
        <v>28</v>
      </c>
      <c r="E21" s="8">
        <f>981*2/3+900</f>
        <v>1554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1356.8</v>
      </c>
      <c r="D22" s="7" t="s">
        <v>77</v>
      </c>
      <c r="E22" s="17">
        <f>B16*0.01</f>
        <v>1356.8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1226.1600000000001</v>
      </c>
      <c r="D25" s="7" t="s">
        <v>38</v>
      </c>
      <c r="E25" s="35">
        <f>B25</f>
        <v>1226.1600000000001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1508.3100000000002</v>
      </c>
      <c r="D26" s="7" t="s">
        <v>41</v>
      </c>
      <c r="E26" s="17">
        <f>E25+I25+I34</f>
        <v>1508.3100000000002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372.68999999999983</v>
      </c>
      <c r="D28" s="7" t="s">
        <v>43</v>
      </c>
      <c r="E28" s="44">
        <f>E21-E25-I25-I34+I24+I33</f>
        <v>45.689999999999884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0.94177055256064646</v>
      </c>
      <c r="D29" s="46" t="s">
        <v>44</v>
      </c>
      <c r="E29" s="47">
        <f>(E28*12)/B17</f>
        <v>0.11545653638813987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94.050000000000011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94.050000000000011</v>
      </c>
    </row>
    <row r="32" spans="1:16" x14ac:dyDescent="0.25">
      <c r="A32" s="26" t="s">
        <v>49</v>
      </c>
      <c r="B32" s="8">
        <f>B16</f>
        <v>135680</v>
      </c>
      <c r="G32" s="27" t="s">
        <v>50</v>
      </c>
      <c r="H32" s="48">
        <v>0.05</v>
      </c>
      <c r="I32" s="49">
        <f>$B$21*H32</f>
        <v>94.050000000000011</v>
      </c>
    </row>
    <row r="33" spans="1:9" x14ac:dyDescent="0.25">
      <c r="A33" s="7" t="s">
        <v>51</v>
      </c>
      <c r="B33" s="17">
        <f>B32-B18</f>
        <v>4748.8000000000029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1.0000000000000007</v>
      </c>
      <c r="G34" s="36" t="s">
        <v>39</v>
      </c>
      <c r="H34" s="37"/>
      <c r="I34" s="51">
        <f>SUM(I30:I33)</f>
        <v>282.15000000000003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92.74293333333334</v>
      </c>
      <c r="D39" s="58"/>
      <c r="E39" s="61"/>
    </row>
    <row r="40" spans="1:9" x14ac:dyDescent="0.25">
      <c r="A40" s="7" t="s">
        <v>58</v>
      </c>
      <c r="B40" s="17">
        <f>B25-B39</f>
        <v>1133.4170666666666</v>
      </c>
      <c r="D40" s="58"/>
      <c r="E40" s="61"/>
    </row>
    <row r="41" spans="1:9" x14ac:dyDescent="0.25">
      <c r="A41" s="7" t="s">
        <v>59</v>
      </c>
      <c r="B41" s="43">
        <f>B21-B40-I25-I34</f>
        <v>465.43293333333332</v>
      </c>
      <c r="D41" s="58"/>
      <c r="E41" s="61"/>
    </row>
    <row r="42" spans="1:9" ht="15.75" thickBot="1" x14ac:dyDescent="0.3">
      <c r="A42" s="46" t="s">
        <v>44</v>
      </c>
      <c r="B42" s="47">
        <f>(B41*12)/B17</f>
        <v>1.1761276954177897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824" priority="31" operator="equal">
      <formula>"NO"</formula>
    </cfRule>
    <cfRule type="cellIs" dxfId="5823" priority="32" operator="equal">
      <formula>"YES"</formula>
    </cfRule>
  </conditionalFormatting>
  <conditionalFormatting sqref="E38">
    <cfRule type="cellIs" dxfId="5822" priority="29" operator="equal">
      <formula>"YES"</formula>
    </cfRule>
    <cfRule type="cellIs" dxfId="5821" priority="30" operator="equal">
      <formula>"NO"</formula>
    </cfRule>
  </conditionalFormatting>
  <conditionalFormatting sqref="B23">
    <cfRule type="cellIs" dxfId="5820" priority="27" operator="equal">
      <formula>"NO"</formula>
    </cfRule>
    <cfRule type="cellIs" dxfId="5819" priority="28" operator="equal">
      <formula>"YES"</formula>
    </cfRule>
  </conditionalFormatting>
  <conditionalFormatting sqref="B12">
    <cfRule type="containsText" dxfId="5818" priority="13" operator="containsText" text="Low">
      <formula>NOT(ISERROR(SEARCH("Low",B12)))</formula>
    </cfRule>
    <cfRule type="containsText" dxfId="5817" priority="14" operator="containsText" text="Medium">
      <formula>NOT(ISERROR(SEARCH("Medium",B12)))</formula>
    </cfRule>
    <cfRule type="containsText" dxfId="5816" priority="15" operator="containsText" text="High">
      <formula>NOT(ISERROR(SEARCH("High",B12)))</formula>
    </cfRule>
  </conditionalFormatting>
  <conditionalFormatting sqref="B29">
    <cfRule type="cellIs" dxfId="5815" priority="23" operator="between">
      <formula>10%</formula>
      <formula>11.9%</formula>
    </cfRule>
    <cfRule type="cellIs" dxfId="5814" priority="25" operator="lessThan">
      <formula>0.1</formula>
    </cfRule>
    <cfRule type="cellIs" dxfId="5813" priority="26" operator="greaterThanOrEqual">
      <formula>0.12</formula>
    </cfRule>
  </conditionalFormatting>
  <conditionalFormatting sqref="B42">
    <cfRule type="cellIs" dxfId="5812" priority="21" operator="between">
      <formula>0.1</formula>
      <formula>0.1199</formula>
    </cfRule>
    <cfRule type="cellIs" dxfId="5811" priority="22" operator="lessThan">
      <formula>0.1</formula>
    </cfRule>
    <cfRule type="cellIs" dxfId="5810" priority="24" operator="greaterThanOrEqual">
      <formula>0.12</formula>
    </cfRule>
  </conditionalFormatting>
  <conditionalFormatting sqref="B10">
    <cfRule type="containsText" dxfId="5809" priority="16" operator="containsText" text="Full">
      <formula>NOT(ISERROR(SEARCH("Full",B10)))</formula>
    </cfRule>
    <cfRule type="containsText" dxfId="5808" priority="17" operator="containsText" text="Heavy">
      <formula>NOT(ISERROR(SEARCH("Heavy",B10)))</formula>
    </cfRule>
    <cfRule type="containsText" dxfId="5807" priority="18" operator="containsText" text="Medium">
      <formula>NOT(ISERROR(SEARCH("Medium",B10)))</formula>
    </cfRule>
    <cfRule type="containsText" dxfId="5806" priority="19" operator="containsText" text="Light">
      <formula>NOT(ISERROR(SEARCH("Light",B10)))</formula>
    </cfRule>
    <cfRule type="containsText" dxfId="5805" priority="20" operator="containsText" text="None">
      <formula>NOT(ISERROR(SEARCH("None",B10)))</formula>
    </cfRule>
  </conditionalFormatting>
  <conditionalFormatting sqref="B28">
    <cfRule type="cellIs" dxfId="5804" priority="33" operator="lessThan">
      <formula>$B$8*100</formula>
    </cfRule>
    <cfRule type="cellIs" dxfId="5803" priority="34" operator="greaterThanOrEqual">
      <formula>$B$8*100</formula>
    </cfRule>
  </conditionalFormatting>
  <conditionalFormatting sqref="B41">
    <cfRule type="cellIs" dxfId="5802" priority="35" operator="lessThan">
      <formula>$B$8*100</formula>
    </cfRule>
    <cfRule type="cellIs" dxfId="5801" priority="36" operator="greaterThan">
      <formula>$B$8*100</formula>
    </cfRule>
    <cfRule type="cellIs" dxfId="5800" priority="37" operator="greaterThan">
      <formula>$B$8*100</formula>
    </cfRule>
  </conditionalFormatting>
  <conditionalFormatting sqref="B38">
    <cfRule type="cellIs" dxfId="5799" priority="8" operator="equal">
      <formula>"YES"</formula>
    </cfRule>
    <cfRule type="cellIs" dxfId="5798" priority="9" operator="equal">
      <formula>"NO"</formula>
    </cfRule>
  </conditionalFormatting>
  <conditionalFormatting sqref="E23:E26">
    <cfRule type="cellIs" dxfId="5797" priority="4" operator="equal">
      <formula>"NO"</formula>
    </cfRule>
    <cfRule type="cellIs" dxfId="5796" priority="5" operator="equal">
      <formula>"YES"</formula>
    </cfRule>
  </conditionalFormatting>
  <conditionalFormatting sqref="E29">
    <cfRule type="cellIs" dxfId="5795" priority="1" operator="between">
      <formula>10%</formula>
      <formula>12%</formula>
    </cfRule>
    <cfRule type="cellIs" dxfId="5794" priority="2" operator="lessThan">
      <formula>0.1</formula>
    </cfRule>
    <cfRule type="cellIs" dxfId="5793" priority="3" operator="greaterThan">
      <formula>0.12</formula>
    </cfRule>
  </conditionalFormatting>
  <conditionalFormatting sqref="E28">
    <cfRule type="cellIs" dxfId="5792" priority="6" operator="lessThan">
      <formula>$B$8*100</formula>
    </cfRule>
    <cfRule type="cellIs" dxfId="5791" priority="7" operator="greaterThan">
      <formula>$B$8*100</formula>
    </cfRule>
  </conditionalFormatting>
  <hyperlinks>
    <hyperlink ref="A32" r:id="rId1" display="https://www.zillow.com/homes/recently_sold/" xr:uid="{A367894C-8111-4EAE-ACAE-0F53CB0B0946}"/>
    <hyperlink ref="A21" r:id="rId2" xr:uid="{0DAA2183-9457-4F07-B8AE-37D2C7E73E0F}"/>
    <hyperlink ref="A25" r:id="rId3" display="www.mortgagecalculator.org" xr:uid="{D776532C-1403-4015-9447-8E6EC732B710}"/>
    <hyperlink ref="A12" r:id="rId4" xr:uid="{28DC70C9-7790-4C63-91A2-0D4FB827E57F}"/>
  </hyperlinks>
  <pageMargins left="0.7" right="0.7" top="0.75" bottom="0.75" header="0.3" footer="0.3"/>
  <drawing r:id="rId5"/>
  <legacyDrawing r:id="rId6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98B98-9326-4E61-87F8-AE595BEE42E5}">
  <sheetPr codeName="Sheet71">
    <tabColor rgb="FFFF0000"/>
  </sheetPr>
  <dimension ref="A1:P42"/>
  <sheetViews>
    <sheetView workbookViewId="0">
      <selection activeCell="B10" sqref="B1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159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2112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152915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152915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145269.25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815*2</f>
        <v>1630</v>
      </c>
      <c r="D21" s="23" t="s">
        <v>28</v>
      </c>
      <c r="E21" s="8">
        <f>815*2*3/4</f>
        <v>1222.5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1529.15</v>
      </c>
      <c r="D22" s="7" t="s">
        <v>77</v>
      </c>
      <c r="E22" s="17">
        <f>B16*0.01</f>
        <v>1529.15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1343.12</v>
      </c>
      <c r="D25" s="7" t="s">
        <v>38</v>
      </c>
      <c r="E25" s="35">
        <f>B25</f>
        <v>1343.12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1587.62</v>
      </c>
      <c r="D26" s="7" t="s">
        <v>41</v>
      </c>
      <c r="E26" s="17">
        <f>E25+I25+I34</f>
        <v>1587.62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42.380000000000109</v>
      </c>
      <c r="D28" s="7" t="s">
        <v>43</v>
      </c>
      <c r="E28" s="44">
        <f>E21-E25-I25-I34+I24+I33</f>
        <v>-365.11999999999989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6.6515384363862451E-2</v>
      </c>
      <c r="D29" s="46" t="s">
        <v>44</v>
      </c>
      <c r="E29" s="47">
        <f>(E28*12)/B17</f>
        <v>-0.57305561913481329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81.5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81.5</v>
      </c>
    </row>
    <row r="32" spans="1:16" x14ac:dyDescent="0.25">
      <c r="A32" s="26" t="s">
        <v>49</v>
      </c>
      <c r="B32" s="8">
        <f>B16</f>
        <v>152915</v>
      </c>
      <c r="G32" s="27" t="s">
        <v>50</v>
      </c>
      <c r="H32" s="48">
        <v>0.05</v>
      </c>
      <c r="I32" s="49">
        <f>$B$21*H32</f>
        <v>81.5</v>
      </c>
    </row>
    <row r="33" spans="1:9" x14ac:dyDescent="0.25">
      <c r="A33" s="7" t="s">
        <v>51</v>
      </c>
      <c r="B33" s="17">
        <f>B32-B18</f>
        <v>7645.75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244.5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102.89905208333334</v>
      </c>
      <c r="D39" s="58"/>
      <c r="E39" s="61"/>
    </row>
    <row r="40" spans="1:9" x14ac:dyDescent="0.25">
      <c r="A40" s="7" t="s">
        <v>58</v>
      </c>
      <c r="B40" s="17">
        <f>B25-B39</f>
        <v>1240.2209479166665</v>
      </c>
      <c r="D40" s="58"/>
      <c r="E40" s="61"/>
    </row>
    <row r="41" spans="1:9" x14ac:dyDescent="0.25">
      <c r="A41" s="7" t="s">
        <v>59</v>
      </c>
      <c r="B41" s="43">
        <f>B21-B40-I25-I34</f>
        <v>145.27905208333345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0.22801538436386246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790" priority="28" operator="equal">
      <formula>"NO"</formula>
    </cfRule>
    <cfRule type="cellIs" dxfId="5789" priority="29" operator="equal">
      <formula>"YES"</formula>
    </cfRule>
  </conditionalFormatting>
  <conditionalFormatting sqref="E38">
    <cfRule type="cellIs" dxfId="5788" priority="26" operator="equal">
      <formula>"YES"</formula>
    </cfRule>
    <cfRule type="cellIs" dxfId="5787" priority="27" operator="equal">
      <formula>"NO"</formula>
    </cfRule>
  </conditionalFormatting>
  <conditionalFormatting sqref="B23">
    <cfRule type="cellIs" dxfId="5786" priority="24" operator="equal">
      <formula>"NO"</formula>
    </cfRule>
    <cfRule type="cellIs" dxfId="5785" priority="25" operator="equal">
      <formula>"YES"</formula>
    </cfRule>
  </conditionalFormatting>
  <conditionalFormatting sqref="B12">
    <cfRule type="containsText" dxfId="5784" priority="10" operator="containsText" text="Low">
      <formula>NOT(ISERROR(SEARCH("Low",B12)))</formula>
    </cfRule>
    <cfRule type="containsText" dxfId="5783" priority="11" operator="containsText" text="Medium">
      <formula>NOT(ISERROR(SEARCH("Medium",B12)))</formula>
    </cfRule>
    <cfRule type="containsText" dxfId="5782" priority="12" operator="containsText" text="High">
      <formula>NOT(ISERROR(SEARCH("High",B12)))</formula>
    </cfRule>
  </conditionalFormatting>
  <conditionalFormatting sqref="B29">
    <cfRule type="cellIs" dxfId="5781" priority="20" operator="between">
      <formula>10%</formula>
      <formula>11.9%</formula>
    </cfRule>
    <cfRule type="cellIs" dxfId="5780" priority="22" operator="lessThan">
      <formula>0.1</formula>
    </cfRule>
    <cfRule type="cellIs" dxfId="5779" priority="23" operator="greaterThanOrEqual">
      <formula>0.12</formula>
    </cfRule>
  </conditionalFormatting>
  <conditionalFormatting sqref="B42">
    <cfRule type="cellIs" dxfId="5778" priority="18" operator="between">
      <formula>0.1</formula>
      <formula>0.1199</formula>
    </cfRule>
    <cfRule type="cellIs" dxfId="5777" priority="19" operator="lessThan">
      <formula>0.1</formula>
    </cfRule>
    <cfRule type="cellIs" dxfId="5776" priority="21" operator="greaterThanOrEqual">
      <formula>0.12</formula>
    </cfRule>
  </conditionalFormatting>
  <conditionalFormatting sqref="B10">
    <cfRule type="containsText" dxfId="5775" priority="13" operator="containsText" text="Full">
      <formula>NOT(ISERROR(SEARCH("Full",B10)))</formula>
    </cfRule>
    <cfRule type="containsText" dxfId="5774" priority="14" operator="containsText" text="Heavy">
      <formula>NOT(ISERROR(SEARCH("Heavy",B10)))</formula>
    </cfRule>
    <cfRule type="containsText" dxfId="5773" priority="15" operator="containsText" text="Medium">
      <formula>NOT(ISERROR(SEARCH("Medium",B10)))</formula>
    </cfRule>
    <cfRule type="containsText" dxfId="5772" priority="16" operator="containsText" text="Light">
      <formula>NOT(ISERROR(SEARCH("Light",B10)))</formula>
    </cfRule>
    <cfRule type="containsText" dxfId="5771" priority="17" operator="containsText" text="None">
      <formula>NOT(ISERROR(SEARCH("None",B10)))</formula>
    </cfRule>
  </conditionalFormatting>
  <conditionalFormatting sqref="B28">
    <cfRule type="cellIs" dxfId="5770" priority="30" operator="lessThan">
      <formula>$B$8*100</formula>
    </cfRule>
    <cfRule type="cellIs" dxfId="5769" priority="31" operator="greaterThanOrEqual">
      <formula>$B$8*100</formula>
    </cfRule>
  </conditionalFormatting>
  <conditionalFormatting sqref="B41">
    <cfRule type="cellIs" dxfId="5768" priority="32" operator="lessThan">
      <formula>$B$8*100</formula>
    </cfRule>
    <cfRule type="cellIs" dxfId="5767" priority="33" operator="greaterThan">
      <formula>$B$8*100</formula>
    </cfRule>
    <cfRule type="cellIs" dxfId="5766" priority="34" operator="greaterThan">
      <formula>$B$8*100</formula>
    </cfRule>
  </conditionalFormatting>
  <conditionalFormatting sqref="B38">
    <cfRule type="cellIs" dxfId="5765" priority="8" operator="equal">
      <formula>"YES"</formula>
    </cfRule>
    <cfRule type="cellIs" dxfId="5764" priority="9" operator="equal">
      <formula>"NO"</formula>
    </cfRule>
  </conditionalFormatting>
  <conditionalFormatting sqref="E23:E26">
    <cfRule type="cellIs" dxfId="5763" priority="4" operator="equal">
      <formula>"NO"</formula>
    </cfRule>
    <cfRule type="cellIs" dxfId="5762" priority="5" operator="equal">
      <formula>"YES"</formula>
    </cfRule>
  </conditionalFormatting>
  <conditionalFormatting sqref="E29">
    <cfRule type="cellIs" dxfId="5761" priority="1" operator="between">
      <formula>10%</formula>
      <formula>12%</formula>
    </cfRule>
    <cfRule type="cellIs" dxfId="5760" priority="2" operator="lessThan">
      <formula>0.1</formula>
    </cfRule>
    <cfRule type="cellIs" dxfId="5759" priority="3" operator="greaterThan">
      <formula>0.12</formula>
    </cfRule>
  </conditionalFormatting>
  <conditionalFormatting sqref="E28">
    <cfRule type="cellIs" dxfId="5758" priority="6" operator="lessThan">
      <formula>$B$8*100</formula>
    </cfRule>
    <cfRule type="cellIs" dxfId="5757" priority="7" operator="greaterThan">
      <formula>$B$8*100</formula>
    </cfRule>
  </conditionalFormatting>
  <hyperlinks>
    <hyperlink ref="A32" r:id="rId1" display="https://www.zillow.com/homes/recently_sold/" xr:uid="{29B23EDB-ECA7-4AA0-B667-9A6AF089B9FA}"/>
    <hyperlink ref="A21" r:id="rId2" xr:uid="{504969B0-8FBA-4218-B168-6BE2E36D891E}"/>
    <hyperlink ref="A25" r:id="rId3" display="www.mortgagecalculator.org" xr:uid="{569469CB-D62A-4851-9069-4DD60EC07DE8}"/>
    <hyperlink ref="A12" r:id="rId4" xr:uid="{33B2DFEB-3A1F-4200-AFC5-FE2DF3226B37}"/>
  </hyperlinks>
  <pageMargins left="0.7" right="0.7" top="0.75" bottom="0.75" header="0.3" footer="0.3"/>
  <drawing r:id="rId5"/>
  <legacyDrawing r:id="rId6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82923-9BA3-45D0-BA1D-A7004AC37E48}">
  <sheetPr codeName="Sheet72">
    <tabColor rgb="FF00B050"/>
  </sheetPr>
  <dimension ref="A1:P42"/>
  <sheetViews>
    <sheetView topLeftCell="B7" workbookViewId="0">
      <selection activeCell="B15" sqref="B1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160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92000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1792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78200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44800</v>
      </c>
      <c r="D15" s="2"/>
      <c r="E15" s="3"/>
    </row>
    <row r="16" spans="1:10" x14ac:dyDescent="0.25">
      <c r="A16" s="7" t="s">
        <v>20</v>
      </c>
      <c r="B16" s="17">
        <f>B15+B13</f>
        <v>123000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4305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118695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765*2</f>
        <v>1530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1230</v>
      </c>
      <c r="D22" s="7" t="s">
        <v>77</v>
      </c>
      <c r="E22" s="17">
        <f>B16*0.01</f>
        <v>1230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1034.08</v>
      </c>
      <c r="D25" s="7" t="s">
        <v>38</v>
      </c>
      <c r="E25" s="35">
        <f>B25</f>
        <v>1034.08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1263.58</v>
      </c>
      <c r="D26" s="7" t="s">
        <v>41</v>
      </c>
      <c r="E26" s="17">
        <f>E25+I25+I34</f>
        <v>1263.58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266.42000000000007</v>
      </c>
      <c r="D28" s="7" t="s">
        <v>43</v>
      </c>
      <c r="E28" s="44">
        <f>E21-E25-I25-I34+I24+I33</f>
        <v>-213.57999999999993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0.74263414634146363</v>
      </c>
      <c r="D29" s="46" t="s">
        <v>44</v>
      </c>
      <c r="E29" s="47">
        <f>(E28*12)/B17</f>
        <v>-0.59534494773519142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76.5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76.5</v>
      </c>
    </row>
    <row r="32" spans="1:16" x14ac:dyDescent="0.25">
      <c r="A32" s="26" t="s">
        <v>49</v>
      </c>
      <c r="B32" s="8">
        <f>B16</f>
        <v>123000</v>
      </c>
      <c r="G32" s="27" t="s">
        <v>50</v>
      </c>
      <c r="H32" s="48">
        <v>0.05</v>
      </c>
      <c r="I32" s="49">
        <f>$B$21*H32</f>
        <v>76.5</v>
      </c>
    </row>
    <row r="33" spans="1:9" x14ac:dyDescent="0.25">
      <c r="A33" s="7" t="s">
        <v>51</v>
      </c>
      <c r="B33" s="17">
        <f>B32-B18</f>
        <v>4305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229.5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84.075625000000002</v>
      </c>
      <c r="D39" s="58"/>
      <c r="E39" s="61"/>
    </row>
    <row r="40" spans="1:9" x14ac:dyDescent="0.25">
      <c r="A40" s="7" t="s">
        <v>58</v>
      </c>
      <c r="B40" s="17">
        <f>B25-B39</f>
        <v>950.00437499999998</v>
      </c>
      <c r="D40" s="58"/>
      <c r="E40" s="61"/>
    </row>
    <row r="41" spans="1:9" x14ac:dyDescent="0.25">
      <c r="A41" s="7" t="s">
        <v>59</v>
      </c>
      <c r="B41" s="43">
        <f>B21-B40-I25-I34</f>
        <v>350.49562500000002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0.97699128919860634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756" priority="28" operator="equal">
      <formula>"NO"</formula>
    </cfRule>
    <cfRule type="cellIs" dxfId="5755" priority="29" operator="equal">
      <formula>"YES"</formula>
    </cfRule>
  </conditionalFormatting>
  <conditionalFormatting sqref="E38">
    <cfRule type="cellIs" dxfId="5754" priority="26" operator="equal">
      <formula>"YES"</formula>
    </cfRule>
    <cfRule type="cellIs" dxfId="5753" priority="27" operator="equal">
      <formula>"NO"</formula>
    </cfRule>
  </conditionalFormatting>
  <conditionalFormatting sqref="B23">
    <cfRule type="cellIs" dxfId="5752" priority="24" operator="equal">
      <formula>"NO"</formula>
    </cfRule>
    <cfRule type="cellIs" dxfId="5751" priority="25" operator="equal">
      <formula>"YES"</formula>
    </cfRule>
  </conditionalFormatting>
  <conditionalFormatting sqref="B12">
    <cfRule type="containsText" dxfId="5750" priority="10" operator="containsText" text="Low">
      <formula>NOT(ISERROR(SEARCH("Low",B12)))</formula>
    </cfRule>
    <cfRule type="containsText" dxfId="5749" priority="11" operator="containsText" text="Medium">
      <formula>NOT(ISERROR(SEARCH("Medium",B12)))</formula>
    </cfRule>
    <cfRule type="containsText" dxfId="5748" priority="12" operator="containsText" text="High">
      <formula>NOT(ISERROR(SEARCH("High",B12)))</formula>
    </cfRule>
  </conditionalFormatting>
  <conditionalFormatting sqref="B29">
    <cfRule type="cellIs" dxfId="5747" priority="20" operator="between">
      <formula>10%</formula>
      <formula>11.9%</formula>
    </cfRule>
    <cfRule type="cellIs" dxfId="5746" priority="22" operator="lessThan">
      <formula>0.1</formula>
    </cfRule>
    <cfRule type="cellIs" dxfId="5745" priority="23" operator="greaterThanOrEqual">
      <formula>0.12</formula>
    </cfRule>
  </conditionalFormatting>
  <conditionalFormatting sqref="B42">
    <cfRule type="cellIs" dxfId="5744" priority="18" operator="between">
      <formula>0.1</formula>
      <formula>0.1199</formula>
    </cfRule>
    <cfRule type="cellIs" dxfId="5743" priority="19" operator="lessThan">
      <formula>0.1</formula>
    </cfRule>
    <cfRule type="cellIs" dxfId="5742" priority="21" operator="greaterThanOrEqual">
      <formula>0.12</formula>
    </cfRule>
  </conditionalFormatting>
  <conditionalFormatting sqref="B10">
    <cfRule type="containsText" dxfId="5741" priority="13" operator="containsText" text="Full">
      <formula>NOT(ISERROR(SEARCH("Full",B10)))</formula>
    </cfRule>
    <cfRule type="containsText" dxfId="5740" priority="14" operator="containsText" text="Heavy">
      <formula>NOT(ISERROR(SEARCH("Heavy",B10)))</formula>
    </cfRule>
    <cfRule type="containsText" dxfId="5739" priority="15" operator="containsText" text="Medium">
      <formula>NOT(ISERROR(SEARCH("Medium",B10)))</formula>
    </cfRule>
    <cfRule type="containsText" dxfId="5738" priority="16" operator="containsText" text="Light">
      <formula>NOT(ISERROR(SEARCH("Light",B10)))</formula>
    </cfRule>
    <cfRule type="containsText" dxfId="5737" priority="17" operator="containsText" text="None">
      <formula>NOT(ISERROR(SEARCH("None",B10)))</formula>
    </cfRule>
  </conditionalFormatting>
  <conditionalFormatting sqref="B28">
    <cfRule type="cellIs" dxfId="5736" priority="30" operator="lessThan">
      <formula>$B$8*100</formula>
    </cfRule>
    <cfRule type="cellIs" dxfId="5735" priority="31" operator="greaterThanOrEqual">
      <formula>$B$8*100</formula>
    </cfRule>
  </conditionalFormatting>
  <conditionalFormatting sqref="B41">
    <cfRule type="cellIs" dxfId="5734" priority="32" operator="lessThan">
      <formula>$B$8*100</formula>
    </cfRule>
    <cfRule type="cellIs" dxfId="5733" priority="33" operator="greaterThan">
      <formula>$B$8*100</formula>
    </cfRule>
    <cfRule type="cellIs" dxfId="5732" priority="34" operator="greaterThan">
      <formula>$B$8*100</formula>
    </cfRule>
  </conditionalFormatting>
  <conditionalFormatting sqref="B38">
    <cfRule type="cellIs" dxfId="5731" priority="8" operator="equal">
      <formula>"YES"</formula>
    </cfRule>
    <cfRule type="cellIs" dxfId="5730" priority="9" operator="equal">
      <formula>"NO"</formula>
    </cfRule>
  </conditionalFormatting>
  <conditionalFormatting sqref="E23:E26">
    <cfRule type="cellIs" dxfId="5729" priority="4" operator="equal">
      <formula>"NO"</formula>
    </cfRule>
    <cfRule type="cellIs" dxfId="5728" priority="5" operator="equal">
      <formula>"YES"</formula>
    </cfRule>
  </conditionalFormatting>
  <conditionalFormatting sqref="E29">
    <cfRule type="cellIs" dxfId="5727" priority="1" operator="between">
      <formula>10%</formula>
      <formula>12%</formula>
    </cfRule>
    <cfRule type="cellIs" dxfId="5726" priority="2" operator="lessThan">
      <formula>0.1</formula>
    </cfRule>
    <cfRule type="cellIs" dxfId="5725" priority="3" operator="greaterThan">
      <formula>0.12</formula>
    </cfRule>
  </conditionalFormatting>
  <conditionalFormatting sqref="E28">
    <cfRule type="cellIs" dxfId="5724" priority="6" operator="lessThan">
      <formula>$B$8*100</formula>
    </cfRule>
    <cfRule type="cellIs" dxfId="5723" priority="7" operator="greaterThan">
      <formula>$B$8*100</formula>
    </cfRule>
  </conditionalFormatting>
  <hyperlinks>
    <hyperlink ref="A32" r:id="rId1" display="https://www.zillow.com/homes/recently_sold/" xr:uid="{54B5D977-ADF0-46D2-A260-7BA14255D54A}"/>
    <hyperlink ref="A21" r:id="rId2" xr:uid="{3EF8055F-1946-428E-A6DC-EAA0776B8F20}"/>
    <hyperlink ref="A25" r:id="rId3" display="www.mortgagecalculator.org" xr:uid="{8ACD3B6E-7126-4F91-A2AA-E87FD264664E}"/>
    <hyperlink ref="A12" r:id="rId4" xr:uid="{32895C67-131E-415E-A7C0-01C860B5D68C}"/>
  </hyperlinks>
  <pageMargins left="0.7" right="0.7" top="0.75" bottom="0.75" header="0.3" footer="0.3"/>
  <drawing r:id="rId5"/>
  <legacyDrawing r:id="rId6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58C5-F1E0-4FAA-A5BF-38C1D85F9BD4}">
  <sheetPr codeName="Sheet73">
    <tabColor rgb="FF00B050"/>
  </sheetPr>
  <dimension ref="A1:P42"/>
  <sheetViews>
    <sheetView topLeftCell="A19" workbookViewId="0">
      <selection activeCell="D18" sqref="D1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161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 t="s">
        <v>162</v>
      </c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3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2592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163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90000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64800</v>
      </c>
      <c r="D15" s="2"/>
      <c r="E15" s="3"/>
    </row>
    <row r="16" spans="1:10" x14ac:dyDescent="0.25">
      <c r="A16" s="7" t="s">
        <v>20</v>
      </c>
      <c r="B16" s="17">
        <f>B15+B13</f>
        <v>154800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5418.0000000000009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149382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750*3</f>
        <v>2250</v>
      </c>
      <c r="D21" s="23" t="s">
        <v>28</v>
      </c>
      <c r="E21" s="8">
        <f>781*3*6/7</f>
        <v>2008.2857142857142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1548</v>
      </c>
      <c r="D22" s="7" t="s">
        <v>77</v>
      </c>
      <c r="E22" s="17">
        <f>B16*0.01</f>
        <v>1548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1235.6500000000001</v>
      </c>
      <c r="D25" s="7" t="s">
        <v>38</v>
      </c>
      <c r="E25" s="35">
        <f>B25</f>
        <v>1235.6500000000001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1918.15</v>
      </c>
      <c r="D26" s="7" t="s">
        <v>41</v>
      </c>
      <c r="E26" s="17">
        <f>E25+I25+I34</f>
        <v>1918.15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331.84999999999991</v>
      </c>
      <c r="D28" s="7" t="s">
        <v>43</v>
      </c>
      <c r="E28" s="44">
        <f>E21-E25-I25-I34+I24+I33</f>
        <v>435.13571428571413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0.73499446290143933</v>
      </c>
      <c r="D29" s="46" t="s">
        <v>44</v>
      </c>
      <c r="E29" s="47">
        <f>(E28*12)/B17</f>
        <v>0.96375573485207988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112.5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112.5</v>
      </c>
    </row>
    <row r="32" spans="1:16" x14ac:dyDescent="0.25">
      <c r="A32" s="26" t="s">
        <v>49</v>
      </c>
      <c r="B32" s="8">
        <f>B16</f>
        <v>154800</v>
      </c>
      <c r="G32" s="27" t="s">
        <v>50</v>
      </c>
      <c r="H32" s="48">
        <v>0.05</v>
      </c>
      <c r="I32" s="49">
        <f>$B$21*H32</f>
        <v>112.5</v>
      </c>
    </row>
    <row r="33" spans="1:9" x14ac:dyDescent="0.25">
      <c r="A33" s="7" t="s">
        <v>51</v>
      </c>
      <c r="B33" s="17">
        <f>B32-B18</f>
        <v>5418</v>
      </c>
      <c r="G33" s="27" t="s">
        <v>52</v>
      </c>
      <c r="H33" s="48">
        <v>0.1</v>
      </c>
      <c r="I33" s="49">
        <f>$B$21*H33</f>
        <v>225</v>
      </c>
    </row>
    <row r="34" spans="1:9" ht="15.75" thickBot="1" x14ac:dyDescent="0.3">
      <c r="A34" s="7" t="s">
        <v>53</v>
      </c>
      <c r="B34" s="50">
        <f>B33/B17</f>
        <v>0.99999999999999978</v>
      </c>
      <c r="G34" s="36" t="s">
        <v>39</v>
      </c>
      <c r="H34" s="37"/>
      <c r="I34" s="51">
        <f>SUM(I30:I33)</f>
        <v>562.5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105.81225000000001</v>
      </c>
      <c r="D39" s="58"/>
      <c r="E39" s="61"/>
    </row>
    <row r="40" spans="1:9" x14ac:dyDescent="0.25">
      <c r="A40" s="7" t="s">
        <v>58</v>
      </c>
      <c r="B40" s="17">
        <f>B25-B39</f>
        <v>1129.8377500000001</v>
      </c>
      <c r="D40" s="58"/>
      <c r="E40" s="61"/>
    </row>
    <row r="41" spans="1:9" x14ac:dyDescent="0.25">
      <c r="A41" s="7" t="s">
        <v>59</v>
      </c>
      <c r="B41" s="43">
        <f>B21-B40-I25-I34</f>
        <v>437.66224999999986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0.96935160575858204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722" priority="28" operator="equal">
      <formula>"NO"</formula>
    </cfRule>
    <cfRule type="cellIs" dxfId="5721" priority="29" operator="equal">
      <formula>"YES"</formula>
    </cfRule>
  </conditionalFormatting>
  <conditionalFormatting sqref="E38">
    <cfRule type="cellIs" dxfId="5720" priority="26" operator="equal">
      <formula>"YES"</formula>
    </cfRule>
    <cfRule type="cellIs" dxfId="5719" priority="27" operator="equal">
      <formula>"NO"</formula>
    </cfRule>
  </conditionalFormatting>
  <conditionalFormatting sqref="B23">
    <cfRule type="cellIs" dxfId="5718" priority="24" operator="equal">
      <formula>"NO"</formula>
    </cfRule>
    <cfRule type="cellIs" dxfId="5717" priority="25" operator="equal">
      <formula>"YES"</formula>
    </cfRule>
  </conditionalFormatting>
  <conditionalFormatting sqref="B12">
    <cfRule type="containsText" dxfId="5716" priority="10" operator="containsText" text="Low">
      <formula>NOT(ISERROR(SEARCH("Low",B12)))</formula>
    </cfRule>
    <cfRule type="containsText" dxfId="5715" priority="11" operator="containsText" text="Medium">
      <formula>NOT(ISERROR(SEARCH("Medium",B12)))</formula>
    </cfRule>
    <cfRule type="containsText" dxfId="5714" priority="12" operator="containsText" text="High">
      <formula>NOT(ISERROR(SEARCH("High",B12)))</formula>
    </cfRule>
  </conditionalFormatting>
  <conditionalFormatting sqref="B29">
    <cfRule type="cellIs" dxfId="5713" priority="20" operator="between">
      <formula>10%</formula>
      <formula>11.9%</formula>
    </cfRule>
    <cfRule type="cellIs" dxfId="5712" priority="22" operator="lessThan">
      <formula>0.1</formula>
    </cfRule>
    <cfRule type="cellIs" dxfId="5711" priority="23" operator="greaterThanOrEqual">
      <formula>0.12</formula>
    </cfRule>
  </conditionalFormatting>
  <conditionalFormatting sqref="B42">
    <cfRule type="cellIs" dxfId="5710" priority="18" operator="between">
      <formula>0.1</formula>
      <formula>0.1199</formula>
    </cfRule>
    <cfRule type="cellIs" dxfId="5709" priority="19" operator="lessThan">
      <formula>0.1</formula>
    </cfRule>
    <cfRule type="cellIs" dxfId="5708" priority="21" operator="greaterThanOrEqual">
      <formula>0.12</formula>
    </cfRule>
  </conditionalFormatting>
  <conditionalFormatting sqref="B10">
    <cfRule type="containsText" dxfId="5707" priority="13" operator="containsText" text="Full">
      <formula>NOT(ISERROR(SEARCH("Full",B10)))</formula>
    </cfRule>
    <cfRule type="containsText" dxfId="5706" priority="14" operator="containsText" text="Heavy">
      <formula>NOT(ISERROR(SEARCH("Heavy",B10)))</formula>
    </cfRule>
    <cfRule type="containsText" dxfId="5705" priority="15" operator="containsText" text="Medium">
      <formula>NOT(ISERROR(SEARCH("Medium",B10)))</formula>
    </cfRule>
    <cfRule type="containsText" dxfId="5704" priority="16" operator="containsText" text="Light">
      <formula>NOT(ISERROR(SEARCH("Light",B10)))</formula>
    </cfRule>
    <cfRule type="containsText" dxfId="5703" priority="17" operator="containsText" text="None">
      <formula>NOT(ISERROR(SEARCH("None",B10)))</formula>
    </cfRule>
  </conditionalFormatting>
  <conditionalFormatting sqref="B28">
    <cfRule type="cellIs" dxfId="5702" priority="30" operator="lessThan">
      <formula>$B$8*100</formula>
    </cfRule>
    <cfRule type="cellIs" dxfId="5701" priority="31" operator="greaterThanOrEqual">
      <formula>$B$8*100</formula>
    </cfRule>
  </conditionalFormatting>
  <conditionalFormatting sqref="B41">
    <cfRule type="cellIs" dxfId="5700" priority="32" operator="lessThan">
      <formula>$B$8*100</formula>
    </cfRule>
    <cfRule type="cellIs" dxfId="5699" priority="33" operator="greaterThan">
      <formula>$B$8*100</formula>
    </cfRule>
    <cfRule type="cellIs" dxfId="5698" priority="34" operator="greaterThan">
      <formula>$B$8*100</formula>
    </cfRule>
  </conditionalFormatting>
  <conditionalFormatting sqref="B38">
    <cfRule type="cellIs" dxfId="5697" priority="8" operator="equal">
      <formula>"YES"</formula>
    </cfRule>
    <cfRule type="cellIs" dxfId="5696" priority="9" operator="equal">
      <formula>"NO"</formula>
    </cfRule>
  </conditionalFormatting>
  <conditionalFormatting sqref="E23:E26">
    <cfRule type="cellIs" dxfId="5695" priority="4" operator="equal">
      <formula>"NO"</formula>
    </cfRule>
    <cfRule type="cellIs" dxfId="5694" priority="5" operator="equal">
      <formula>"YES"</formula>
    </cfRule>
  </conditionalFormatting>
  <conditionalFormatting sqref="E29">
    <cfRule type="cellIs" dxfId="5693" priority="1" operator="between">
      <formula>10%</formula>
      <formula>12%</formula>
    </cfRule>
    <cfRule type="cellIs" dxfId="5692" priority="2" operator="lessThan">
      <formula>0.1</formula>
    </cfRule>
    <cfRule type="cellIs" dxfId="5691" priority="3" operator="greaterThan">
      <formula>0.12</formula>
    </cfRule>
  </conditionalFormatting>
  <conditionalFormatting sqref="E28">
    <cfRule type="cellIs" dxfId="5690" priority="6" operator="lessThan">
      <formula>$B$8*100</formula>
    </cfRule>
    <cfRule type="cellIs" dxfId="5689" priority="7" operator="greaterThan">
      <formula>$B$8*100</formula>
    </cfRule>
  </conditionalFormatting>
  <hyperlinks>
    <hyperlink ref="A32" r:id="rId1" display="https://www.zillow.com/homes/recently_sold/" xr:uid="{9649B53B-951E-4299-BC5A-1A237B0A2BBD}"/>
    <hyperlink ref="A21" r:id="rId2" xr:uid="{EFC312FB-F0AA-4A55-A733-54B9433E8EEA}"/>
    <hyperlink ref="A25" r:id="rId3" display="www.mortgagecalculator.org" xr:uid="{413622FD-CDBD-43AB-AF02-ECCE84FCE131}"/>
    <hyperlink ref="A12" r:id="rId4" xr:uid="{016AFDAC-2528-4CEF-87EF-7D7E249DAEB9}"/>
  </hyperlinks>
  <pageMargins left="0.7" right="0.7" top="0.75" bottom="0.75" header="0.3" footer="0.3"/>
  <pageSetup orientation="portrait" r:id="rId5"/>
  <drawing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5CB84-D5CC-48AD-98E1-66FDBFC98B60}">
  <sheetPr codeName="Sheet74">
    <tabColor rgb="FF92D050"/>
  </sheetPr>
  <dimension ref="A1:P42"/>
  <sheetViews>
    <sheetView topLeftCell="A11" workbookViewId="0">
      <selection activeCell="B10" sqref="B1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164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3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2348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97750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58700</v>
      </c>
      <c r="D15" s="2"/>
      <c r="E15" s="3"/>
    </row>
    <row r="16" spans="1:10" x14ac:dyDescent="0.25">
      <c r="A16" s="7" t="s">
        <v>20</v>
      </c>
      <c r="B16" s="17">
        <f>B15+B13</f>
        <v>156450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5475.7500000000009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150974.25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680*2+783</f>
        <v>2143</v>
      </c>
      <c r="D21" s="23" t="s">
        <v>28</v>
      </c>
      <c r="E21" s="8">
        <f>680*2+783/2</f>
        <v>1751.5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1564.5</v>
      </c>
      <c r="D22" s="7" t="s">
        <v>77</v>
      </c>
      <c r="E22" s="17">
        <f>B16*0.01</f>
        <v>1564.5</v>
      </c>
      <c r="G22" s="27" t="s">
        <v>32</v>
      </c>
      <c r="H22" s="28"/>
      <c r="I22" s="29">
        <v>140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>
        <v>150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1215</v>
      </c>
      <c r="D25" s="7" t="s">
        <v>38</v>
      </c>
      <c r="E25" s="35">
        <f>B25</f>
        <v>1215</v>
      </c>
      <c r="G25" s="36" t="s">
        <v>39</v>
      </c>
      <c r="H25" s="37"/>
      <c r="I25" s="38">
        <f>SUM(I21:I24)</f>
        <v>410</v>
      </c>
    </row>
    <row r="26" spans="1:16" x14ac:dyDescent="0.25">
      <c r="A26" s="7" t="s">
        <v>40</v>
      </c>
      <c r="B26" s="17">
        <f>B25+I25+I34</f>
        <v>1946.45</v>
      </c>
      <c r="D26" s="7" t="s">
        <v>41</v>
      </c>
      <c r="E26" s="17">
        <f>E25+I25+I34</f>
        <v>1946.45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196.54999999999995</v>
      </c>
      <c r="D28" s="7" t="s">
        <v>43</v>
      </c>
      <c r="E28" s="44">
        <f>E21-E25-I25-I34+I24+I33</f>
        <v>-74.950000000000045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0.43073551568278301</v>
      </c>
      <c r="D29" s="46" t="s">
        <v>44</v>
      </c>
      <c r="E29" s="47">
        <f>(E28*12)/B17</f>
        <v>-0.16425147240104102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107.15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107.15</v>
      </c>
    </row>
    <row r="32" spans="1:16" x14ac:dyDescent="0.25">
      <c r="A32" s="26" t="s">
        <v>49</v>
      </c>
      <c r="B32" s="8">
        <f>B16</f>
        <v>156450</v>
      </c>
      <c r="G32" s="27" t="s">
        <v>50</v>
      </c>
      <c r="H32" s="48">
        <v>0.05</v>
      </c>
      <c r="I32" s="49">
        <f>$B$21*H32</f>
        <v>107.15</v>
      </c>
    </row>
    <row r="33" spans="1:9" x14ac:dyDescent="0.25">
      <c r="A33" s="7" t="s">
        <v>51</v>
      </c>
      <c r="B33" s="17">
        <f>B32-B18</f>
        <v>5475.75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321.45000000000005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106.94009375000002</v>
      </c>
      <c r="D39" s="58"/>
      <c r="E39" s="61"/>
    </row>
    <row r="40" spans="1:9" x14ac:dyDescent="0.25">
      <c r="A40" s="7" t="s">
        <v>58</v>
      </c>
      <c r="B40" s="17">
        <f>B25-B39</f>
        <v>1108.05990625</v>
      </c>
      <c r="D40" s="58"/>
      <c r="E40" s="61"/>
    </row>
    <row r="41" spans="1:9" x14ac:dyDescent="0.25">
      <c r="A41" s="7" t="s">
        <v>59</v>
      </c>
      <c r="B41" s="43">
        <f>B21-B40-I25-I34</f>
        <v>303.49009374999991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0.66509265853992572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688" priority="28" operator="equal">
      <formula>"NO"</formula>
    </cfRule>
    <cfRule type="cellIs" dxfId="5687" priority="29" operator="equal">
      <formula>"YES"</formula>
    </cfRule>
  </conditionalFormatting>
  <conditionalFormatting sqref="E38">
    <cfRule type="cellIs" dxfId="5686" priority="26" operator="equal">
      <formula>"YES"</formula>
    </cfRule>
    <cfRule type="cellIs" dxfId="5685" priority="27" operator="equal">
      <formula>"NO"</formula>
    </cfRule>
  </conditionalFormatting>
  <conditionalFormatting sqref="B23">
    <cfRule type="cellIs" dxfId="5684" priority="24" operator="equal">
      <formula>"NO"</formula>
    </cfRule>
    <cfRule type="cellIs" dxfId="5683" priority="25" operator="equal">
      <formula>"YES"</formula>
    </cfRule>
  </conditionalFormatting>
  <conditionalFormatting sqref="B12">
    <cfRule type="containsText" dxfId="5682" priority="10" operator="containsText" text="Low">
      <formula>NOT(ISERROR(SEARCH("Low",B12)))</formula>
    </cfRule>
    <cfRule type="containsText" dxfId="5681" priority="11" operator="containsText" text="Medium">
      <formula>NOT(ISERROR(SEARCH("Medium",B12)))</formula>
    </cfRule>
    <cfRule type="containsText" dxfId="5680" priority="12" operator="containsText" text="High">
      <formula>NOT(ISERROR(SEARCH("High",B12)))</formula>
    </cfRule>
  </conditionalFormatting>
  <conditionalFormatting sqref="B29">
    <cfRule type="cellIs" dxfId="5679" priority="20" operator="between">
      <formula>10%</formula>
      <formula>11.9%</formula>
    </cfRule>
    <cfRule type="cellIs" dxfId="5678" priority="22" operator="lessThan">
      <formula>0.1</formula>
    </cfRule>
    <cfRule type="cellIs" dxfId="5677" priority="23" operator="greaterThanOrEqual">
      <formula>0.12</formula>
    </cfRule>
  </conditionalFormatting>
  <conditionalFormatting sqref="B42">
    <cfRule type="cellIs" dxfId="5676" priority="18" operator="between">
      <formula>0.1</formula>
      <formula>0.1199</formula>
    </cfRule>
    <cfRule type="cellIs" dxfId="5675" priority="19" operator="lessThan">
      <formula>0.1</formula>
    </cfRule>
    <cfRule type="cellIs" dxfId="5674" priority="21" operator="greaterThanOrEqual">
      <formula>0.12</formula>
    </cfRule>
  </conditionalFormatting>
  <conditionalFormatting sqref="B10">
    <cfRule type="containsText" dxfId="5673" priority="13" operator="containsText" text="Full">
      <formula>NOT(ISERROR(SEARCH("Full",B10)))</formula>
    </cfRule>
    <cfRule type="containsText" dxfId="5672" priority="14" operator="containsText" text="Heavy">
      <formula>NOT(ISERROR(SEARCH("Heavy",B10)))</formula>
    </cfRule>
    <cfRule type="containsText" dxfId="5671" priority="15" operator="containsText" text="Medium">
      <formula>NOT(ISERROR(SEARCH("Medium",B10)))</formula>
    </cfRule>
    <cfRule type="containsText" dxfId="5670" priority="16" operator="containsText" text="Light">
      <formula>NOT(ISERROR(SEARCH("Light",B10)))</formula>
    </cfRule>
    <cfRule type="containsText" dxfId="5669" priority="17" operator="containsText" text="None">
      <formula>NOT(ISERROR(SEARCH("None",B10)))</formula>
    </cfRule>
  </conditionalFormatting>
  <conditionalFormatting sqref="B28">
    <cfRule type="cellIs" dxfId="5668" priority="30" operator="lessThan">
      <formula>$B$8*100</formula>
    </cfRule>
    <cfRule type="cellIs" dxfId="5667" priority="31" operator="greaterThanOrEqual">
      <formula>$B$8*100</formula>
    </cfRule>
  </conditionalFormatting>
  <conditionalFormatting sqref="B41">
    <cfRule type="cellIs" dxfId="5666" priority="32" operator="lessThan">
      <formula>$B$8*100</formula>
    </cfRule>
    <cfRule type="cellIs" dxfId="5665" priority="33" operator="greaterThan">
      <formula>$B$8*100</formula>
    </cfRule>
    <cfRule type="cellIs" dxfId="5664" priority="34" operator="greaterThan">
      <formula>$B$8*100</formula>
    </cfRule>
  </conditionalFormatting>
  <conditionalFormatting sqref="B38">
    <cfRule type="cellIs" dxfId="5663" priority="8" operator="equal">
      <formula>"YES"</formula>
    </cfRule>
    <cfRule type="cellIs" dxfId="5662" priority="9" operator="equal">
      <formula>"NO"</formula>
    </cfRule>
  </conditionalFormatting>
  <conditionalFormatting sqref="E23:E26">
    <cfRule type="cellIs" dxfId="5661" priority="4" operator="equal">
      <formula>"NO"</formula>
    </cfRule>
    <cfRule type="cellIs" dxfId="5660" priority="5" operator="equal">
      <formula>"YES"</formula>
    </cfRule>
  </conditionalFormatting>
  <conditionalFormatting sqref="E29">
    <cfRule type="cellIs" dxfId="5659" priority="1" operator="between">
      <formula>10%</formula>
      <formula>12%</formula>
    </cfRule>
    <cfRule type="cellIs" dxfId="5658" priority="2" operator="lessThan">
      <formula>0.1</formula>
    </cfRule>
    <cfRule type="cellIs" dxfId="5657" priority="3" operator="greaterThan">
      <formula>0.12</formula>
    </cfRule>
  </conditionalFormatting>
  <conditionalFormatting sqref="E28">
    <cfRule type="cellIs" dxfId="5656" priority="6" operator="lessThan">
      <formula>$B$8*100</formula>
    </cfRule>
    <cfRule type="cellIs" dxfId="5655" priority="7" operator="greaterThan">
      <formula>$B$8*100</formula>
    </cfRule>
  </conditionalFormatting>
  <hyperlinks>
    <hyperlink ref="A32" r:id="rId1" display="https://www.zillow.com/homes/recently_sold/" xr:uid="{490CAF58-428F-432B-822E-791AC4E6C669}"/>
    <hyperlink ref="A21" r:id="rId2" xr:uid="{385D0F79-51FA-4596-9947-22680E68A65F}"/>
    <hyperlink ref="A25" r:id="rId3" display="www.mortgagecalculator.org" xr:uid="{EDC73E1D-75BF-40E4-8360-99861139E8D7}"/>
    <hyperlink ref="A12" r:id="rId4" xr:uid="{54235503-1A18-45FD-B620-486F7009F550}"/>
  </hyperlinks>
  <pageMargins left="0.7" right="0.7" top="0.75" bottom="0.75" header="0.3" footer="0.3"/>
  <drawing r:id="rId5"/>
  <legacyDrawing r:id="rId6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183BA-4EA7-4715-9BEA-022019955B92}">
  <sheetPr codeName="Sheet75">
    <tabColor rgb="FF92D050"/>
  </sheetPr>
  <dimension ref="A1:P42"/>
  <sheetViews>
    <sheetView topLeftCell="A11" workbookViewId="0">
      <selection activeCell="B21" sqref="B2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10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3440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165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186915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186915</v>
      </c>
      <c r="D16" s="2"/>
      <c r="E16" s="18"/>
    </row>
    <row r="17" spans="1:16" ht="15.75" thickBot="1" x14ac:dyDescent="0.3">
      <c r="A17" s="7" t="s">
        <v>21</v>
      </c>
      <c r="B17" s="17">
        <f>B16*0.05</f>
        <v>9345.75</v>
      </c>
      <c r="D17" s="19" t="s">
        <v>22</v>
      </c>
      <c r="E17" s="20"/>
      <c r="P17" s="21"/>
    </row>
    <row r="18" spans="1:16" x14ac:dyDescent="0.25">
      <c r="A18" s="7" t="s">
        <v>23</v>
      </c>
      <c r="B18" s="17">
        <f>B16-B17</f>
        <v>177569.25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772+772+772+750+900</f>
        <v>3966</v>
      </c>
      <c r="D21" s="23" t="s">
        <v>28</v>
      </c>
      <c r="E21" s="8">
        <f>350*3</f>
        <v>1050</v>
      </c>
      <c r="G21" s="27" t="s">
        <v>29</v>
      </c>
      <c r="H21" s="28"/>
      <c r="I21" s="29">
        <f>1800/12</f>
        <v>150</v>
      </c>
    </row>
    <row r="22" spans="1:16" x14ac:dyDescent="0.25">
      <c r="A22" s="7" t="s">
        <v>78</v>
      </c>
      <c r="B22" s="17">
        <f>B16*0.01</f>
        <v>1869.15</v>
      </c>
      <c r="D22" s="7" t="s">
        <v>77</v>
      </c>
      <c r="E22" s="17">
        <f>B16*0.01</f>
        <v>1869.15</v>
      </c>
      <c r="G22" s="27" t="s">
        <v>32</v>
      </c>
      <c r="H22" s="28"/>
      <c r="I22" s="29">
        <v>150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>
        <f>1058/12+700/12</f>
        <v>146.5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1558.35</v>
      </c>
      <c r="D25" s="7" t="s">
        <v>38</v>
      </c>
      <c r="E25" s="35">
        <f>B25</f>
        <v>1558.35</v>
      </c>
      <c r="G25" s="36" t="s">
        <v>39</v>
      </c>
      <c r="H25" s="37"/>
      <c r="I25" s="38">
        <f>SUM(I21:I24)</f>
        <v>586.5</v>
      </c>
    </row>
    <row r="26" spans="1:16" x14ac:dyDescent="0.25">
      <c r="A26" s="7" t="s">
        <v>40</v>
      </c>
      <c r="B26" s="17">
        <f>B25+I25+I34</f>
        <v>3204.75</v>
      </c>
      <c r="D26" s="7" t="s">
        <v>41</v>
      </c>
      <c r="E26" s="17">
        <f>E25+I25+I34</f>
        <v>3204.75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761.25</v>
      </c>
      <c r="D28" s="7" t="s">
        <v>43</v>
      </c>
      <c r="E28" s="44">
        <f>E21-E25-I25-I34+I24+I33</f>
        <v>-1549.75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0.97744964288580372</v>
      </c>
      <c r="D29" s="46" t="s">
        <v>44</v>
      </c>
      <c r="E29" s="47">
        <f>(E28*12)/B17</f>
        <v>-1.989888451970147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198.3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198.3</v>
      </c>
    </row>
    <row r="32" spans="1:16" x14ac:dyDescent="0.25">
      <c r="A32" s="26" t="s">
        <v>49</v>
      </c>
      <c r="B32" s="8">
        <f>B16</f>
        <v>186915</v>
      </c>
      <c r="G32" s="27" t="s">
        <v>50</v>
      </c>
      <c r="H32" s="48">
        <v>0.05</v>
      </c>
      <c r="I32" s="49">
        <f>$B$21*H32</f>
        <v>198.3</v>
      </c>
    </row>
    <row r="33" spans="1:9" x14ac:dyDescent="0.25">
      <c r="A33" s="7" t="s">
        <v>51</v>
      </c>
      <c r="B33" s="17">
        <f>B32-B18</f>
        <v>9345.75</v>
      </c>
      <c r="G33" s="27" t="s">
        <v>52</v>
      </c>
      <c r="H33" s="48"/>
      <c r="I33" s="49">
        <f>2580/12+3000/12</f>
        <v>465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1059.9000000000001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125.77821875000001</v>
      </c>
      <c r="D39" s="58"/>
      <c r="E39" s="61"/>
    </row>
    <row r="40" spans="1:9" x14ac:dyDescent="0.25">
      <c r="A40" s="7" t="s">
        <v>58</v>
      </c>
      <c r="B40" s="17">
        <f>B25-B39</f>
        <v>1432.57178125</v>
      </c>
      <c r="D40" s="58"/>
      <c r="E40" s="61"/>
    </row>
    <row r="41" spans="1:9" x14ac:dyDescent="0.25">
      <c r="A41" s="7" t="s">
        <v>59</v>
      </c>
      <c r="B41" s="43">
        <f>B21-B40-I25-I34</f>
        <v>887.02821875000018</v>
      </c>
      <c r="D41" s="58"/>
      <c r="E41" s="61"/>
    </row>
    <row r="42" spans="1:9" ht="15.75" thickBot="1" x14ac:dyDescent="0.3">
      <c r="A42" s="46" t="s">
        <v>44</v>
      </c>
      <c r="B42" s="47">
        <f>(B41*12)/B17</f>
        <v>1.1389496428858039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654" priority="28" operator="equal">
      <formula>"NO"</formula>
    </cfRule>
    <cfRule type="cellIs" dxfId="5653" priority="29" operator="equal">
      <formula>"YES"</formula>
    </cfRule>
  </conditionalFormatting>
  <conditionalFormatting sqref="E38">
    <cfRule type="cellIs" dxfId="5652" priority="26" operator="equal">
      <formula>"YES"</formula>
    </cfRule>
    <cfRule type="cellIs" dxfId="5651" priority="27" operator="equal">
      <formula>"NO"</formula>
    </cfRule>
  </conditionalFormatting>
  <conditionalFormatting sqref="B23">
    <cfRule type="cellIs" dxfId="5650" priority="24" operator="equal">
      <formula>"NO"</formula>
    </cfRule>
    <cfRule type="cellIs" dxfId="5649" priority="25" operator="equal">
      <formula>"YES"</formula>
    </cfRule>
  </conditionalFormatting>
  <conditionalFormatting sqref="B12">
    <cfRule type="containsText" dxfId="5648" priority="10" operator="containsText" text="Low">
      <formula>NOT(ISERROR(SEARCH("Low",B12)))</formula>
    </cfRule>
    <cfRule type="containsText" dxfId="5647" priority="11" operator="containsText" text="Medium">
      <formula>NOT(ISERROR(SEARCH("Medium",B12)))</formula>
    </cfRule>
    <cfRule type="containsText" dxfId="5646" priority="12" operator="containsText" text="High">
      <formula>NOT(ISERROR(SEARCH("High",B12)))</formula>
    </cfRule>
  </conditionalFormatting>
  <conditionalFormatting sqref="B29">
    <cfRule type="cellIs" dxfId="5645" priority="20" operator="between">
      <formula>10%</formula>
      <formula>11.9%</formula>
    </cfRule>
    <cfRule type="cellIs" dxfId="5644" priority="22" operator="lessThan">
      <formula>0.1</formula>
    </cfRule>
    <cfRule type="cellIs" dxfId="5643" priority="23" operator="greaterThanOrEqual">
      <formula>0.12</formula>
    </cfRule>
  </conditionalFormatting>
  <conditionalFormatting sqref="B42">
    <cfRule type="cellIs" dxfId="5642" priority="18" operator="between">
      <formula>0.1</formula>
      <formula>0.1199</formula>
    </cfRule>
    <cfRule type="cellIs" dxfId="5641" priority="19" operator="lessThan">
      <formula>0.1</formula>
    </cfRule>
    <cfRule type="cellIs" dxfId="5640" priority="21" operator="greaterThanOrEqual">
      <formula>0.12</formula>
    </cfRule>
  </conditionalFormatting>
  <conditionalFormatting sqref="B10">
    <cfRule type="containsText" dxfId="5639" priority="13" operator="containsText" text="Full">
      <formula>NOT(ISERROR(SEARCH("Full",B10)))</formula>
    </cfRule>
    <cfRule type="containsText" dxfId="5638" priority="14" operator="containsText" text="Heavy">
      <formula>NOT(ISERROR(SEARCH("Heavy",B10)))</formula>
    </cfRule>
    <cfRule type="containsText" dxfId="5637" priority="15" operator="containsText" text="Medium">
      <formula>NOT(ISERROR(SEARCH("Medium",B10)))</formula>
    </cfRule>
    <cfRule type="containsText" dxfId="5636" priority="16" operator="containsText" text="Light">
      <formula>NOT(ISERROR(SEARCH("Light",B10)))</formula>
    </cfRule>
    <cfRule type="containsText" dxfId="5635" priority="17" operator="containsText" text="None">
      <formula>NOT(ISERROR(SEARCH("None",B10)))</formula>
    </cfRule>
  </conditionalFormatting>
  <conditionalFormatting sqref="B28">
    <cfRule type="cellIs" dxfId="5634" priority="30" operator="lessThan">
      <formula>$B$8*100</formula>
    </cfRule>
    <cfRule type="cellIs" dxfId="5633" priority="31" operator="greaterThanOrEqual">
      <formula>$B$8*100</formula>
    </cfRule>
  </conditionalFormatting>
  <conditionalFormatting sqref="B41">
    <cfRule type="cellIs" dxfId="5632" priority="32" operator="lessThan">
      <formula>$B$8*100</formula>
    </cfRule>
    <cfRule type="cellIs" dxfId="5631" priority="33" operator="greaterThan">
      <formula>$B$8*100</formula>
    </cfRule>
    <cfRule type="cellIs" dxfId="5630" priority="34" operator="greaterThan">
      <formula>$B$8*100</formula>
    </cfRule>
  </conditionalFormatting>
  <conditionalFormatting sqref="B38">
    <cfRule type="cellIs" dxfId="5629" priority="8" operator="equal">
      <formula>"YES"</formula>
    </cfRule>
    <cfRule type="cellIs" dxfId="5628" priority="9" operator="equal">
      <formula>"NO"</formula>
    </cfRule>
  </conditionalFormatting>
  <conditionalFormatting sqref="E23:E26">
    <cfRule type="cellIs" dxfId="5627" priority="4" operator="equal">
      <formula>"NO"</formula>
    </cfRule>
    <cfRule type="cellIs" dxfId="5626" priority="5" operator="equal">
      <formula>"YES"</formula>
    </cfRule>
  </conditionalFormatting>
  <conditionalFormatting sqref="E29">
    <cfRule type="cellIs" dxfId="5625" priority="1" operator="between">
      <formula>10%</formula>
      <formula>12%</formula>
    </cfRule>
    <cfRule type="cellIs" dxfId="5624" priority="2" operator="lessThan">
      <formula>0.1</formula>
    </cfRule>
    <cfRule type="cellIs" dxfId="5623" priority="3" operator="greaterThan">
      <formula>0.12</formula>
    </cfRule>
  </conditionalFormatting>
  <conditionalFormatting sqref="E28">
    <cfRule type="cellIs" dxfId="5622" priority="6" operator="lessThan">
      <formula>$B$8*100</formula>
    </cfRule>
    <cfRule type="cellIs" dxfId="5621" priority="7" operator="greaterThan">
      <formula>$B$8*100</formula>
    </cfRule>
  </conditionalFormatting>
  <hyperlinks>
    <hyperlink ref="A32" r:id="rId1" display="https://www.zillow.com/homes/recently_sold/" xr:uid="{A06B17F9-1FB3-4924-9545-51913537E4AD}"/>
    <hyperlink ref="A21" r:id="rId2" xr:uid="{FC15ACD8-E6EC-4F61-BE47-35BDBB63128A}"/>
    <hyperlink ref="A25" r:id="rId3" display="www.mortgagecalculator.org" xr:uid="{2CCFFD2E-8045-462A-B7F6-01D1424D0B28}"/>
    <hyperlink ref="A12" r:id="rId4" xr:uid="{A7EF1376-106D-4EAC-9937-DE9D1915B0B9}"/>
  </hyperlinks>
  <pageMargins left="0.7" right="0.7" top="0.75" bottom="0.75" header="0.3" footer="0.3"/>
  <drawing r:id="rId5"/>
  <legacyDrawing r:id="rId6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8A02-11A7-4731-9F39-76549D536BE1}">
  <sheetPr codeName="Sheet76">
    <tabColor rgb="FFFF0000"/>
  </sheetPr>
  <dimension ref="A1:P42"/>
  <sheetViews>
    <sheetView topLeftCell="A25" workbookViewId="0">
      <selection activeCell="C33" sqref="C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98000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83300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21600</v>
      </c>
      <c r="D15" s="2"/>
      <c r="E15" s="3"/>
    </row>
    <row r="16" spans="1:10" x14ac:dyDescent="0.25">
      <c r="A16" s="7" t="s">
        <v>20</v>
      </c>
      <c r="B16" s="17">
        <f>B15+B13</f>
        <v>104900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3671.5000000000005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101228.5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634+769</f>
        <v>1403</v>
      </c>
      <c r="D21" s="23" t="s">
        <v>28</v>
      </c>
      <c r="E21" s="8">
        <f>634+769/2</f>
        <v>1018.5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1049</v>
      </c>
      <c r="D22" s="7" t="s">
        <v>77</v>
      </c>
      <c r="E22" s="17">
        <f>B16*0.01</f>
        <v>1049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>
        <v>100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996.65</v>
      </c>
      <c r="D25" s="7" t="s">
        <v>38</v>
      </c>
      <c r="E25" s="35">
        <f>B25</f>
        <v>996.65</v>
      </c>
      <c r="G25" s="36" t="s">
        <v>39</v>
      </c>
      <c r="H25" s="37"/>
      <c r="I25" s="38">
        <f>SUM(I21:I24)</f>
        <v>100</v>
      </c>
    </row>
    <row r="26" spans="1:16" x14ac:dyDescent="0.25">
      <c r="A26" s="7" t="s">
        <v>40</v>
      </c>
      <c r="B26" s="17">
        <f>B25+I25+I34</f>
        <v>1307.1000000000001</v>
      </c>
      <c r="D26" s="7" t="s">
        <v>41</v>
      </c>
      <c r="E26" s="17">
        <f>E25+I25+I34</f>
        <v>1307.1000000000001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95.899999999999864</v>
      </c>
      <c r="D28" s="7" t="s">
        <v>43</v>
      </c>
      <c r="E28" s="44">
        <f>E21-E25-I25-I34+I24+I33</f>
        <v>-288.60000000000002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0.31344137273593853</v>
      </c>
      <c r="D29" s="46" t="s">
        <v>44</v>
      </c>
      <c r="E29" s="47">
        <f>(E28*12)/B17</f>
        <v>-0.94326569521993731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70.150000000000006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70.150000000000006</v>
      </c>
    </row>
    <row r="32" spans="1:16" x14ac:dyDescent="0.25">
      <c r="A32" s="26" t="s">
        <v>49</v>
      </c>
      <c r="B32" s="8">
        <f>B16</f>
        <v>104900</v>
      </c>
      <c r="G32" s="27" t="s">
        <v>50</v>
      </c>
      <c r="H32" s="48">
        <v>0.05</v>
      </c>
      <c r="I32" s="49">
        <f>$B$21*H32</f>
        <v>70.150000000000006</v>
      </c>
    </row>
    <row r="33" spans="1:9" x14ac:dyDescent="0.25">
      <c r="A33" s="7" t="s">
        <v>51</v>
      </c>
      <c r="B33" s="17">
        <f>B32-B18</f>
        <v>3671.5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210.45000000000002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71.703520833333343</v>
      </c>
      <c r="D39" s="58"/>
      <c r="E39" s="61"/>
    </row>
    <row r="40" spans="1:9" x14ac:dyDescent="0.25">
      <c r="A40" s="7" t="s">
        <v>58</v>
      </c>
      <c r="B40" s="17">
        <f>B25-B39</f>
        <v>924.94647916666668</v>
      </c>
      <c r="D40" s="58"/>
      <c r="E40" s="61"/>
    </row>
    <row r="41" spans="1:9" x14ac:dyDescent="0.25">
      <c r="A41" s="7" t="s">
        <v>59</v>
      </c>
      <c r="B41" s="43">
        <f>B21-B40-I25-I34</f>
        <v>167.60352083333331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0.54779851559308168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620" priority="28" operator="equal">
      <formula>"NO"</formula>
    </cfRule>
    <cfRule type="cellIs" dxfId="5619" priority="29" operator="equal">
      <formula>"YES"</formula>
    </cfRule>
  </conditionalFormatting>
  <conditionalFormatting sqref="E38">
    <cfRule type="cellIs" dxfId="5618" priority="26" operator="equal">
      <formula>"YES"</formula>
    </cfRule>
    <cfRule type="cellIs" dxfId="5617" priority="27" operator="equal">
      <formula>"NO"</formula>
    </cfRule>
  </conditionalFormatting>
  <conditionalFormatting sqref="B23">
    <cfRule type="cellIs" dxfId="5616" priority="24" operator="equal">
      <formula>"NO"</formula>
    </cfRule>
    <cfRule type="cellIs" dxfId="5615" priority="25" operator="equal">
      <formula>"YES"</formula>
    </cfRule>
  </conditionalFormatting>
  <conditionalFormatting sqref="B12">
    <cfRule type="containsText" dxfId="5614" priority="10" operator="containsText" text="Low">
      <formula>NOT(ISERROR(SEARCH("Low",B12)))</formula>
    </cfRule>
    <cfRule type="containsText" dxfId="5613" priority="11" operator="containsText" text="Medium">
      <formula>NOT(ISERROR(SEARCH("Medium",B12)))</formula>
    </cfRule>
    <cfRule type="containsText" dxfId="5612" priority="12" operator="containsText" text="High">
      <formula>NOT(ISERROR(SEARCH("High",B12)))</formula>
    </cfRule>
  </conditionalFormatting>
  <conditionalFormatting sqref="B29">
    <cfRule type="cellIs" dxfId="5611" priority="20" operator="between">
      <formula>10%</formula>
      <formula>11.9%</formula>
    </cfRule>
    <cfRule type="cellIs" dxfId="5610" priority="22" operator="lessThan">
      <formula>0.1</formula>
    </cfRule>
    <cfRule type="cellIs" dxfId="5609" priority="23" operator="greaterThanOrEqual">
      <formula>0.12</formula>
    </cfRule>
  </conditionalFormatting>
  <conditionalFormatting sqref="B42">
    <cfRule type="cellIs" dxfId="5608" priority="18" operator="between">
      <formula>0.1</formula>
      <formula>0.1199</formula>
    </cfRule>
    <cfRule type="cellIs" dxfId="5607" priority="19" operator="lessThan">
      <formula>0.1</formula>
    </cfRule>
    <cfRule type="cellIs" dxfId="5606" priority="21" operator="greaterThanOrEqual">
      <formula>0.12</formula>
    </cfRule>
  </conditionalFormatting>
  <conditionalFormatting sqref="B10">
    <cfRule type="containsText" dxfId="5605" priority="13" operator="containsText" text="Full">
      <formula>NOT(ISERROR(SEARCH("Full",B10)))</formula>
    </cfRule>
    <cfRule type="containsText" dxfId="5604" priority="14" operator="containsText" text="Heavy">
      <formula>NOT(ISERROR(SEARCH("Heavy",B10)))</formula>
    </cfRule>
    <cfRule type="containsText" dxfId="5603" priority="15" operator="containsText" text="Medium">
      <formula>NOT(ISERROR(SEARCH("Medium",B10)))</formula>
    </cfRule>
    <cfRule type="containsText" dxfId="5602" priority="16" operator="containsText" text="Light">
      <formula>NOT(ISERROR(SEARCH("Light",B10)))</formula>
    </cfRule>
    <cfRule type="containsText" dxfId="5601" priority="17" operator="containsText" text="None">
      <formula>NOT(ISERROR(SEARCH("None",B10)))</formula>
    </cfRule>
  </conditionalFormatting>
  <conditionalFormatting sqref="B28">
    <cfRule type="cellIs" dxfId="5600" priority="30" operator="lessThan">
      <formula>$B$8*100</formula>
    </cfRule>
    <cfRule type="cellIs" dxfId="5599" priority="31" operator="greaterThanOrEqual">
      <formula>$B$8*100</formula>
    </cfRule>
  </conditionalFormatting>
  <conditionalFormatting sqref="B41">
    <cfRule type="cellIs" dxfId="5598" priority="32" operator="lessThan">
      <formula>$B$8*100</formula>
    </cfRule>
    <cfRule type="cellIs" dxfId="5597" priority="33" operator="greaterThan">
      <formula>$B$8*100</formula>
    </cfRule>
    <cfRule type="cellIs" dxfId="5596" priority="34" operator="greaterThan">
      <formula>$B$8*100</formula>
    </cfRule>
  </conditionalFormatting>
  <conditionalFormatting sqref="B38">
    <cfRule type="cellIs" dxfId="5595" priority="8" operator="equal">
      <formula>"YES"</formula>
    </cfRule>
    <cfRule type="cellIs" dxfId="5594" priority="9" operator="equal">
      <formula>"NO"</formula>
    </cfRule>
  </conditionalFormatting>
  <conditionalFormatting sqref="E23:E26">
    <cfRule type="cellIs" dxfId="5593" priority="4" operator="equal">
      <formula>"NO"</formula>
    </cfRule>
    <cfRule type="cellIs" dxfId="5592" priority="5" operator="equal">
      <formula>"YES"</formula>
    </cfRule>
  </conditionalFormatting>
  <conditionalFormatting sqref="E29">
    <cfRule type="cellIs" dxfId="5591" priority="1" operator="between">
      <formula>10%</formula>
      <formula>12%</formula>
    </cfRule>
    <cfRule type="cellIs" dxfId="5590" priority="2" operator="lessThan">
      <formula>0.1</formula>
    </cfRule>
    <cfRule type="cellIs" dxfId="5589" priority="3" operator="greaterThan">
      <formula>0.12</formula>
    </cfRule>
  </conditionalFormatting>
  <conditionalFormatting sqref="E28">
    <cfRule type="cellIs" dxfId="5588" priority="6" operator="lessThan">
      <formula>$B$8*100</formula>
    </cfRule>
    <cfRule type="cellIs" dxfId="5587" priority="7" operator="greaterThan">
      <formula>$B$8*100</formula>
    </cfRule>
  </conditionalFormatting>
  <hyperlinks>
    <hyperlink ref="A32" r:id="rId1" display="https://www.zillow.com/homes/recently_sold/" xr:uid="{5AE18062-228B-42EC-8944-9B57F47983A1}"/>
    <hyperlink ref="A21" r:id="rId2" xr:uid="{A1C5558B-7E9F-4E2B-B4EA-4E61110A2E8D}"/>
    <hyperlink ref="A25" r:id="rId3" display="www.mortgagecalculator.org" xr:uid="{BA30D014-82CF-4543-8B61-DCD66C4621F3}"/>
    <hyperlink ref="A12" r:id="rId4" xr:uid="{16506922-1A23-4AD7-8A06-E16EE4F53857}"/>
  </hyperlinks>
  <pageMargins left="0.7" right="0.7" top="0.75" bottom="0.75" header="0.3" footer="0.3"/>
  <legacyDrawing r:id="rId5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22EFF-374A-4C14-B0D8-F976CD0C6C80}">
  <sheetPr codeName="Sheet77">
    <tabColor rgb="FF00B050"/>
  </sheetPr>
  <dimension ref="A1:P42"/>
  <sheetViews>
    <sheetView topLeftCell="A3" workbookViewId="0">
      <selection activeCell="C18" sqref="C1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166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29937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1296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29937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32400</v>
      </c>
      <c r="D15" s="2"/>
      <c r="E15" s="3"/>
    </row>
    <row r="16" spans="1:10" x14ac:dyDescent="0.25">
      <c r="A16" s="7" t="s">
        <v>20</v>
      </c>
      <c r="B16" s="17">
        <f>B15+B13</f>
        <v>62337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2181.7950000000001</v>
      </c>
      <c r="D17" s="19"/>
      <c r="E17" s="20"/>
      <c r="P17" s="21"/>
    </row>
    <row r="18" spans="1:16" x14ac:dyDescent="0.25">
      <c r="A18" s="7" t="s">
        <v>23</v>
      </c>
      <c r="B18" s="17">
        <f>B16-B17</f>
        <v>60155.205000000002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893</v>
      </c>
      <c r="D21" s="23" t="s">
        <v>28</v>
      </c>
      <c r="E21" s="8">
        <f>B21*2/3</f>
        <v>595.33333333333337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623.37</v>
      </c>
      <c r="D22" s="7" t="s">
        <v>77</v>
      </c>
      <c r="E22" s="17">
        <f>B16*0.01</f>
        <v>623.37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588.13</v>
      </c>
      <c r="D25" s="7" t="s">
        <v>38</v>
      </c>
      <c r="E25" s="35">
        <f>B25</f>
        <v>588.13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722.08</v>
      </c>
      <c r="D26" s="7" t="s">
        <v>41</v>
      </c>
      <c r="E26" s="17">
        <f>E25+I25+I34</f>
        <v>722.08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170.91999999999996</v>
      </c>
      <c r="D28" s="7" t="s">
        <v>43</v>
      </c>
      <c r="E28" s="44">
        <f>E21-E25-I25-I34+I24+I33</f>
        <v>-126.74666666666664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0.94006998824362487</v>
      </c>
      <c r="D29" s="46" t="s">
        <v>44</v>
      </c>
      <c r="E29" s="47">
        <f>(E28*12)/B17</f>
        <v>-0.69711407350369747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44.650000000000006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44.650000000000006</v>
      </c>
    </row>
    <row r="32" spans="1:16" x14ac:dyDescent="0.25">
      <c r="A32" s="26" t="s">
        <v>49</v>
      </c>
      <c r="B32" s="8">
        <v>95000</v>
      </c>
      <c r="G32" s="27" t="s">
        <v>50</v>
      </c>
      <c r="H32" s="48">
        <v>0.05</v>
      </c>
      <c r="I32" s="49">
        <f>$B$21*H32</f>
        <v>44.650000000000006</v>
      </c>
    </row>
    <row r="33" spans="1:9" x14ac:dyDescent="0.25">
      <c r="A33" s="7" t="s">
        <v>51</v>
      </c>
      <c r="B33" s="17">
        <f>B32-B18</f>
        <v>34844.794999999998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15.970700730361925</v>
      </c>
      <c r="G34" s="36" t="s">
        <v>39</v>
      </c>
      <c r="H34" s="37"/>
      <c r="I34" s="51">
        <f>SUM(I30:I33)</f>
        <v>133.95000000000002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0.63321268421052634</v>
      </c>
      <c r="D37" s="58"/>
      <c r="E37" s="59"/>
    </row>
    <row r="38" spans="1:9" x14ac:dyDescent="0.25">
      <c r="A38" s="7" t="s">
        <v>56</v>
      </c>
      <c r="B38" s="31" t="str">
        <f>IF(B37&lt;0.8, "YES", "NO")</f>
        <v>YES</v>
      </c>
      <c r="D38" s="58"/>
      <c r="E38" s="60"/>
    </row>
    <row r="39" spans="1:9" x14ac:dyDescent="0.25">
      <c r="A39" s="7" t="s">
        <v>57</v>
      </c>
      <c r="B39" s="17">
        <f>(B18*0.0085)/12</f>
        <v>42.609936875000002</v>
      </c>
      <c r="D39" s="58"/>
      <c r="E39" s="61"/>
    </row>
    <row r="40" spans="1:9" x14ac:dyDescent="0.25">
      <c r="A40" s="7" t="s">
        <v>58</v>
      </c>
      <c r="B40" s="17">
        <f>B25-B39</f>
        <v>545.52006312499998</v>
      </c>
      <c r="D40" s="58"/>
      <c r="E40" s="61"/>
    </row>
    <row r="41" spans="1:9" x14ac:dyDescent="0.25">
      <c r="A41" s="7" t="s">
        <v>59</v>
      </c>
      <c r="B41" s="43">
        <f>B21-B40-I25-I34</f>
        <v>213.529936875</v>
      </c>
      <c r="D41" s="58"/>
      <c r="E41" s="61"/>
    </row>
    <row r="42" spans="1:9" ht="15.75" thickBot="1" x14ac:dyDescent="0.3">
      <c r="A42" s="46" t="s">
        <v>44</v>
      </c>
      <c r="B42" s="47">
        <f>(B41*12)/B17</f>
        <v>1.1744271311007679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586" priority="28" operator="equal">
      <formula>"NO"</formula>
    </cfRule>
    <cfRule type="cellIs" dxfId="5585" priority="29" operator="equal">
      <formula>"YES"</formula>
    </cfRule>
  </conditionalFormatting>
  <conditionalFormatting sqref="E38">
    <cfRule type="cellIs" dxfId="5584" priority="26" operator="equal">
      <formula>"YES"</formula>
    </cfRule>
    <cfRule type="cellIs" dxfId="5583" priority="27" operator="equal">
      <formula>"NO"</formula>
    </cfRule>
  </conditionalFormatting>
  <conditionalFormatting sqref="B23">
    <cfRule type="cellIs" dxfId="5582" priority="24" operator="equal">
      <formula>"NO"</formula>
    </cfRule>
    <cfRule type="cellIs" dxfId="5581" priority="25" operator="equal">
      <formula>"YES"</formula>
    </cfRule>
  </conditionalFormatting>
  <conditionalFormatting sqref="B12">
    <cfRule type="containsText" dxfId="5580" priority="10" operator="containsText" text="Low">
      <formula>NOT(ISERROR(SEARCH("Low",B12)))</formula>
    </cfRule>
    <cfRule type="containsText" dxfId="5579" priority="11" operator="containsText" text="Medium">
      <formula>NOT(ISERROR(SEARCH("Medium",B12)))</formula>
    </cfRule>
    <cfRule type="containsText" dxfId="5578" priority="12" operator="containsText" text="High">
      <formula>NOT(ISERROR(SEARCH("High",B12)))</formula>
    </cfRule>
  </conditionalFormatting>
  <conditionalFormatting sqref="B29">
    <cfRule type="cellIs" dxfId="5577" priority="20" operator="between">
      <formula>10%</formula>
      <formula>11.9%</formula>
    </cfRule>
    <cfRule type="cellIs" dxfId="5576" priority="22" operator="lessThan">
      <formula>0.1</formula>
    </cfRule>
    <cfRule type="cellIs" dxfId="5575" priority="23" operator="greaterThanOrEqual">
      <formula>0.12</formula>
    </cfRule>
  </conditionalFormatting>
  <conditionalFormatting sqref="B42">
    <cfRule type="cellIs" dxfId="5574" priority="18" operator="between">
      <formula>0.1</formula>
      <formula>0.1199</formula>
    </cfRule>
    <cfRule type="cellIs" dxfId="5573" priority="19" operator="lessThan">
      <formula>0.1</formula>
    </cfRule>
    <cfRule type="cellIs" dxfId="5572" priority="21" operator="greaterThanOrEqual">
      <formula>0.12</formula>
    </cfRule>
  </conditionalFormatting>
  <conditionalFormatting sqref="B10">
    <cfRule type="containsText" dxfId="5571" priority="13" operator="containsText" text="Full">
      <formula>NOT(ISERROR(SEARCH("Full",B10)))</formula>
    </cfRule>
    <cfRule type="containsText" dxfId="5570" priority="14" operator="containsText" text="Heavy">
      <formula>NOT(ISERROR(SEARCH("Heavy",B10)))</formula>
    </cfRule>
    <cfRule type="containsText" dxfId="5569" priority="15" operator="containsText" text="Medium">
      <formula>NOT(ISERROR(SEARCH("Medium",B10)))</formula>
    </cfRule>
    <cfRule type="containsText" dxfId="5568" priority="16" operator="containsText" text="Light">
      <formula>NOT(ISERROR(SEARCH("Light",B10)))</formula>
    </cfRule>
    <cfRule type="containsText" dxfId="5567" priority="17" operator="containsText" text="None">
      <formula>NOT(ISERROR(SEARCH("None",B10)))</formula>
    </cfRule>
  </conditionalFormatting>
  <conditionalFormatting sqref="B28">
    <cfRule type="cellIs" dxfId="5566" priority="30" operator="lessThan">
      <formula>$B$8*100</formula>
    </cfRule>
    <cfRule type="cellIs" dxfId="5565" priority="31" operator="greaterThanOrEqual">
      <formula>$B$8*100</formula>
    </cfRule>
  </conditionalFormatting>
  <conditionalFormatting sqref="B41">
    <cfRule type="cellIs" dxfId="5564" priority="32" operator="lessThan">
      <formula>$B$8*100</formula>
    </cfRule>
    <cfRule type="cellIs" dxfId="5563" priority="33" operator="greaterThan">
      <formula>$B$8*100</formula>
    </cfRule>
    <cfRule type="cellIs" dxfId="5562" priority="34" operator="greaterThan">
      <formula>$B$8*100</formula>
    </cfRule>
  </conditionalFormatting>
  <conditionalFormatting sqref="B38">
    <cfRule type="cellIs" dxfId="5561" priority="8" operator="equal">
      <formula>"YES"</formula>
    </cfRule>
    <cfRule type="cellIs" dxfId="5560" priority="9" operator="equal">
      <formula>"NO"</formula>
    </cfRule>
  </conditionalFormatting>
  <conditionalFormatting sqref="E23:E26">
    <cfRule type="cellIs" dxfId="5559" priority="4" operator="equal">
      <formula>"NO"</formula>
    </cfRule>
    <cfRule type="cellIs" dxfId="5558" priority="5" operator="equal">
      <formula>"YES"</formula>
    </cfRule>
  </conditionalFormatting>
  <conditionalFormatting sqref="E29">
    <cfRule type="cellIs" dxfId="5557" priority="1" operator="between">
      <formula>10%</formula>
      <formula>12%</formula>
    </cfRule>
    <cfRule type="cellIs" dxfId="5556" priority="2" operator="lessThan">
      <formula>0.1</formula>
    </cfRule>
    <cfRule type="cellIs" dxfId="5555" priority="3" operator="greaterThan">
      <formula>0.12</formula>
    </cfRule>
  </conditionalFormatting>
  <conditionalFormatting sqref="E28">
    <cfRule type="cellIs" dxfId="5554" priority="6" operator="lessThan">
      <formula>$B$8*100</formula>
    </cfRule>
    <cfRule type="cellIs" dxfId="5553" priority="7" operator="greaterThan">
      <formula>$B$8*100</formula>
    </cfRule>
  </conditionalFormatting>
  <hyperlinks>
    <hyperlink ref="A32" r:id="rId1" display="https://www.zillow.com/homes/recently_sold/" xr:uid="{114C177E-C18B-4937-9AA1-1857A42B5BFC}"/>
    <hyperlink ref="A21" r:id="rId2" xr:uid="{51C21DFF-B2A7-4508-B87F-FE6866C3581F}"/>
    <hyperlink ref="A25" r:id="rId3" display="www.mortgagecalculator.org" xr:uid="{1FC5ECAA-2837-4CE8-A4E4-22233312057E}"/>
    <hyperlink ref="A12" r:id="rId4" xr:uid="{594A1813-8085-49AB-88E8-62ABFAEA8E36}"/>
  </hyperlinks>
  <pageMargins left="0.7" right="0.7" top="0.75" bottom="0.75" header="0.3" footer="0.3"/>
  <legacyDrawing r:id="rId5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0C5C4-B168-4056-A9D5-D254C9D7D63A}">
  <sheetPr codeName="Sheet78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167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 t="s">
        <v>168</v>
      </c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104900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B7*0.88</f>
        <v>92312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92312</v>
      </c>
      <c r="D16" s="2"/>
      <c r="E16" s="18"/>
    </row>
    <row r="17" spans="1:16" ht="15.75" thickBot="1" x14ac:dyDescent="0.3">
      <c r="A17" s="7" t="s">
        <v>21</v>
      </c>
      <c r="B17" s="17">
        <f>B16*0.2</f>
        <v>18462.400000000001</v>
      </c>
      <c r="D17" s="19"/>
      <c r="E17" s="20"/>
      <c r="P17" s="21"/>
    </row>
    <row r="18" spans="1:16" x14ac:dyDescent="0.25">
      <c r="A18" s="7" t="s">
        <v>23</v>
      </c>
      <c r="B18" s="17">
        <f>B16-B17</f>
        <v>73849.600000000006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924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923.12</v>
      </c>
      <c r="D22" s="7" t="s">
        <v>77</v>
      </c>
      <c r="E22" s="17">
        <f>B16*0.01</f>
        <v>923.12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879.77</v>
      </c>
      <c r="D25" s="7" t="s">
        <v>38</v>
      </c>
      <c r="E25" s="35">
        <f>B25</f>
        <v>879.77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1018.37</v>
      </c>
      <c r="D26" s="7" t="s">
        <v>41</v>
      </c>
      <c r="E26" s="17">
        <f>E25+I25+I34</f>
        <v>1018.37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-94.37</v>
      </c>
      <c r="D28" s="7" t="s">
        <v>43</v>
      </c>
      <c r="E28" s="44">
        <f>E21-E25-I25-I34+I24+I33</f>
        <v>31.629999999999995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-6.1337637576913073E-2</v>
      </c>
      <c r="D29" s="46" t="s">
        <v>44</v>
      </c>
      <c r="E29" s="47">
        <f>(E28*12)/B17</f>
        <v>2.0558540601438594E-2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46.2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46.2</v>
      </c>
    </row>
    <row r="32" spans="1:16" x14ac:dyDescent="0.25">
      <c r="A32" s="26" t="s">
        <v>49</v>
      </c>
      <c r="B32" s="8">
        <f>B16</f>
        <v>92312</v>
      </c>
      <c r="G32" s="27" t="s">
        <v>50</v>
      </c>
      <c r="H32" s="48">
        <v>0.05</v>
      </c>
      <c r="I32" s="49">
        <f>$B$21*H32</f>
        <v>46.2</v>
      </c>
    </row>
    <row r="33" spans="1:9" x14ac:dyDescent="0.25">
      <c r="A33" s="7" t="s">
        <v>51</v>
      </c>
      <c r="B33" s="17">
        <f>B32-B18</f>
        <v>18462.399999999994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0.99999999999999956</v>
      </c>
      <c r="G34" s="36" t="s">
        <v>39</v>
      </c>
      <c r="H34" s="37"/>
      <c r="I34" s="51">
        <f>SUM(I30:I33)</f>
        <v>138.60000000000002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52.31013333333334</v>
      </c>
      <c r="D39" s="58"/>
      <c r="E39" s="61"/>
    </row>
    <row r="40" spans="1:9" x14ac:dyDescent="0.25">
      <c r="A40" s="7" t="s">
        <v>58</v>
      </c>
      <c r="B40" s="17">
        <f>B25-B39</f>
        <v>827.45986666666658</v>
      </c>
      <c r="D40" s="58"/>
      <c r="E40" s="61"/>
    </row>
    <row r="41" spans="1:9" x14ac:dyDescent="0.25">
      <c r="A41" s="7" t="s">
        <v>59</v>
      </c>
      <c r="B41" s="43">
        <f>B21-B40-I25-I34</f>
        <v>-42.059866666666608</v>
      </c>
      <c r="D41" s="58"/>
      <c r="E41" s="61"/>
    </row>
    <row r="42" spans="1:9" ht="15.75" thickBot="1" x14ac:dyDescent="0.3">
      <c r="A42" s="46" t="s">
        <v>44</v>
      </c>
      <c r="B42" s="47">
        <f>(B41*12)/B17</f>
        <v>-2.7337637576913036E-2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552" priority="28" operator="equal">
      <formula>"NO"</formula>
    </cfRule>
    <cfRule type="cellIs" dxfId="5551" priority="29" operator="equal">
      <formula>"YES"</formula>
    </cfRule>
  </conditionalFormatting>
  <conditionalFormatting sqref="E38">
    <cfRule type="cellIs" dxfId="5550" priority="26" operator="equal">
      <formula>"YES"</formula>
    </cfRule>
    <cfRule type="cellIs" dxfId="5549" priority="27" operator="equal">
      <formula>"NO"</formula>
    </cfRule>
  </conditionalFormatting>
  <conditionalFormatting sqref="B23">
    <cfRule type="cellIs" dxfId="5548" priority="24" operator="equal">
      <formula>"NO"</formula>
    </cfRule>
    <cfRule type="cellIs" dxfId="5547" priority="25" operator="equal">
      <formula>"YES"</formula>
    </cfRule>
  </conditionalFormatting>
  <conditionalFormatting sqref="B12">
    <cfRule type="containsText" dxfId="5546" priority="10" operator="containsText" text="Low">
      <formula>NOT(ISERROR(SEARCH("Low",B12)))</formula>
    </cfRule>
    <cfRule type="containsText" dxfId="5545" priority="11" operator="containsText" text="Medium">
      <formula>NOT(ISERROR(SEARCH("Medium",B12)))</formula>
    </cfRule>
    <cfRule type="containsText" dxfId="5544" priority="12" operator="containsText" text="High">
      <formula>NOT(ISERROR(SEARCH("High",B12)))</formula>
    </cfRule>
  </conditionalFormatting>
  <conditionalFormatting sqref="B29">
    <cfRule type="cellIs" dxfId="5543" priority="20" operator="between">
      <formula>10%</formula>
      <formula>11.9%</formula>
    </cfRule>
    <cfRule type="cellIs" dxfId="5542" priority="22" operator="lessThan">
      <formula>0.1</formula>
    </cfRule>
    <cfRule type="cellIs" dxfId="5541" priority="23" operator="greaterThanOrEqual">
      <formula>0.12</formula>
    </cfRule>
  </conditionalFormatting>
  <conditionalFormatting sqref="B42">
    <cfRule type="cellIs" dxfId="5540" priority="18" operator="between">
      <formula>0.1</formula>
      <formula>0.1199</formula>
    </cfRule>
    <cfRule type="cellIs" dxfId="5539" priority="19" operator="lessThan">
      <formula>0.1</formula>
    </cfRule>
    <cfRule type="cellIs" dxfId="5538" priority="21" operator="greaterThanOrEqual">
      <formula>0.12</formula>
    </cfRule>
  </conditionalFormatting>
  <conditionalFormatting sqref="B10">
    <cfRule type="containsText" dxfId="5537" priority="13" operator="containsText" text="Full">
      <formula>NOT(ISERROR(SEARCH("Full",B10)))</formula>
    </cfRule>
    <cfRule type="containsText" dxfId="5536" priority="14" operator="containsText" text="Heavy">
      <formula>NOT(ISERROR(SEARCH("Heavy",B10)))</formula>
    </cfRule>
    <cfRule type="containsText" dxfId="5535" priority="15" operator="containsText" text="Medium">
      <formula>NOT(ISERROR(SEARCH("Medium",B10)))</formula>
    </cfRule>
    <cfRule type="containsText" dxfId="5534" priority="16" operator="containsText" text="Light">
      <formula>NOT(ISERROR(SEARCH("Light",B10)))</formula>
    </cfRule>
    <cfRule type="containsText" dxfId="5533" priority="17" operator="containsText" text="None">
      <formula>NOT(ISERROR(SEARCH("None",B10)))</formula>
    </cfRule>
  </conditionalFormatting>
  <conditionalFormatting sqref="B28">
    <cfRule type="cellIs" dxfId="5532" priority="30" operator="lessThan">
      <formula>$B$8*100</formula>
    </cfRule>
    <cfRule type="cellIs" dxfId="5531" priority="31" operator="greaterThanOrEqual">
      <formula>$B$8*100</formula>
    </cfRule>
  </conditionalFormatting>
  <conditionalFormatting sqref="B41">
    <cfRule type="cellIs" dxfId="5530" priority="32" operator="lessThan">
      <formula>$B$8*100</formula>
    </cfRule>
    <cfRule type="cellIs" dxfId="5529" priority="33" operator="greaterThan">
      <formula>$B$8*100</formula>
    </cfRule>
    <cfRule type="cellIs" dxfId="5528" priority="34" operator="greaterThan">
      <formula>$B$8*100</formula>
    </cfRule>
  </conditionalFormatting>
  <conditionalFormatting sqref="B38">
    <cfRule type="cellIs" dxfId="5527" priority="8" operator="equal">
      <formula>"YES"</formula>
    </cfRule>
    <cfRule type="cellIs" dxfId="5526" priority="9" operator="equal">
      <formula>"NO"</formula>
    </cfRule>
  </conditionalFormatting>
  <conditionalFormatting sqref="E23:E26">
    <cfRule type="cellIs" dxfId="5525" priority="4" operator="equal">
      <formula>"NO"</formula>
    </cfRule>
    <cfRule type="cellIs" dxfId="5524" priority="5" operator="equal">
      <formula>"YES"</formula>
    </cfRule>
  </conditionalFormatting>
  <conditionalFormatting sqref="E29">
    <cfRule type="cellIs" dxfId="5523" priority="1" operator="between">
      <formula>10%</formula>
      <formula>12%</formula>
    </cfRule>
    <cfRule type="cellIs" dxfId="5522" priority="2" operator="lessThan">
      <formula>0.1</formula>
    </cfRule>
    <cfRule type="cellIs" dxfId="5521" priority="3" operator="greaterThan">
      <formula>0.12</formula>
    </cfRule>
  </conditionalFormatting>
  <conditionalFormatting sqref="E28">
    <cfRule type="cellIs" dxfId="5520" priority="6" operator="lessThan">
      <formula>$B$8*100</formula>
    </cfRule>
    <cfRule type="cellIs" dxfId="5519" priority="7" operator="greaterThan">
      <formula>$B$8*100</formula>
    </cfRule>
  </conditionalFormatting>
  <hyperlinks>
    <hyperlink ref="A32" r:id="rId1" display="https://www.zillow.com/homes/recently_sold/" xr:uid="{D963DF00-9425-4E87-886F-45D625FD8337}"/>
    <hyperlink ref="A21" r:id="rId2" xr:uid="{97989A81-606C-4A2F-9FC7-ECE17FFA2658}"/>
    <hyperlink ref="A25" r:id="rId3" display="www.mortgagecalculator.org" xr:uid="{59AB9803-2C99-47A0-9F05-7D416ADCB7B6}"/>
    <hyperlink ref="A12" r:id="rId4" xr:uid="{4E3EDF8C-4CEC-4A13-A2D2-35F1E550ED8D}"/>
  </hyperlinks>
  <pageMargins left="0.7" right="0.7" top="0.75" bottom="0.75" header="0.3" footer="0.3"/>
  <legacyDrawing r:id="rId5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95D0-D0AE-4AA1-94BA-D4133732581A}">
  <sheetPr codeName="Sheet79">
    <tabColor rgb="FFFF0000"/>
  </sheetPr>
  <dimension ref="A1:P42"/>
  <sheetViews>
    <sheetView topLeftCell="A7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169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67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71910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26000</v>
      </c>
      <c r="D15" s="2"/>
      <c r="E15" s="3"/>
    </row>
    <row r="16" spans="1:10" x14ac:dyDescent="0.25">
      <c r="A16" s="7" t="s">
        <v>20</v>
      </c>
      <c r="B16" s="17">
        <f>B15+B13</f>
        <v>97910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3426.8500000000004</v>
      </c>
      <c r="D17" s="19"/>
      <c r="E17" s="20"/>
      <c r="P17" s="21"/>
    </row>
    <row r="18" spans="1:16" x14ac:dyDescent="0.25">
      <c r="A18" s="7" t="s">
        <v>23</v>
      </c>
      <c r="B18" s="17">
        <f>B16-B17</f>
        <v>94483.15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600*2</f>
        <v>1200</v>
      </c>
      <c r="D21" s="23" t="s">
        <v>28</v>
      </c>
      <c r="E21" s="8">
        <v>600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979.1</v>
      </c>
      <c r="D22" s="7" t="s">
        <v>77</v>
      </c>
      <c r="E22" s="17">
        <f>B16*0.01</f>
        <v>979.1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876.34</v>
      </c>
      <c r="D25" s="7" t="s">
        <v>38</v>
      </c>
      <c r="E25" s="35">
        <f>B25</f>
        <v>876.34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1056.3400000000001</v>
      </c>
      <c r="D26" s="7" t="s">
        <v>41</v>
      </c>
      <c r="E26" s="17">
        <f>E25+I25+I34</f>
        <v>1056.3400000000001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143.65999999999985</v>
      </c>
      <c r="D28" s="7" t="s">
        <v>43</v>
      </c>
      <c r="E28" s="44">
        <f>E21-E25-I25-I34+I24+I33</f>
        <v>-456.34000000000003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0.50306257933670806</v>
      </c>
      <c r="D29" s="46" t="s">
        <v>44</v>
      </c>
      <c r="E29" s="47">
        <f>(E28*12)/B17</f>
        <v>-1.5979923253133341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</v>
      </c>
    </row>
    <row r="32" spans="1:16" x14ac:dyDescent="0.25">
      <c r="A32" s="26" t="s">
        <v>49</v>
      </c>
      <c r="B32" s="8">
        <f>B16</f>
        <v>97910</v>
      </c>
      <c r="G32" s="27" t="s">
        <v>50</v>
      </c>
      <c r="H32" s="48">
        <v>0.05</v>
      </c>
      <c r="I32" s="49">
        <f>$B$21*H32</f>
        <v>60</v>
      </c>
    </row>
    <row r="33" spans="1:9" x14ac:dyDescent="0.25">
      <c r="A33" s="7" t="s">
        <v>51</v>
      </c>
      <c r="B33" s="17">
        <f>B32-B18</f>
        <v>3426.8500000000058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1.0000000000000016</v>
      </c>
      <c r="G34" s="36" t="s">
        <v>39</v>
      </c>
      <c r="H34" s="37"/>
      <c r="I34" s="51">
        <f>SUM(I30:I33)</f>
        <v>180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66.925564583333326</v>
      </c>
      <c r="D39" s="58"/>
      <c r="E39" s="61"/>
    </row>
    <row r="40" spans="1:9" x14ac:dyDescent="0.25">
      <c r="A40" s="7" t="s">
        <v>58</v>
      </c>
      <c r="B40" s="17">
        <f>B25-B39</f>
        <v>809.41443541666672</v>
      </c>
      <c r="D40" s="58"/>
      <c r="E40" s="61"/>
    </row>
    <row r="41" spans="1:9" x14ac:dyDescent="0.25">
      <c r="A41" s="7" t="s">
        <v>59</v>
      </c>
      <c r="B41" s="43">
        <f>B21-B40-I25-I34</f>
        <v>210.58556458333328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0.73741972219385121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518" priority="28" operator="equal">
      <formula>"NO"</formula>
    </cfRule>
    <cfRule type="cellIs" dxfId="5517" priority="29" operator="equal">
      <formula>"YES"</formula>
    </cfRule>
  </conditionalFormatting>
  <conditionalFormatting sqref="E38">
    <cfRule type="cellIs" dxfId="5516" priority="26" operator="equal">
      <formula>"YES"</formula>
    </cfRule>
    <cfRule type="cellIs" dxfId="5515" priority="27" operator="equal">
      <formula>"NO"</formula>
    </cfRule>
  </conditionalFormatting>
  <conditionalFormatting sqref="B23">
    <cfRule type="cellIs" dxfId="5514" priority="24" operator="equal">
      <formula>"NO"</formula>
    </cfRule>
    <cfRule type="cellIs" dxfId="5513" priority="25" operator="equal">
      <formula>"YES"</formula>
    </cfRule>
  </conditionalFormatting>
  <conditionalFormatting sqref="B12">
    <cfRule type="containsText" dxfId="5512" priority="10" operator="containsText" text="Low">
      <formula>NOT(ISERROR(SEARCH("Low",B12)))</formula>
    </cfRule>
    <cfRule type="containsText" dxfId="5511" priority="11" operator="containsText" text="Medium">
      <formula>NOT(ISERROR(SEARCH("Medium",B12)))</formula>
    </cfRule>
    <cfRule type="containsText" dxfId="5510" priority="12" operator="containsText" text="High">
      <formula>NOT(ISERROR(SEARCH("High",B12)))</formula>
    </cfRule>
  </conditionalFormatting>
  <conditionalFormatting sqref="B29">
    <cfRule type="cellIs" dxfId="5509" priority="20" operator="between">
      <formula>10%</formula>
      <formula>11.9%</formula>
    </cfRule>
    <cfRule type="cellIs" dxfId="5508" priority="22" operator="lessThan">
      <formula>0.1</formula>
    </cfRule>
    <cfRule type="cellIs" dxfId="5507" priority="23" operator="greaterThanOrEqual">
      <formula>0.12</formula>
    </cfRule>
  </conditionalFormatting>
  <conditionalFormatting sqref="B42">
    <cfRule type="cellIs" dxfId="5506" priority="18" operator="between">
      <formula>0.1</formula>
      <formula>0.1199</formula>
    </cfRule>
    <cfRule type="cellIs" dxfId="5505" priority="19" operator="lessThan">
      <formula>0.1</formula>
    </cfRule>
    <cfRule type="cellIs" dxfId="5504" priority="21" operator="greaterThanOrEqual">
      <formula>0.12</formula>
    </cfRule>
  </conditionalFormatting>
  <conditionalFormatting sqref="B10">
    <cfRule type="containsText" dxfId="5503" priority="13" operator="containsText" text="Full">
      <formula>NOT(ISERROR(SEARCH("Full",B10)))</formula>
    </cfRule>
    <cfRule type="containsText" dxfId="5502" priority="14" operator="containsText" text="Heavy">
      <formula>NOT(ISERROR(SEARCH("Heavy",B10)))</formula>
    </cfRule>
    <cfRule type="containsText" dxfId="5501" priority="15" operator="containsText" text="Medium">
      <formula>NOT(ISERROR(SEARCH("Medium",B10)))</formula>
    </cfRule>
    <cfRule type="containsText" dxfId="5500" priority="16" operator="containsText" text="Light">
      <formula>NOT(ISERROR(SEARCH("Light",B10)))</formula>
    </cfRule>
    <cfRule type="containsText" dxfId="5499" priority="17" operator="containsText" text="None">
      <formula>NOT(ISERROR(SEARCH("None",B10)))</formula>
    </cfRule>
  </conditionalFormatting>
  <conditionalFormatting sqref="B28">
    <cfRule type="cellIs" dxfId="5498" priority="30" operator="lessThan">
      <formula>$B$8*100</formula>
    </cfRule>
    <cfRule type="cellIs" dxfId="5497" priority="31" operator="greaterThanOrEqual">
      <formula>$B$8*100</formula>
    </cfRule>
  </conditionalFormatting>
  <conditionalFormatting sqref="B41">
    <cfRule type="cellIs" dxfId="5496" priority="32" operator="lessThan">
      <formula>$B$8*100</formula>
    </cfRule>
    <cfRule type="cellIs" dxfId="5495" priority="33" operator="greaterThan">
      <formula>$B$8*100</formula>
    </cfRule>
    <cfRule type="cellIs" dxfId="5494" priority="34" operator="greaterThan">
      <formula>$B$8*100</formula>
    </cfRule>
  </conditionalFormatting>
  <conditionalFormatting sqref="B38">
    <cfRule type="cellIs" dxfId="5493" priority="8" operator="equal">
      <formula>"YES"</formula>
    </cfRule>
    <cfRule type="cellIs" dxfId="5492" priority="9" operator="equal">
      <formula>"NO"</formula>
    </cfRule>
  </conditionalFormatting>
  <conditionalFormatting sqref="E23:E26">
    <cfRule type="cellIs" dxfId="5491" priority="4" operator="equal">
      <formula>"NO"</formula>
    </cfRule>
    <cfRule type="cellIs" dxfId="5490" priority="5" operator="equal">
      <formula>"YES"</formula>
    </cfRule>
  </conditionalFormatting>
  <conditionalFormatting sqref="E29">
    <cfRule type="cellIs" dxfId="5489" priority="1" operator="between">
      <formula>10%</formula>
      <formula>12%</formula>
    </cfRule>
    <cfRule type="cellIs" dxfId="5488" priority="2" operator="lessThan">
      <formula>0.1</formula>
    </cfRule>
    <cfRule type="cellIs" dxfId="5487" priority="3" operator="greaterThan">
      <formula>0.12</formula>
    </cfRule>
  </conditionalFormatting>
  <conditionalFormatting sqref="E28">
    <cfRule type="cellIs" dxfId="5486" priority="6" operator="lessThan">
      <formula>$B$8*100</formula>
    </cfRule>
    <cfRule type="cellIs" dxfId="5485" priority="7" operator="greaterThan">
      <formula>$B$8*100</formula>
    </cfRule>
  </conditionalFormatting>
  <hyperlinks>
    <hyperlink ref="A32" r:id="rId1" display="https://www.zillow.com/homes/recently_sold/" xr:uid="{90CE97DD-D38A-4D74-B73B-BB717081276D}"/>
    <hyperlink ref="A21" r:id="rId2" xr:uid="{F1C743AD-A639-40AF-827D-05E80496F8CD}"/>
    <hyperlink ref="A25" r:id="rId3" display="www.mortgagecalculator.org" xr:uid="{C74DA17B-8B20-4FCE-9E4F-BEC7D605A99B}"/>
    <hyperlink ref="A12" r:id="rId4" xr:uid="{BD97FD34-7510-4F74-8B09-717079311A68}"/>
  </hyperlinks>
  <pageMargins left="0.7" right="0.7" top="0.75" bottom="0.75" header="0.3" footer="0.3"/>
  <legacyDrawing r:id="rId5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03C6-09E3-40A9-9139-6E5AFA882596}">
  <sheetPr codeName="Sheet80">
    <tabColor rgb="FFFF0000"/>
  </sheetPr>
  <dimension ref="A1:P42"/>
  <sheetViews>
    <sheetView topLeftCell="A9" workbookViewId="0">
      <selection activeCell="A22" sqref="A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962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67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71910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24050</v>
      </c>
      <c r="D15" s="2"/>
      <c r="E15" s="3"/>
    </row>
    <row r="16" spans="1:10" x14ac:dyDescent="0.25">
      <c r="A16" s="7" t="s">
        <v>20</v>
      </c>
      <c r="B16" s="17">
        <f>B15+B13</f>
        <v>95960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3358.6000000000004</v>
      </c>
      <c r="D17" s="19"/>
      <c r="E17" s="20"/>
      <c r="P17" s="21"/>
    </row>
    <row r="18" spans="1:16" x14ac:dyDescent="0.25">
      <c r="A18" s="7" t="s">
        <v>23</v>
      </c>
      <c r="B18" s="17">
        <f>B16-B17</f>
        <v>92601.4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650*2</f>
        <v>1300</v>
      </c>
      <c r="D21" s="23" t="s">
        <v>28</v>
      </c>
      <c r="E21" s="8">
        <f>650</f>
        <v>650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959.6</v>
      </c>
      <c r="D22" s="7" t="s">
        <v>77</v>
      </c>
      <c r="E22" s="17">
        <f>B16*0.01</f>
        <v>959.6</v>
      </c>
      <c r="G22" s="27" t="s">
        <v>32</v>
      </c>
      <c r="H22" s="28"/>
      <c r="I22" s="29">
        <v>100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>
        <v>100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100</v>
      </c>
    </row>
    <row r="25" spans="1:16" ht="15.75" thickBot="1" x14ac:dyDescent="0.3">
      <c r="A25" s="26" t="s">
        <v>37</v>
      </c>
      <c r="B25" s="8">
        <v>841.02</v>
      </c>
      <c r="D25" s="7" t="s">
        <v>38</v>
      </c>
      <c r="E25" s="35">
        <f>B25</f>
        <v>841.02</v>
      </c>
      <c r="G25" s="36" t="s">
        <v>39</v>
      </c>
      <c r="H25" s="37"/>
      <c r="I25" s="38">
        <f>SUM(I21:I24)</f>
        <v>300</v>
      </c>
    </row>
    <row r="26" spans="1:16" x14ac:dyDescent="0.25">
      <c r="A26" s="7" t="s">
        <v>40</v>
      </c>
      <c r="B26" s="17">
        <f>B25+I25+I34</f>
        <v>1336.02</v>
      </c>
      <c r="D26" s="7" t="s">
        <v>41</v>
      </c>
      <c r="E26" s="17">
        <f>E25+I25+I34</f>
        <v>1336.02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-36.019999999999982</v>
      </c>
      <c r="D28" s="7" t="s">
        <v>43</v>
      </c>
      <c r="E28" s="44">
        <f>E21-E25-I25-I34+I24+I33</f>
        <v>-586.02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-0.12869648067647227</v>
      </c>
      <c r="D29" s="46" t="s">
        <v>44</v>
      </c>
      <c r="E29" s="47">
        <f>(E28*12)/B17</f>
        <v>-2.0938009885071156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65</v>
      </c>
    </row>
    <row r="32" spans="1:16" x14ac:dyDescent="0.25">
      <c r="A32" s="26" t="s">
        <v>49</v>
      </c>
      <c r="B32" s="8">
        <f>B16</f>
        <v>95960</v>
      </c>
      <c r="G32" s="27" t="s">
        <v>50</v>
      </c>
      <c r="H32" s="48">
        <v>0.05</v>
      </c>
      <c r="I32" s="49">
        <f>$B$21*H32</f>
        <v>65</v>
      </c>
    </row>
    <row r="33" spans="1:9" x14ac:dyDescent="0.25">
      <c r="A33" s="7" t="s">
        <v>51</v>
      </c>
      <c r="B33" s="17">
        <f>B32-B18</f>
        <v>3358.6000000000058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1.0000000000000016</v>
      </c>
      <c r="G34" s="36" t="s">
        <v>39</v>
      </c>
      <c r="H34" s="37"/>
      <c r="I34" s="51">
        <f>SUM(I30:I33)</f>
        <v>195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65.592658333333333</v>
      </c>
      <c r="D39" s="58"/>
      <c r="E39" s="61"/>
    </row>
    <row r="40" spans="1:9" x14ac:dyDescent="0.25">
      <c r="A40" s="7" t="s">
        <v>58</v>
      </c>
      <c r="B40" s="17">
        <f>B25-B39</f>
        <v>775.42734166666662</v>
      </c>
      <c r="D40" s="58"/>
      <c r="E40" s="61"/>
    </row>
    <row r="41" spans="1:9" x14ac:dyDescent="0.25">
      <c r="A41" s="7" t="s">
        <v>59</v>
      </c>
      <c r="B41" s="43">
        <f>B21-B40-I25-I34</f>
        <v>29.572658333333379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0.10566066218067068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484" priority="28" operator="equal">
      <formula>"NO"</formula>
    </cfRule>
    <cfRule type="cellIs" dxfId="5483" priority="29" operator="equal">
      <formula>"YES"</formula>
    </cfRule>
  </conditionalFormatting>
  <conditionalFormatting sqref="E38">
    <cfRule type="cellIs" dxfId="5482" priority="26" operator="equal">
      <formula>"YES"</formula>
    </cfRule>
    <cfRule type="cellIs" dxfId="5481" priority="27" operator="equal">
      <formula>"NO"</formula>
    </cfRule>
  </conditionalFormatting>
  <conditionalFormatting sqref="B23">
    <cfRule type="cellIs" dxfId="5480" priority="24" operator="equal">
      <formula>"NO"</formula>
    </cfRule>
    <cfRule type="cellIs" dxfId="5479" priority="25" operator="equal">
      <formula>"YES"</formula>
    </cfRule>
  </conditionalFormatting>
  <conditionalFormatting sqref="B12">
    <cfRule type="containsText" dxfId="5478" priority="10" operator="containsText" text="Low">
      <formula>NOT(ISERROR(SEARCH("Low",B12)))</formula>
    </cfRule>
    <cfRule type="containsText" dxfId="5477" priority="11" operator="containsText" text="Medium">
      <formula>NOT(ISERROR(SEARCH("Medium",B12)))</formula>
    </cfRule>
    <cfRule type="containsText" dxfId="5476" priority="12" operator="containsText" text="High">
      <formula>NOT(ISERROR(SEARCH("High",B12)))</formula>
    </cfRule>
  </conditionalFormatting>
  <conditionalFormatting sqref="B29">
    <cfRule type="cellIs" dxfId="5475" priority="20" operator="between">
      <formula>10%</formula>
      <formula>11.9%</formula>
    </cfRule>
    <cfRule type="cellIs" dxfId="5474" priority="22" operator="lessThan">
      <formula>0.1</formula>
    </cfRule>
    <cfRule type="cellIs" dxfId="5473" priority="23" operator="greaterThanOrEqual">
      <formula>0.12</formula>
    </cfRule>
  </conditionalFormatting>
  <conditionalFormatting sqref="B42">
    <cfRule type="cellIs" dxfId="5472" priority="18" operator="between">
      <formula>0.1</formula>
      <formula>0.1199</formula>
    </cfRule>
    <cfRule type="cellIs" dxfId="5471" priority="19" operator="lessThan">
      <formula>0.1</formula>
    </cfRule>
    <cfRule type="cellIs" dxfId="5470" priority="21" operator="greaterThanOrEqual">
      <formula>0.12</formula>
    </cfRule>
  </conditionalFormatting>
  <conditionalFormatting sqref="B10">
    <cfRule type="containsText" dxfId="5469" priority="13" operator="containsText" text="Full">
      <formula>NOT(ISERROR(SEARCH("Full",B10)))</formula>
    </cfRule>
    <cfRule type="containsText" dxfId="5468" priority="14" operator="containsText" text="Heavy">
      <formula>NOT(ISERROR(SEARCH("Heavy",B10)))</formula>
    </cfRule>
    <cfRule type="containsText" dxfId="5467" priority="15" operator="containsText" text="Medium">
      <formula>NOT(ISERROR(SEARCH("Medium",B10)))</formula>
    </cfRule>
    <cfRule type="containsText" dxfId="5466" priority="16" operator="containsText" text="Light">
      <formula>NOT(ISERROR(SEARCH("Light",B10)))</formula>
    </cfRule>
    <cfRule type="containsText" dxfId="5465" priority="17" operator="containsText" text="None">
      <formula>NOT(ISERROR(SEARCH("None",B10)))</formula>
    </cfRule>
  </conditionalFormatting>
  <conditionalFormatting sqref="B28">
    <cfRule type="cellIs" dxfId="5464" priority="30" operator="lessThan">
      <formula>$B$8*100</formula>
    </cfRule>
    <cfRule type="cellIs" dxfId="5463" priority="31" operator="greaterThanOrEqual">
      <formula>$B$8*100</formula>
    </cfRule>
  </conditionalFormatting>
  <conditionalFormatting sqref="B41">
    <cfRule type="cellIs" dxfId="5462" priority="32" operator="lessThan">
      <formula>$B$8*100</formula>
    </cfRule>
    <cfRule type="cellIs" dxfId="5461" priority="33" operator="greaterThan">
      <formula>$B$8*100</formula>
    </cfRule>
    <cfRule type="cellIs" dxfId="5460" priority="34" operator="greaterThan">
      <formula>$B$8*100</formula>
    </cfRule>
  </conditionalFormatting>
  <conditionalFormatting sqref="B38">
    <cfRule type="cellIs" dxfId="5459" priority="8" operator="equal">
      <formula>"YES"</formula>
    </cfRule>
    <cfRule type="cellIs" dxfId="5458" priority="9" operator="equal">
      <formula>"NO"</formula>
    </cfRule>
  </conditionalFormatting>
  <conditionalFormatting sqref="E23:E26">
    <cfRule type="cellIs" dxfId="5457" priority="4" operator="equal">
      <formula>"NO"</formula>
    </cfRule>
    <cfRule type="cellIs" dxfId="5456" priority="5" operator="equal">
      <formula>"YES"</formula>
    </cfRule>
  </conditionalFormatting>
  <conditionalFormatting sqref="E29">
    <cfRule type="cellIs" dxfId="5455" priority="1" operator="between">
      <formula>10%</formula>
      <formula>12%</formula>
    </cfRule>
    <cfRule type="cellIs" dxfId="5454" priority="2" operator="lessThan">
      <formula>0.1</formula>
    </cfRule>
    <cfRule type="cellIs" dxfId="5453" priority="3" operator="greaterThan">
      <formula>0.12</formula>
    </cfRule>
  </conditionalFormatting>
  <conditionalFormatting sqref="E28">
    <cfRule type="cellIs" dxfId="5452" priority="6" operator="lessThan">
      <formula>$B$8*100</formula>
    </cfRule>
    <cfRule type="cellIs" dxfId="5451" priority="7" operator="greaterThan">
      <formula>$B$8*100</formula>
    </cfRule>
  </conditionalFormatting>
  <hyperlinks>
    <hyperlink ref="A32" r:id="rId1" display="https://www.zillow.com/homes/recently_sold/" xr:uid="{0997A9FC-CF67-45CD-888E-D0EBBC984E8F}"/>
    <hyperlink ref="A21" r:id="rId2" xr:uid="{2395B401-68AC-4B88-A287-23E4B4FF0ACF}"/>
    <hyperlink ref="A25" r:id="rId3" display="www.mortgagecalculator.org" xr:uid="{055C81F1-E197-467D-96DD-02CF503A5C61}"/>
    <hyperlink ref="A12" r:id="rId4" xr:uid="{B7449F2C-0D82-4888-A61D-422DB26A1373}"/>
  </hyperlinks>
  <pageMargins left="0.7" right="0.7" top="0.75" bottom="0.75" header="0.3" footer="0.3"/>
  <legacyDrawing r:id="rId5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814-174B-4F07-B87D-5ED3B54901EC}">
  <sheetPr codeName="Sheet81">
    <tabColor rgb="FFFF0000"/>
  </sheetPr>
  <dimension ref="A1:P42"/>
  <sheetViews>
    <sheetView topLeftCell="A10" workbookViewId="0">
      <selection activeCell="A23" sqref="A2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47500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42750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53500</v>
      </c>
      <c r="D15" s="2"/>
      <c r="E15" s="3"/>
    </row>
    <row r="16" spans="1:10" x14ac:dyDescent="0.25">
      <c r="A16" s="7" t="s">
        <v>20</v>
      </c>
      <c r="B16" s="17">
        <f>B15+B13</f>
        <v>96250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3368.7500000000005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92881.25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725+600</f>
        <v>1325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962.5</v>
      </c>
      <c r="D22" s="7" t="s">
        <v>77</v>
      </c>
      <c r="E22" s="17">
        <f>B16*0.01</f>
        <v>962.5</v>
      </c>
      <c r="G22" s="27" t="s">
        <v>32</v>
      </c>
      <c r="H22" s="28"/>
      <c r="I22" s="29">
        <v>100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100</v>
      </c>
    </row>
    <row r="25" spans="1:16" ht="15.75" thickBot="1" x14ac:dyDescent="0.3">
      <c r="A25" s="26" t="s">
        <v>37</v>
      </c>
      <c r="B25" s="8">
        <v>867.55</v>
      </c>
      <c r="D25" s="7" t="s">
        <v>38</v>
      </c>
      <c r="E25" s="35">
        <f>B25</f>
        <v>867.55</v>
      </c>
      <c r="G25" s="36" t="s">
        <v>39</v>
      </c>
      <c r="H25" s="37"/>
      <c r="I25" s="38">
        <f>SUM(I21:I24)</f>
        <v>200</v>
      </c>
    </row>
    <row r="26" spans="1:16" x14ac:dyDescent="0.25">
      <c r="A26" s="7" t="s">
        <v>40</v>
      </c>
      <c r="B26" s="17">
        <f>B25+I25+I34</f>
        <v>1266.3</v>
      </c>
      <c r="D26" s="7" t="s">
        <v>41</v>
      </c>
      <c r="E26" s="17">
        <f>E25+I25+I34</f>
        <v>1266.3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58.700000000000045</v>
      </c>
      <c r="D28" s="7" t="s">
        <v>43</v>
      </c>
      <c r="E28" s="44">
        <f>E21-E25-I25-I34+I24+I33</f>
        <v>-116.29999999999995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0.20909833024118751</v>
      </c>
      <c r="D29" s="46" t="s">
        <v>44</v>
      </c>
      <c r="E29" s="47">
        <f>(E28*12)/B17</f>
        <v>-0.41427829313543579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66.25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66.25</v>
      </c>
    </row>
    <row r="32" spans="1:16" x14ac:dyDescent="0.25">
      <c r="A32" s="26" t="s">
        <v>49</v>
      </c>
      <c r="B32" s="8">
        <f>B16</f>
        <v>96250</v>
      </c>
      <c r="G32" s="27" t="s">
        <v>50</v>
      </c>
      <c r="H32" s="48">
        <v>0.05</v>
      </c>
      <c r="I32" s="49">
        <f>$B$21*H32</f>
        <v>66.25</v>
      </c>
    </row>
    <row r="33" spans="1:9" x14ac:dyDescent="0.25">
      <c r="A33" s="7" t="s">
        <v>51</v>
      </c>
      <c r="B33" s="17">
        <f>B32-B18</f>
        <v>3368.75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198.75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65.790885416666669</v>
      </c>
      <c r="D39" s="58"/>
      <c r="E39" s="61"/>
    </row>
    <row r="40" spans="1:9" x14ac:dyDescent="0.25">
      <c r="A40" s="7" t="s">
        <v>58</v>
      </c>
      <c r="B40" s="17">
        <f>B25-B39</f>
        <v>801.75911458333326</v>
      </c>
      <c r="D40" s="58"/>
      <c r="E40" s="61"/>
    </row>
    <row r="41" spans="1:9" x14ac:dyDescent="0.25">
      <c r="A41" s="7" t="s">
        <v>59</v>
      </c>
      <c r="B41" s="43">
        <f>B21-B40-I25-I34</f>
        <v>124.49088541666674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0.44345547309833044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450" priority="28" operator="equal">
      <formula>"NO"</formula>
    </cfRule>
    <cfRule type="cellIs" dxfId="5449" priority="29" operator="equal">
      <formula>"YES"</formula>
    </cfRule>
  </conditionalFormatting>
  <conditionalFormatting sqref="E38">
    <cfRule type="cellIs" dxfId="5448" priority="26" operator="equal">
      <formula>"YES"</formula>
    </cfRule>
    <cfRule type="cellIs" dxfId="5447" priority="27" operator="equal">
      <formula>"NO"</formula>
    </cfRule>
  </conditionalFormatting>
  <conditionalFormatting sqref="B23">
    <cfRule type="cellIs" dxfId="5446" priority="24" operator="equal">
      <formula>"NO"</formula>
    </cfRule>
    <cfRule type="cellIs" dxfId="5445" priority="25" operator="equal">
      <formula>"YES"</formula>
    </cfRule>
  </conditionalFormatting>
  <conditionalFormatting sqref="B12">
    <cfRule type="containsText" dxfId="5444" priority="10" operator="containsText" text="Low">
      <formula>NOT(ISERROR(SEARCH("Low",B12)))</formula>
    </cfRule>
    <cfRule type="containsText" dxfId="5443" priority="11" operator="containsText" text="Medium">
      <formula>NOT(ISERROR(SEARCH("Medium",B12)))</formula>
    </cfRule>
    <cfRule type="containsText" dxfId="5442" priority="12" operator="containsText" text="High">
      <formula>NOT(ISERROR(SEARCH("High",B12)))</formula>
    </cfRule>
  </conditionalFormatting>
  <conditionalFormatting sqref="B29">
    <cfRule type="cellIs" dxfId="5441" priority="20" operator="between">
      <formula>10%</formula>
      <formula>11.9%</formula>
    </cfRule>
    <cfRule type="cellIs" dxfId="5440" priority="22" operator="lessThan">
      <formula>0.1</formula>
    </cfRule>
    <cfRule type="cellIs" dxfId="5439" priority="23" operator="greaterThanOrEqual">
      <formula>0.12</formula>
    </cfRule>
  </conditionalFormatting>
  <conditionalFormatting sqref="B42">
    <cfRule type="cellIs" dxfId="5438" priority="18" operator="between">
      <formula>0.1</formula>
      <formula>0.1199</formula>
    </cfRule>
    <cfRule type="cellIs" dxfId="5437" priority="19" operator="lessThan">
      <formula>0.1</formula>
    </cfRule>
    <cfRule type="cellIs" dxfId="5436" priority="21" operator="greaterThanOrEqual">
      <formula>0.12</formula>
    </cfRule>
  </conditionalFormatting>
  <conditionalFormatting sqref="B10">
    <cfRule type="containsText" dxfId="5435" priority="13" operator="containsText" text="Full">
      <formula>NOT(ISERROR(SEARCH("Full",B10)))</formula>
    </cfRule>
    <cfRule type="containsText" dxfId="5434" priority="14" operator="containsText" text="Heavy">
      <formula>NOT(ISERROR(SEARCH("Heavy",B10)))</formula>
    </cfRule>
    <cfRule type="containsText" dxfId="5433" priority="15" operator="containsText" text="Medium">
      <formula>NOT(ISERROR(SEARCH("Medium",B10)))</formula>
    </cfRule>
    <cfRule type="containsText" dxfId="5432" priority="16" operator="containsText" text="Light">
      <formula>NOT(ISERROR(SEARCH("Light",B10)))</formula>
    </cfRule>
    <cfRule type="containsText" dxfId="5431" priority="17" operator="containsText" text="None">
      <formula>NOT(ISERROR(SEARCH("None",B10)))</formula>
    </cfRule>
  </conditionalFormatting>
  <conditionalFormatting sqref="B28">
    <cfRule type="cellIs" dxfId="5430" priority="30" operator="lessThan">
      <formula>$B$8*100</formula>
    </cfRule>
    <cfRule type="cellIs" dxfId="5429" priority="31" operator="greaterThanOrEqual">
      <formula>$B$8*100</formula>
    </cfRule>
  </conditionalFormatting>
  <conditionalFormatting sqref="B41">
    <cfRule type="cellIs" dxfId="5428" priority="32" operator="lessThan">
      <formula>$B$8*100</formula>
    </cfRule>
    <cfRule type="cellIs" dxfId="5427" priority="33" operator="greaterThan">
      <formula>$B$8*100</formula>
    </cfRule>
    <cfRule type="cellIs" dxfId="5426" priority="34" operator="greaterThan">
      <formula>$B$8*100</formula>
    </cfRule>
  </conditionalFormatting>
  <conditionalFormatting sqref="B38">
    <cfRule type="cellIs" dxfId="5425" priority="8" operator="equal">
      <formula>"YES"</formula>
    </cfRule>
    <cfRule type="cellIs" dxfId="5424" priority="9" operator="equal">
      <formula>"NO"</formula>
    </cfRule>
  </conditionalFormatting>
  <conditionalFormatting sqref="E23:E26">
    <cfRule type="cellIs" dxfId="5423" priority="4" operator="equal">
      <formula>"NO"</formula>
    </cfRule>
    <cfRule type="cellIs" dxfId="5422" priority="5" operator="equal">
      <formula>"YES"</formula>
    </cfRule>
  </conditionalFormatting>
  <conditionalFormatting sqref="E29">
    <cfRule type="cellIs" dxfId="5421" priority="1" operator="between">
      <formula>10%</formula>
      <formula>12%</formula>
    </cfRule>
    <cfRule type="cellIs" dxfId="5420" priority="2" operator="lessThan">
      <formula>0.1</formula>
    </cfRule>
    <cfRule type="cellIs" dxfId="5419" priority="3" operator="greaterThan">
      <formula>0.12</formula>
    </cfRule>
  </conditionalFormatting>
  <conditionalFormatting sqref="E28">
    <cfRule type="cellIs" dxfId="5418" priority="6" operator="lessThan">
      <formula>$B$8*100</formula>
    </cfRule>
    <cfRule type="cellIs" dxfId="5417" priority="7" operator="greaterThan">
      <formula>$B$8*100</formula>
    </cfRule>
  </conditionalFormatting>
  <hyperlinks>
    <hyperlink ref="A32" r:id="rId1" display="https://www.zillow.com/homes/recently_sold/" xr:uid="{69B9F387-64F4-425D-81E8-9AE944D6CCAD}"/>
    <hyperlink ref="A21" r:id="rId2" xr:uid="{38134329-1653-4FFC-B0D6-FD24D6290798}"/>
    <hyperlink ref="A25" r:id="rId3" display="www.mortgagecalculator.org" xr:uid="{9DC52C56-F6E0-48DA-8C0C-495B50697B05}"/>
    <hyperlink ref="A12" r:id="rId4" xr:uid="{4ACBC1EF-72A8-4C42-84A7-F36410762C12}"/>
  </hyperlinks>
  <pageMargins left="0.7" right="0.7" top="0.75" bottom="0.75" header="0.3" footer="0.3"/>
  <legacyDrawing r:id="rId5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3AE3-71DB-427C-A294-5DBCFC6C0837}">
  <sheetPr codeName="Sheet82">
    <tabColor rgb="FF00B050"/>
  </sheetPr>
  <dimension ref="A1:P42"/>
  <sheetViews>
    <sheetView topLeftCell="A19" workbookViewId="0">
      <selection activeCell="C23" sqref="C2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3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1471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42415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51485</v>
      </c>
      <c r="D15" s="2"/>
      <c r="E15" s="3"/>
    </row>
    <row r="16" spans="1:10" x14ac:dyDescent="0.25">
      <c r="A16" s="7" t="s">
        <v>20</v>
      </c>
      <c r="B16" s="17">
        <f>B15+B13</f>
        <v>93900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3286.5000000000005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90613.5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600*3</f>
        <v>1800</v>
      </c>
      <c r="D21" s="23" t="s">
        <v>28</v>
      </c>
      <c r="E21" s="8">
        <f>600*2</f>
        <v>1200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939</v>
      </c>
      <c r="D22" s="7" t="s">
        <v>77</v>
      </c>
      <c r="E22" s="17">
        <f>B16*0.01</f>
        <v>939</v>
      </c>
      <c r="G22" s="27" t="s">
        <v>32</v>
      </c>
      <c r="H22" s="28"/>
      <c r="I22" s="29">
        <v>140</v>
      </c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796.79</v>
      </c>
      <c r="D25" s="7" t="s">
        <v>38</v>
      </c>
      <c r="E25" s="35">
        <f>B25</f>
        <v>796.79</v>
      </c>
      <c r="G25" s="36" t="s">
        <v>39</v>
      </c>
      <c r="H25" s="37"/>
      <c r="I25" s="38">
        <f>SUM(I21:I24)</f>
        <v>260</v>
      </c>
    </row>
    <row r="26" spans="1:16" x14ac:dyDescent="0.25">
      <c r="A26" s="7" t="s">
        <v>40</v>
      </c>
      <c r="B26" s="17">
        <f>B25+I25+I34</f>
        <v>1506.79</v>
      </c>
      <c r="D26" s="7" t="s">
        <v>41</v>
      </c>
      <c r="E26" s="17">
        <f>E25+I25+I34</f>
        <v>1506.79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293.21000000000004</v>
      </c>
      <c r="D28" s="7" t="s">
        <v>43</v>
      </c>
      <c r="E28" s="44">
        <f>E21-E25-I25-I34+I24+I33</f>
        <v>-6.7899999999999636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1.0705979005020538</v>
      </c>
      <c r="D29" s="46" t="s">
        <v>44</v>
      </c>
      <c r="E29" s="47">
        <f>(E28*12)/B17</f>
        <v>-2.4792332268370472E-2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</v>
      </c>
    </row>
    <row r="32" spans="1:16" x14ac:dyDescent="0.25">
      <c r="A32" s="26" t="s">
        <v>49</v>
      </c>
      <c r="B32" s="8">
        <v>120000</v>
      </c>
      <c r="G32" s="27" t="s">
        <v>50</v>
      </c>
      <c r="H32" s="48">
        <v>0.05</v>
      </c>
      <c r="I32" s="49">
        <f>$B$21*H32</f>
        <v>90</v>
      </c>
    </row>
    <row r="33" spans="1:9" x14ac:dyDescent="0.25">
      <c r="A33" s="7" t="s">
        <v>51</v>
      </c>
      <c r="B33" s="17">
        <f>B32-B18</f>
        <v>29386.5</v>
      </c>
      <c r="G33" s="27" t="s">
        <v>52</v>
      </c>
      <c r="H33" s="48">
        <v>0.1</v>
      </c>
      <c r="I33" s="49">
        <f>$B$21*H33</f>
        <v>180</v>
      </c>
    </row>
    <row r="34" spans="1:9" ht="15.75" thickBot="1" x14ac:dyDescent="0.3">
      <c r="A34" s="7" t="s">
        <v>53</v>
      </c>
      <c r="B34" s="50">
        <f>B33/B17</f>
        <v>8.9415791875855763</v>
      </c>
      <c r="G34" s="36" t="s">
        <v>39</v>
      </c>
      <c r="H34" s="37"/>
      <c r="I34" s="51">
        <f>SUM(I30:I33)</f>
        <v>450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0.75511249999999996</v>
      </c>
      <c r="D37" s="58"/>
      <c r="E37" s="59"/>
    </row>
    <row r="38" spans="1:9" x14ac:dyDescent="0.25">
      <c r="A38" s="7" t="s">
        <v>56</v>
      </c>
      <c r="B38" s="31" t="str">
        <f>IF(B37&lt;0.8, "YES", "NO")</f>
        <v>YES</v>
      </c>
      <c r="D38" s="58"/>
      <c r="E38" s="60"/>
    </row>
    <row r="39" spans="1:9" x14ac:dyDescent="0.25">
      <c r="A39" s="7" t="s">
        <v>57</v>
      </c>
      <c r="B39" s="17">
        <f>(B18*0.0085)/12</f>
        <v>64.184562500000013</v>
      </c>
      <c r="D39" s="58"/>
      <c r="E39" s="61"/>
    </row>
    <row r="40" spans="1:9" x14ac:dyDescent="0.25">
      <c r="A40" s="7" t="s">
        <v>58</v>
      </c>
      <c r="B40" s="17">
        <f>B25-B39</f>
        <v>732.60543749999999</v>
      </c>
      <c r="D40" s="58"/>
      <c r="E40" s="61"/>
    </row>
    <row r="41" spans="1:9" x14ac:dyDescent="0.25">
      <c r="A41" s="7" t="s">
        <v>59</v>
      </c>
      <c r="B41" s="43">
        <f>B21-B40-I25-I34</f>
        <v>357.39456250000012</v>
      </c>
      <c r="D41" s="58"/>
      <c r="E41" s="61"/>
    </row>
    <row r="42" spans="1:9" ht="15.75" thickBot="1" x14ac:dyDescent="0.3">
      <c r="A42" s="46" t="s">
        <v>44</v>
      </c>
      <c r="B42" s="47">
        <f>(B41*12)/B17</f>
        <v>1.304955043359197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416" priority="28" operator="equal">
      <formula>"NO"</formula>
    </cfRule>
    <cfRule type="cellIs" dxfId="5415" priority="29" operator="equal">
      <formula>"YES"</formula>
    </cfRule>
  </conditionalFormatting>
  <conditionalFormatting sqref="E38">
    <cfRule type="cellIs" dxfId="5414" priority="26" operator="equal">
      <formula>"YES"</formula>
    </cfRule>
    <cfRule type="cellIs" dxfId="5413" priority="27" operator="equal">
      <formula>"NO"</formula>
    </cfRule>
  </conditionalFormatting>
  <conditionalFormatting sqref="B23">
    <cfRule type="cellIs" dxfId="5412" priority="24" operator="equal">
      <formula>"NO"</formula>
    </cfRule>
    <cfRule type="cellIs" dxfId="5411" priority="25" operator="equal">
      <formula>"YES"</formula>
    </cfRule>
  </conditionalFormatting>
  <conditionalFormatting sqref="B12">
    <cfRule type="containsText" dxfId="5410" priority="10" operator="containsText" text="Low">
      <formula>NOT(ISERROR(SEARCH("Low",B12)))</formula>
    </cfRule>
    <cfRule type="containsText" dxfId="5409" priority="11" operator="containsText" text="Medium">
      <formula>NOT(ISERROR(SEARCH("Medium",B12)))</formula>
    </cfRule>
    <cfRule type="containsText" dxfId="5408" priority="12" operator="containsText" text="High">
      <formula>NOT(ISERROR(SEARCH("High",B12)))</formula>
    </cfRule>
  </conditionalFormatting>
  <conditionalFormatting sqref="B29">
    <cfRule type="cellIs" dxfId="5407" priority="20" operator="between">
      <formula>10%</formula>
      <formula>11.9%</formula>
    </cfRule>
    <cfRule type="cellIs" dxfId="5406" priority="22" operator="lessThan">
      <formula>0.1</formula>
    </cfRule>
    <cfRule type="cellIs" dxfId="5405" priority="23" operator="greaterThanOrEqual">
      <formula>0.12</formula>
    </cfRule>
  </conditionalFormatting>
  <conditionalFormatting sqref="B42">
    <cfRule type="cellIs" dxfId="5404" priority="18" operator="between">
      <formula>0.1</formula>
      <formula>0.1199</formula>
    </cfRule>
    <cfRule type="cellIs" dxfId="5403" priority="19" operator="lessThan">
      <formula>0.1</formula>
    </cfRule>
    <cfRule type="cellIs" dxfId="5402" priority="21" operator="greaterThanOrEqual">
      <formula>0.12</formula>
    </cfRule>
  </conditionalFormatting>
  <conditionalFormatting sqref="B10">
    <cfRule type="containsText" dxfId="5401" priority="13" operator="containsText" text="Full">
      <formula>NOT(ISERROR(SEARCH("Full",B10)))</formula>
    </cfRule>
    <cfRule type="containsText" dxfId="5400" priority="14" operator="containsText" text="Heavy">
      <formula>NOT(ISERROR(SEARCH("Heavy",B10)))</formula>
    </cfRule>
    <cfRule type="containsText" dxfId="5399" priority="15" operator="containsText" text="Medium">
      <formula>NOT(ISERROR(SEARCH("Medium",B10)))</formula>
    </cfRule>
    <cfRule type="containsText" dxfId="5398" priority="16" operator="containsText" text="Light">
      <formula>NOT(ISERROR(SEARCH("Light",B10)))</formula>
    </cfRule>
    <cfRule type="containsText" dxfId="5397" priority="17" operator="containsText" text="None">
      <formula>NOT(ISERROR(SEARCH("None",B10)))</formula>
    </cfRule>
  </conditionalFormatting>
  <conditionalFormatting sqref="B28">
    <cfRule type="cellIs" dxfId="5396" priority="30" operator="lessThan">
      <formula>$B$8*100</formula>
    </cfRule>
    <cfRule type="cellIs" dxfId="5395" priority="31" operator="greaterThanOrEqual">
      <formula>$B$8*100</formula>
    </cfRule>
  </conditionalFormatting>
  <conditionalFormatting sqref="B41">
    <cfRule type="cellIs" dxfId="5394" priority="32" operator="lessThan">
      <formula>$B$8*100</formula>
    </cfRule>
    <cfRule type="cellIs" dxfId="5393" priority="33" operator="greaterThan">
      <formula>$B$8*100</formula>
    </cfRule>
    <cfRule type="cellIs" dxfId="5392" priority="34" operator="greaterThan">
      <formula>$B$8*100</formula>
    </cfRule>
  </conditionalFormatting>
  <conditionalFormatting sqref="B38">
    <cfRule type="cellIs" dxfId="5391" priority="8" operator="equal">
      <formula>"YES"</formula>
    </cfRule>
    <cfRule type="cellIs" dxfId="5390" priority="9" operator="equal">
      <formula>"NO"</formula>
    </cfRule>
  </conditionalFormatting>
  <conditionalFormatting sqref="E23:E26">
    <cfRule type="cellIs" dxfId="5389" priority="4" operator="equal">
      <formula>"NO"</formula>
    </cfRule>
    <cfRule type="cellIs" dxfId="5388" priority="5" operator="equal">
      <formula>"YES"</formula>
    </cfRule>
  </conditionalFormatting>
  <conditionalFormatting sqref="E29">
    <cfRule type="cellIs" dxfId="5387" priority="1" operator="between">
      <formula>10%</formula>
      <formula>12%</formula>
    </cfRule>
    <cfRule type="cellIs" dxfId="5386" priority="2" operator="lessThan">
      <formula>0.1</formula>
    </cfRule>
    <cfRule type="cellIs" dxfId="5385" priority="3" operator="greaterThan">
      <formula>0.12</formula>
    </cfRule>
  </conditionalFormatting>
  <conditionalFormatting sqref="E28">
    <cfRule type="cellIs" dxfId="5384" priority="6" operator="lessThan">
      <formula>$B$8*100</formula>
    </cfRule>
    <cfRule type="cellIs" dxfId="5383" priority="7" operator="greaterThan">
      <formula>$B$8*100</formula>
    </cfRule>
  </conditionalFormatting>
  <hyperlinks>
    <hyperlink ref="A32" r:id="rId1" display="https://www.zillow.com/homes/recently_sold/" xr:uid="{391A7D4A-0212-408A-BF18-EC797ABDAFA6}"/>
    <hyperlink ref="A21" r:id="rId2" xr:uid="{C82E8469-B4C3-44E3-849E-EBB154084AA7}"/>
    <hyperlink ref="A25" r:id="rId3" display="www.mortgagecalculator.org" xr:uid="{2EE31736-24F7-4784-B19E-8BFF00DAE115}"/>
    <hyperlink ref="A12" r:id="rId4" xr:uid="{DD0616C1-45C8-4440-8C10-66730EEB0F0A}"/>
  </hyperlinks>
  <pageMargins left="0.7" right="0.7" top="0.75" bottom="0.75" header="0.3" footer="0.3"/>
  <legacyDrawing r:id="rId5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4FB70-B410-4056-8060-B84658425E73}">
  <sheetPr codeName="Sheet83">
    <tabColor rgb="FF00B050"/>
  </sheetPr>
  <dimension ref="A1:P42"/>
  <sheetViews>
    <sheetView topLeftCell="A25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2970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90000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44550</v>
      </c>
      <c r="D15" s="2"/>
      <c r="E15" s="3"/>
    </row>
    <row r="16" spans="1:10" x14ac:dyDescent="0.25">
      <c r="A16" s="7" t="s">
        <v>20</v>
      </c>
      <c r="B16" s="17">
        <f>B15+B13</f>
        <v>134550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4709.25</v>
      </c>
      <c r="D17" s="19"/>
      <c r="E17" s="20"/>
      <c r="P17" s="21"/>
    </row>
    <row r="18" spans="1:16" x14ac:dyDescent="0.25">
      <c r="A18" s="7" t="s">
        <v>23</v>
      </c>
      <c r="B18" s="17">
        <f>B16-B17</f>
        <v>129840.75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850*2</f>
        <v>1700</v>
      </c>
      <c r="D21" s="23" t="s">
        <v>28</v>
      </c>
      <c r="E21" s="8">
        <f>850*2*5/6</f>
        <v>1416.6666666666667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1345.5</v>
      </c>
      <c r="D22" s="7" t="s">
        <v>77</v>
      </c>
      <c r="E22" s="17">
        <f>B16*0.01</f>
        <v>1345.5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100</v>
      </c>
    </row>
    <row r="25" spans="1:16" ht="15.75" thickBot="1" x14ac:dyDescent="0.3">
      <c r="A25" s="26" t="s">
        <v>37</v>
      </c>
      <c r="B25" s="8">
        <v>1061.8499999999999</v>
      </c>
      <c r="D25" s="7" t="s">
        <v>38</v>
      </c>
      <c r="E25" s="35">
        <f>B25</f>
        <v>1061.8499999999999</v>
      </c>
      <c r="G25" s="36" t="s">
        <v>39</v>
      </c>
      <c r="H25" s="37"/>
      <c r="I25" s="38">
        <f>SUM(I21:I24)</f>
        <v>100</v>
      </c>
    </row>
    <row r="26" spans="1:16" x14ac:dyDescent="0.25">
      <c r="A26" s="7" t="s">
        <v>40</v>
      </c>
      <c r="B26" s="17">
        <f>B25+I25+I34</f>
        <v>1416.85</v>
      </c>
      <c r="D26" s="7" t="s">
        <v>41</v>
      </c>
      <c r="E26" s="17">
        <f>E25+I25+I34</f>
        <v>1416.85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283.15000000000009</v>
      </c>
      <c r="D28" s="7" t="s">
        <v>43</v>
      </c>
      <c r="E28" s="44">
        <f>E21-E25-I25-I34+I24+I33</f>
        <v>99.816666666666833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0.72151616499442606</v>
      </c>
      <c r="D29" s="46" t="s">
        <v>44</v>
      </c>
      <c r="E29" s="47">
        <f>(E28*12)/B17</f>
        <v>0.25435048043743741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85</v>
      </c>
    </row>
    <row r="32" spans="1:16" x14ac:dyDescent="0.25">
      <c r="A32" s="26" t="s">
        <v>49</v>
      </c>
      <c r="B32" s="8">
        <f>B16</f>
        <v>134550</v>
      </c>
      <c r="G32" s="27" t="s">
        <v>50</v>
      </c>
      <c r="H32" s="48">
        <v>0.05</v>
      </c>
      <c r="I32" s="49">
        <f>$B$21*H32</f>
        <v>85</v>
      </c>
    </row>
    <row r="33" spans="1:9" x14ac:dyDescent="0.25">
      <c r="A33" s="7" t="s">
        <v>51</v>
      </c>
      <c r="B33" s="17">
        <f>B32-B18</f>
        <v>4709.25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255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91.970531250000008</v>
      </c>
      <c r="D39" s="58"/>
      <c r="E39" s="61"/>
    </row>
    <row r="40" spans="1:9" x14ac:dyDescent="0.25">
      <c r="A40" s="7" t="s">
        <v>58</v>
      </c>
      <c r="B40" s="17">
        <f>B25-B39</f>
        <v>969.87946874999989</v>
      </c>
      <c r="D40" s="58"/>
      <c r="E40" s="61"/>
    </row>
    <row r="41" spans="1:9" x14ac:dyDescent="0.25">
      <c r="A41" s="7" t="s">
        <v>59</v>
      </c>
      <c r="B41" s="43">
        <f>B21-B40-I25-I34</f>
        <v>375.12053125000011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0.95587330785156899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382" priority="28" operator="equal">
      <formula>"NO"</formula>
    </cfRule>
    <cfRule type="cellIs" dxfId="5381" priority="29" operator="equal">
      <formula>"YES"</formula>
    </cfRule>
  </conditionalFormatting>
  <conditionalFormatting sqref="E38">
    <cfRule type="cellIs" dxfId="5380" priority="26" operator="equal">
      <formula>"YES"</formula>
    </cfRule>
    <cfRule type="cellIs" dxfId="5379" priority="27" operator="equal">
      <formula>"NO"</formula>
    </cfRule>
  </conditionalFormatting>
  <conditionalFormatting sqref="B23">
    <cfRule type="cellIs" dxfId="5378" priority="24" operator="equal">
      <formula>"NO"</formula>
    </cfRule>
    <cfRule type="cellIs" dxfId="5377" priority="25" operator="equal">
      <formula>"YES"</formula>
    </cfRule>
  </conditionalFormatting>
  <conditionalFormatting sqref="B12">
    <cfRule type="containsText" dxfId="5376" priority="10" operator="containsText" text="Low">
      <formula>NOT(ISERROR(SEARCH("Low",B12)))</formula>
    </cfRule>
    <cfRule type="containsText" dxfId="5375" priority="11" operator="containsText" text="Medium">
      <formula>NOT(ISERROR(SEARCH("Medium",B12)))</formula>
    </cfRule>
    <cfRule type="containsText" dxfId="5374" priority="12" operator="containsText" text="High">
      <formula>NOT(ISERROR(SEARCH("High",B12)))</formula>
    </cfRule>
  </conditionalFormatting>
  <conditionalFormatting sqref="B29">
    <cfRule type="cellIs" dxfId="5373" priority="20" operator="between">
      <formula>10%</formula>
      <formula>11.9%</formula>
    </cfRule>
    <cfRule type="cellIs" dxfId="5372" priority="22" operator="lessThan">
      <formula>0.1</formula>
    </cfRule>
    <cfRule type="cellIs" dxfId="5371" priority="23" operator="greaterThanOrEqual">
      <formula>0.12</formula>
    </cfRule>
  </conditionalFormatting>
  <conditionalFormatting sqref="B42">
    <cfRule type="cellIs" dxfId="5370" priority="18" operator="between">
      <formula>0.1</formula>
      <formula>0.1199</formula>
    </cfRule>
    <cfRule type="cellIs" dxfId="5369" priority="19" operator="lessThan">
      <formula>0.1</formula>
    </cfRule>
    <cfRule type="cellIs" dxfId="5368" priority="21" operator="greaterThanOrEqual">
      <formula>0.12</formula>
    </cfRule>
  </conditionalFormatting>
  <conditionalFormatting sqref="B10">
    <cfRule type="containsText" dxfId="5367" priority="13" operator="containsText" text="Full">
      <formula>NOT(ISERROR(SEARCH("Full",B10)))</formula>
    </cfRule>
    <cfRule type="containsText" dxfId="5366" priority="14" operator="containsText" text="Heavy">
      <formula>NOT(ISERROR(SEARCH("Heavy",B10)))</formula>
    </cfRule>
    <cfRule type="containsText" dxfId="5365" priority="15" operator="containsText" text="Medium">
      <formula>NOT(ISERROR(SEARCH("Medium",B10)))</formula>
    </cfRule>
    <cfRule type="containsText" dxfId="5364" priority="16" operator="containsText" text="Light">
      <formula>NOT(ISERROR(SEARCH("Light",B10)))</formula>
    </cfRule>
    <cfRule type="containsText" dxfId="5363" priority="17" operator="containsText" text="None">
      <formula>NOT(ISERROR(SEARCH("None",B10)))</formula>
    </cfRule>
  </conditionalFormatting>
  <conditionalFormatting sqref="B28">
    <cfRule type="cellIs" dxfId="5362" priority="30" operator="lessThan">
      <formula>$B$8*100</formula>
    </cfRule>
    <cfRule type="cellIs" dxfId="5361" priority="31" operator="greaterThanOrEqual">
      <formula>$B$8*100</formula>
    </cfRule>
  </conditionalFormatting>
  <conditionalFormatting sqref="B41">
    <cfRule type="cellIs" dxfId="5360" priority="32" operator="lessThan">
      <formula>$B$8*100</formula>
    </cfRule>
    <cfRule type="cellIs" dxfId="5359" priority="33" operator="greaterThan">
      <formula>$B$8*100</formula>
    </cfRule>
    <cfRule type="cellIs" dxfId="5358" priority="34" operator="greaterThan">
      <formula>$B$8*100</formula>
    </cfRule>
  </conditionalFormatting>
  <conditionalFormatting sqref="B38">
    <cfRule type="cellIs" dxfId="5357" priority="8" operator="equal">
      <formula>"YES"</formula>
    </cfRule>
    <cfRule type="cellIs" dxfId="5356" priority="9" operator="equal">
      <formula>"NO"</formula>
    </cfRule>
  </conditionalFormatting>
  <conditionalFormatting sqref="E23:E26">
    <cfRule type="cellIs" dxfId="5355" priority="4" operator="equal">
      <formula>"NO"</formula>
    </cfRule>
    <cfRule type="cellIs" dxfId="5354" priority="5" operator="equal">
      <formula>"YES"</formula>
    </cfRule>
  </conditionalFormatting>
  <conditionalFormatting sqref="E29">
    <cfRule type="cellIs" dxfId="5353" priority="1" operator="between">
      <formula>10%</formula>
      <formula>12%</formula>
    </cfRule>
    <cfRule type="cellIs" dxfId="5352" priority="2" operator="lessThan">
      <formula>0.1</formula>
    </cfRule>
    <cfRule type="cellIs" dxfId="5351" priority="3" operator="greaterThan">
      <formula>0.12</formula>
    </cfRule>
  </conditionalFormatting>
  <conditionalFormatting sqref="E28">
    <cfRule type="cellIs" dxfId="5350" priority="6" operator="lessThan">
      <formula>$B$8*100</formula>
    </cfRule>
    <cfRule type="cellIs" dxfId="5349" priority="7" operator="greaterThan">
      <formula>$B$8*100</formula>
    </cfRule>
  </conditionalFormatting>
  <hyperlinks>
    <hyperlink ref="A32" r:id="rId1" display="https://www.zillow.com/homes/recently_sold/" xr:uid="{FC796464-E99C-4820-A66D-878531B560E8}"/>
    <hyperlink ref="A21" r:id="rId2" xr:uid="{61559974-BB64-4265-A534-FD0E99111C82}"/>
    <hyperlink ref="A25" r:id="rId3" display="www.mortgagecalculator.org" xr:uid="{7C8363DC-BBEE-4368-8C41-A5E333B51014}"/>
    <hyperlink ref="A12" r:id="rId4" xr:uid="{ECE543C6-3934-487A-A2EB-26DD7325E10A}"/>
  </hyperlinks>
  <pageMargins left="0.7" right="0.7" top="0.75" bottom="0.75" header="0.3" footer="0.3"/>
  <legacyDrawing r:id="rId5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2306-7C8D-47F4-A591-F3621D34F381}">
  <sheetPr codeName="Sheet84">
    <tabColor rgb="FF00B050"/>
  </sheetPr>
  <dimension ref="A1:P42"/>
  <sheetViews>
    <sheetView topLeftCell="A30" workbookViewId="0">
      <selection activeCell="B33" sqref="B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1860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120000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6000</v>
      </c>
      <c r="D17" s="19"/>
      <c r="E17" s="20"/>
      <c r="P17" s="21"/>
    </row>
    <row r="18" spans="1:16" x14ac:dyDescent="0.25">
      <c r="A18" s="7" t="s">
        <v>23</v>
      </c>
      <c r="B18" s="17">
        <f>B16-B17</f>
        <v>114000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750*2</f>
        <v>1500</v>
      </c>
      <c r="D21" s="23" t="s">
        <v>28</v>
      </c>
      <c r="E21" s="8">
        <f>750*2*3/4</f>
        <v>1125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1200</v>
      </c>
      <c r="D22" s="7" t="s">
        <v>77</v>
      </c>
      <c r="E22" s="17">
        <f>B16*0.01</f>
        <v>1200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100</v>
      </c>
    </row>
    <row r="25" spans="1:16" ht="15.75" thickBot="1" x14ac:dyDescent="0.3">
      <c r="A25" s="26" t="s">
        <v>37</v>
      </c>
      <c r="B25" s="8">
        <v>942.66</v>
      </c>
      <c r="D25" s="7" t="s">
        <v>38</v>
      </c>
      <c r="E25" s="35">
        <f>B25</f>
        <v>942.66</v>
      </c>
      <c r="G25" s="36" t="s">
        <v>39</v>
      </c>
      <c r="H25" s="37"/>
      <c r="I25" s="38">
        <f>SUM(I21:I24)</f>
        <v>100</v>
      </c>
    </row>
    <row r="26" spans="1:16" x14ac:dyDescent="0.25">
      <c r="A26" s="7" t="s">
        <v>40</v>
      </c>
      <c r="B26" s="17">
        <f>B25+I25+I34</f>
        <v>1267.6599999999999</v>
      </c>
      <c r="D26" s="7" t="s">
        <v>41</v>
      </c>
      <c r="E26" s="17">
        <f>E25+I25+I34</f>
        <v>1267.6599999999999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232.34000000000015</v>
      </c>
      <c r="D28" s="7" t="s">
        <v>43</v>
      </c>
      <c r="E28" s="44">
        <f>E21-E25-I25-I34+I24+I33</f>
        <v>-42.659999999999968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0.46468000000000032</v>
      </c>
      <c r="D29" s="46" t="s">
        <v>44</v>
      </c>
      <c r="E29" s="47">
        <f>(E28*12)/B17</f>
        <v>-8.5319999999999938E-2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75</v>
      </c>
    </row>
    <row r="32" spans="1:16" x14ac:dyDescent="0.25">
      <c r="A32" s="26" t="s">
        <v>49</v>
      </c>
      <c r="B32" s="8">
        <f>B16</f>
        <v>120000</v>
      </c>
      <c r="G32" s="27" t="s">
        <v>50</v>
      </c>
      <c r="H32" s="48">
        <v>0.05</v>
      </c>
      <c r="I32" s="49">
        <f>$B$21*H32</f>
        <v>75</v>
      </c>
    </row>
    <row r="33" spans="1:9" x14ac:dyDescent="0.25">
      <c r="A33" s="7" t="s">
        <v>51</v>
      </c>
      <c r="B33" s="17">
        <f>B32-B18</f>
        <v>6000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80.750000000000014</v>
      </c>
      <c r="D39" s="58"/>
      <c r="E39" s="61"/>
    </row>
    <row r="40" spans="1:9" x14ac:dyDescent="0.25">
      <c r="A40" s="7" t="s">
        <v>58</v>
      </c>
      <c r="B40" s="17">
        <f>B25-B39</f>
        <v>861.91</v>
      </c>
      <c r="D40" s="58"/>
      <c r="E40" s="61"/>
    </row>
    <row r="41" spans="1:9" x14ac:dyDescent="0.25">
      <c r="A41" s="7" t="s">
        <v>59</v>
      </c>
      <c r="B41" s="43">
        <f>B21-B40-I25-I34</f>
        <v>313.09000000000003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0.62618000000000007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348" priority="28" operator="equal">
      <formula>"NO"</formula>
    </cfRule>
    <cfRule type="cellIs" dxfId="5347" priority="29" operator="equal">
      <formula>"YES"</formula>
    </cfRule>
  </conditionalFormatting>
  <conditionalFormatting sqref="E38">
    <cfRule type="cellIs" dxfId="5346" priority="26" operator="equal">
      <formula>"YES"</formula>
    </cfRule>
    <cfRule type="cellIs" dxfId="5345" priority="27" operator="equal">
      <formula>"NO"</formula>
    </cfRule>
  </conditionalFormatting>
  <conditionalFormatting sqref="B23">
    <cfRule type="cellIs" dxfId="5344" priority="24" operator="equal">
      <formula>"NO"</formula>
    </cfRule>
    <cfRule type="cellIs" dxfId="5343" priority="25" operator="equal">
      <formula>"YES"</formula>
    </cfRule>
  </conditionalFormatting>
  <conditionalFormatting sqref="B12">
    <cfRule type="containsText" dxfId="5342" priority="10" operator="containsText" text="Low">
      <formula>NOT(ISERROR(SEARCH("Low",B12)))</formula>
    </cfRule>
    <cfRule type="containsText" dxfId="5341" priority="11" operator="containsText" text="Medium">
      <formula>NOT(ISERROR(SEARCH("Medium",B12)))</formula>
    </cfRule>
    <cfRule type="containsText" dxfId="5340" priority="12" operator="containsText" text="High">
      <formula>NOT(ISERROR(SEARCH("High",B12)))</formula>
    </cfRule>
  </conditionalFormatting>
  <conditionalFormatting sqref="B29">
    <cfRule type="cellIs" dxfId="5339" priority="20" operator="between">
      <formula>10%</formula>
      <formula>11.9%</formula>
    </cfRule>
    <cfRule type="cellIs" dxfId="5338" priority="22" operator="lessThan">
      <formula>0.1</formula>
    </cfRule>
    <cfRule type="cellIs" dxfId="5337" priority="23" operator="greaterThanOrEqual">
      <formula>0.12</formula>
    </cfRule>
  </conditionalFormatting>
  <conditionalFormatting sqref="B42">
    <cfRule type="cellIs" dxfId="5336" priority="18" operator="between">
      <formula>0.1</formula>
      <formula>0.1199</formula>
    </cfRule>
    <cfRule type="cellIs" dxfId="5335" priority="19" operator="lessThan">
      <formula>0.1</formula>
    </cfRule>
    <cfRule type="cellIs" dxfId="5334" priority="21" operator="greaterThanOrEqual">
      <formula>0.12</formula>
    </cfRule>
  </conditionalFormatting>
  <conditionalFormatting sqref="B10">
    <cfRule type="containsText" dxfId="5333" priority="13" operator="containsText" text="Full">
      <formula>NOT(ISERROR(SEARCH("Full",B10)))</formula>
    </cfRule>
    <cfRule type="containsText" dxfId="5332" priority="14" operator="containsText" text="Heavy">
      <formula>NOT(ISERROR(SEARCH("Heavy",B10)))</formula>
    </cfRule>
    <cfRule type="containsText" dxfId="5331" priority="15" operator="containsText" text="Medium">
      <formula>NOT(ISERROR(SEARCH("Medium",B10)))</formula>
    </cfRule>
    <cfRule type="containsText" dxfId="5330" priority="16" operator="containsText" text="Light">
      <formula>NOT(ISERROR(SEARCH("Light",B10)))</formula>
    </cfRule>
    <cfRule type="containsText" dxfId="5329" priority="17" operator="containsText" text="None">
      <formula>NOT(ISERROR(SEARCH("None",B10)))</formula>
    </cfRule>
  </conditionalFormatting>
  <conditionalFormatting sqref="B28">
    <cfRule type="cellIs" dxfId="5328" priority="30" operator="lessThan">
      <formula>$B$8*100</formula>
    </cfRule>
    <cfRule type="cellIs" dxfId="5327" priority="31" operator="greaterThanOrEqual">
      <formula>$B$8*100</formula>
    </cfRule>
  </conditionalFormatting>
  <conditionalFormatting sqref="B41">
    <cfRule type="cellIs" dxfId="5326" priority="32" operator="lessThan">
      <formula>$B$8*100</formula>
    </cfRule>
    <cfRule type="cellIs" dxfId="5325" priority="33" operator="greaterThan">
      <formula>$B$8*100</formula>
    </cfRule>
    <cfRule type="cellIs" dxfId="5324" priority="34" operator="greaterThan">
      <formula>$B$8*100</formula>
    </cfRule>
  </conditionalFormatting>
  <conditionalFormatting sqref="B38">
    <cfRule type="cellIs" dxfId="5323" priority="8" operator="equal">
      <formula>"YES"</formula>
    </cfRule>
    <cfRule type="cellIs" dxfId="5322" priority="9" operator="equal">
      <formula>"NO"</formula>
    </cfRule>
  </conditionalFormatting>
  <conditionalFormatting sqref="E23:E26">
    <cfRule type="cellIs" dxfId="5321" priority="4" operator="equal">
      <formula>"NO"</formula>
    </cfRule>
    <cfRule type="cellIs" dxfId="5320" priority="5" operator="equal">
      <formula>"YES"</formula>
    </cfRule>
  </conditionalFormatting>
  <conditionalFormatting sqref="E29">
    <cfRule type="cellIs" dxfId="5319" priority="1" operator="between">
      <formula>10%</formula>
      <formula>12%</formula>
    </cfRule>
    <cfRule type="cellIs" dxfId="5318" priority="2" operator="lessThan">
      <formula>0.1</formula>
    </cfRule>
    <cfRule type="cellIs" dxfId="5317" priority="3" operator="greaterThan">
      <formula>0.12</formula>
    </cfRule>
  </conditionalFormatting>
  <conditionalFormatting sqref="E28">
    <cfRule type="cellIs" dxfId="5316" priority="6" operator="lessThan">
      <formula>$B$8*100</formula>
    </cfRule>
    <cfRule type="cellIs" dxfId="5315" priority="7" operator="greaterThan">
      <formula>$B$8*100</formula>
    </cfRule>
  </conditionalFormatting>
  <hyperlinks>
    <hyperlink ref="A32" r:id="rId1" display="https://www.zillow.com/homes/recently_sold/" xr:uid="{AE437FF0-26E0-41B7-8433-3F95F9BA6101}"/>
    <hyperlink ref="A21" r:id="rId2" xr:uid="{00B2A350-9293-4B0D-BA00-E24262951ED4}"/>
    <hyperlink ref="A25" r:id="rId3" display="www.mortgagecalculator.org" xr:uid="{73F5A7DC-106A-4380-A673-C357DC4F4994}"/>
    <hyperlink ref="A12" r:id="rId4" xr:uid="{40D4F586-BA14-4682-BE45-C9B34D4ACD61}"/>
  </hyperlinks>
  <pageMargins left="0.7" right="0.7" top="0.75" bottom="0.75" header="0.3" footer="0.3"/>
  <legacyDrawing r:id="rId5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7A49-E13A-43D3-9844-7DFE25ED93D0}">
  <sheetPr codeName="Sheet85">
    <tabColor rgb="FF92D050"/>
  </sheetPr>
  <dimension ref="A1:P42"/>
  <sheetViews>
    <sheetView workbookViewId="0">
      <selection activeCell="E22" sqref="E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2124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73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106165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53100</v>
      </c>
      <c r="D15" s="2"/>
      <c r="E15" s="3"/>
    </row>
    <row r="16" spans="1:10" x14ac:dyDescent="0.25">
      <c r="A16" s="7" t="s">
        <v>20</v>
      </c>
      <c r="B16" s="17">
        <f>B15+B13</f>
        <v>159265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5574.2750000000005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153690.72500000001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915*2</f>
        <v>1830</v>
      </c>
      <c r="D21" s="23" t="s">
        <v>28</v>
      </c>
      <c r="E21" s="8">
        <f>915*2*5/6</f>
        <v>1525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1592.65</v>
      </c>
      <c r="D22" s="7" t="s">
        <v>77</v>
      </c>
      <c r="E22" s="17">
        <f>B16*0.01</f>
        <v>1592.65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1229.8</v>
      </c>
      <c r="D25" s="7" t="s">
        <v>38</v>
      </c>
      <c r="E25" s="35">
        <f>B25</f>
        <v>1229.8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1624.3</v>
      </c>
      <c r="D26" s="7" t="s">
        <v>41</v>
      </c>
      <c r="E26" s="17">
        <f>E25+I25+I34</f>
        <v>1624.3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205.70000000000005</v>
      </c>
      <c r="D28" s="7" t="s">
        <v>43</v>
      </c>
      <c r="E28" s="44">
        <f>E21-E25-I25-I34+I24+I33</f>
        <v>20.700000000000045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0.44281991828533762</v>
      </c>
      <c r="D29" s="46" t="s">
        <v>44</v>
      </c>
      <c r="E29" s="47">
        <f>(E28*12)/B17</f>
        <v>4.4561848850299013E-2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91.5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91.5</v>
      </c>
    </row>
    <row r="32" spans="1:16" x14ac:dyDescent="0.25">
      <c r="A32" s="26" t="s">
        <v>49</v>
      </c>
      <c r="B32" s="8">
        <f>B16</f>
        <v>159265</v>
      </c>
      <c r="G32" s="27" t="s">
        <v>50</v>
      </c>
      <c r="H32" s="48">
        <v>0.05</v>
      </c>
      <c r="I32" s="49">
        <f>$B$21*H32</f>
        <v>91.5</v>
      </c>
    </row>
    <row r="33" spans="1:9" x14ac:dyDescent="0.25">
      <c r="A33" s="7" t="s">
        <v>51</v>
      </c>
      <c r="B33" s="17">
        <f>B32-B18</f>
        <v>5574.2749999999942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0.99999999999999889</v>
      </c>
      <c r="G34" s="36" t="s">
        <v>39</v>
      </c>
      <c r="H34" s="37"/>
      <c r="I34" s="51">
        <f>SUM(I30:I33)</f>
        <v>274.5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108.86426354166667</v>
      </c>
      <c r="D39" s="58"/>
      <c r="E39" s="61"/>
    </row>
    <row r="40" spans="1:9" x14ac:dyDescent="0.25">
      <c r="A40" s="7" t="s">
        <v>58</v>
      </c>
      <c r="B40" s="17">
        <f>B25-B39</f>
        <v>1120.9357364583334</v>
      </c>
      <c r="D40" s="58"/>
      <c r="E40" s="61"/>
    </row>
    <row r="41" spans="1:9" x14ac:dyDescent="0.25">
      <c r="A41" s="7" t="s">
        <v>59</v>
      </c>
      <c r="B41" s="43">
        <f>B21-B40-I25-I34</f>
        <v>314.56426354166661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0.67717706114248022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314" priority="28" operator="equal">
      <formula>"NO"</formula>
    </cfRule>
    <cfRule type="cellIs" dxfId="5313" priority="29" operator="equal">
      <formula>"YES"</formula>
    </cfRule>
  </conditionalFormatting>
  <conditionalFormatting sqref="E38">
    <cfRule type="cellIs" dxfId="5312" priority="26" operator="equal">
      <formula>"YES"</formula>
    </cfRule>
    <cfRule type="cellIs" dxfId="5311" priority="27" operator="equal">
      <formula>"NO"</formula>
    </cfRule>
  </conditionalFormatting>
  <conditionalFormatting sqref="B23">
    <cfRule type="cellIs" dxfId="5310" priority="24" operator="equal">
      <formula>"NO"</formula>
    </cfRule>
    <cfRule type="cellIs" dxfId="5309" priority="25" operator="equal">
      <formula>"YES"</formula>
    </cfRule>
  </conditionalFormatting>
  <conditionalFormatting sqref="B12">
    <cfRule type="containsText" dxfId="5308" priority="10" operator="containsText" text="Low">
      <formula>NOT(ISERROR(SEARCH("Low",B12)))</formula>
    </cfRule>
    <cfRule type="containsText" dxfId="5307" priority="11" operator="containsText" text="Medium">
      <formula>NOT(ISERROR(SEARCH("Medium",B12)))</formula>
    </cfRule>
    <cfRule type="containsText" dxfId="5306" priority="12" operator="containsText" text="High">
      <formula>NOT(ISERROR(SEARCH("High",B12)))</formula>
    </cfRule>
  </conditionalFormatting>
  <conditionalFormatting sqref="B29">
    <cfRule type="cellIs" dxfId="5305" priority="20" operator="between">
      <formula>10%</formula>
      <formula>11.9%</formula>
    </cfRule>
    <cfRule type="cellIs" dxfId="5304" priority="22" operator="lessThan">
      <formula>0.1</formula>
    </cfRule>
    <cfRule type="cellIs" dxfId="5303" priority="23" operator="greaterThanOrEqual">
      <formula>0.12</formula>
    </cfRule>
  </conditionalFormatting>
  <conditionalFormatting sqref="B42">
    <cfRule type="cellIs" dxfId="5302" priority="18" operator="between">
      <formula>0.1</formula>
      <formula>0.1199</formula>
    </cfRule>
    <cfRule type="cellIs" dxfId="5301" priority="19" operator="lessThan">
      <formula>0.1</formula>
    </cfRule>
    <cfRule type="cellIs" dxfId="5300" priority="21" operator="greaterThanOrEqual">
      <formula>0.12</formula>
    </cfRule>
  </conditionalFormatting>
  <conditionalFormatting sqref="B10">
    <cfRule type="containsText" dxfId="5299" priority="13" operator="containsText" text="Full">
      <formula>NOT(ISERROR(SEARCH("Full",B10)))</formula>
    </cfRule>
    <cfRule type="containsText" dxfId="5298" priority="14" operator="containsText" text="Heavy">
      <formula>NOT(ISERROR(SEARCH("Heavy",B10)))</formula>
    </cfRule>
    <cfRule type="containsText" dxfId="5297" priority="15" operator="containsText" text="Medium">
      <formula>NOT(ISERROR(SEARCH("Medium",B10)))</formula>
    </cfRule>
    <cfRule type="containsText" dxfId="5296" priority="16" operator="containsText" text="Light">
      <formula>NOT(ISERROR(SEARCH("Light",B10)))</formula>
    </cfRule>
    <cfRule type="containsText" dxfId="5295" priority="17" operator="containsText" text="None">
      <formula>NOT(ISERROR(SEARCH("None",B10)))</formula>
    </cfRule>
  </conditionalFormatting>
  <conditionalFormatting sqref="B28">
    <cfRule type="cellIs" dxfId="5294" priority="30" operator="lessThan">
      <formula>$B$8*100</formula>
    </cfRule>
    <cfRule type="cellIs" dxfId="5293" priority="31" operator="greaterThanOrEqual">
      <formula>$B$8*100</formula>
    </cfRule>
  </conditionalFormatting>
  <conditionalFormatting sqref="B41">
    <cfRule type="cellIs" dxfId="5292" priority="32" operator="lessThan">
      <formula>$B$8*100</formula>
    </cfRule>
    <cfRule type="cellIs" dxfId="5291" priority="33" operator="greaterThan">
      <formula>$B$8*100</formula>
    </cfRule>
    <cfRule type="cellIs" dxfId="5290" priority="34" operator="greaterThan">
      <formula>$B$8*100</formula>
    </cfRule>
  </conditionalFormatting>
  <conditionalFormatting sqref="B38">
    <cfRule type="cellIs" dxfId="5289" priority="8" operator="equal">
      <formula>"YES"</formula>
    </cfRule>
    <cfRule type="cellIs" dxfId="5288" priority="9" operator="equal">
      <formula>"NO"</formula>
    </cfRule>
  </conditionalFormatting>
  <conditionalFormatting sqref="E23:E26">
    <cfRule type="cellIs" dxfId="5287" priority="4" operator="equal">
      <formula>"NO"</formula>
    </cfRule>
    <cfRule type="cellIs" dxfId="5286" priority="5" operator="equal">
      <formula>"YES"</formula>
    </cfRule>
  </conditionalFormatting>
  <conditionalFormatting sqref="E29">
    <cfRule type="cellIs" dxfId="5285" priority="1" operator="between">
      <formula>10%</formula>
      <formula>12%</formula>
    </cfRule>
    <cfRule type="cellIs" dxfId="5284" priority="2" operator="lessThan">
      <formula>0.1</formula>
    </cfRule>
    <cfRule type="cellIs" dxfId="5283" priority="3" operator="greaterThan">
      <formula>0.12</formula>
    </cfRule>
  </conditionalFormatting>
  <conditionalFormatting sqref="E28">
    <cfRule type="cellIs" dxfId="5282" priority="6" operator="lessThan">
      <formula>$B$8*100</formula>
    </cfRule>
    <cfRule type="cellIs" dxfId="5281" priority="7" operator="greaterThan">
      <formula>$B$8*100</formula>
    </cfRule>
  </conditionalFormatting>
  <hyperlinks>
    <hyperlink ref="A32" r:id="rId1" display="https://www.zillow.com/homes/recently_sold/" xr:uid="{423076CA-B779-4107-A653-633D3630F7B6}"/>
    <hyperlink ref="A21" r:id="rId2" xr:uid="{2CE6328C-4FDB-471F-843B-2756C19188D2}"/>
    <hyperlink ref="A25" r:id="rId3" display="www.mortgagecalculator.org" xr:uid="{58686E67-DC03-4BDD-8BAB-6BFACB5F3C48}"/>
    <hyperlink ref="A12" r:id="rId4" xr:uid="{AC4A80FD-E738-433A-AFB2-58518ABBEC5E}"/>
  </hyperlinks>
  <pageMargins left="0.7" right="0.7" top="0.75" bottom="0.75" header="0.3" footer="0.3"/>
  <legacyDrawing r:id="rId5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05EE-8D75-4223-B2E2-12B6085C1960}">
  <sheetPr codeName="Sheet86">
    <tabColor rgb="FF00B050"/>
  </sheetPr>
  <dimension ref="A1:P42"/>
  <sheetViews>
    <sheetView workbookViewId="0">
      <selection activeCell="A8" sqref="A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54900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2880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73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46665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72000</v>
      </c>
      <c r="D15" s="2"/>
      <c r="E15" s="3"/>
    </row>
    <row r="16" spans="1:10" x14ac:dyDescent="0.25">
      <c r="A16" s="7" t="s">
        <v>20</v>
      </c>
      <c r="B16" s="17">
        <f>B15+B13</f>
        <v>118665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4153.2750000000005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114511.72500000001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870*2</f>
        <v>1740</v>
      </c>
      <c r="D21" s="23" t="s">
        <v>28</v>
      </c>
      <c r="E21" s="8">
        <f>870*2*5/6</f>
        <v>1450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1186.6500000000001</v>
      </c>
      <c r="D22" s="7" t="s">
        <v>77</v>
      </c>
      <c r="E22" s="17">
        <f>B16*0.01</f>
        <v>1186.6500000000001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1027.81</v>
      </c>
      <c r="D25" s="7" t="s">
        <v>38</v>
      </c>
      <c r="E25" s="35">
        <f>B25</f>
        <v>1027.81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1428.81</v>
      </c>
      <c r="D26" s="7" t="s">
        <v>41</v>
      </c>
      <c r="E26" s="17">
        <f>E25+I25+I34</f>
        <v>1428.81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311.19000000000005</v>
      </c>
      <c r="D28" s="7" t="s">
        <v>43</v>
      </c>
      <c r="E28" s="44">
        <f>E21-E25-I25-I34+I24+I33</f>
        <v>161.19000000000005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0.89911696191559676</v>
      </c>
      <c r="D29" s="46" t="s">
        <v>44</v>
      </c>
      <c r="E29" s="47">
        <f>(E28*12)/B17</f>
        <v>0.46572403705509519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87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87</v>
      </c>
    </row>
    <row r="32" spans="1:16" x14ac:dyDescent="0.25">
      <c r="A32" s="26" t="s">
        <v>49</v>
      </c>
      <c r="B32" s="8">
        <f>B16</f>
        <v>118665</v>
      </c>
      <c r="G32" s="27" t="s">
        <v>50</v>
      </c>
      <c r="H32" s="48">
        <v>0.05</v>
      </c>
      <c r="I32" s="49">
        <f>$B$21*H32</f>
        <v>87</v>
      </c>
    </row>
    <row r="33" spans="1:9" x14ac:dyDescent="0.25">
      <c r="A33" s="7" t="s">
        <v>51</v>
      </c>
      <c r="B33" s="17">
        <f>B32-B18</f>
        <v>4153.2749999999942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0.99999999999999845</v>
      </c>
      <c r="G34" s="36" t="s">
        <v>39</v>
      </c>
      <c r="H34" s="37"/>
      <c r="I34" s="51">
        <f>SUM(I30:I33)</f>
        <v>261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81.112471875000011</v>
      </c>
      <c r="D39" s="58"/>
      <c r="E39" s="61"/>
    </row>
    <row r="40" spans="1:9" x14ac:dyDescent="0.25">
      <c r="A40" s="7" t="s">
        <v>58</v>
      </c>
      <c r="B40" s="17">
        <f>B25-B39</f>
        <v>946.69752812499996</v>
      </c>
      <c r="D40" s="58"/>
      <c r="E40" s="61"/>
    </row>
    <row r="41" spans="1:9" x14ac:dyDescent="0.25">
      <c r="A41" s="7" t="s">
        <v>59</v>
      </c>
      <c r="B41" s="43">
        <f>B21-B40-I25-I34</f>
        <v>392.30247187500004</v>
      </c>
      <c r="D41" s="58"/>
      <c r="E41" s="61"/>
    </row>
    <row r="42" spans="1:9" ht="15.75" thickBot="1" x14ac:dyDescent="0.3">
      <c r="A42" s="46" t="s">
        <v>44</v>
      </c>
      <c r="B42" s="47">
        <f>(B41*12)/B17</f>
        <v>1.1334741047727395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280" priority="28" operator="equal">
      <formula>"NO"</formula>
    </cfRule>
    <cfRule type="cellIs" dxfId="5279" priority="29" operator="equal">
      <formula>"YES"</formula>
    </cfRule>
  </conditionalFormatting>
  <conditionalFormatting sqref="E38">
    <cfRule type="cellIs" dxfId="5278" priority="26" operator="equal">
      <formula>"YES"</formula>
    </cfRule>
    <cfRule type="cellIs" dxfId="5277" priority="27" operator="equal">
      <formula>"NO"</formula>
    </cfRule>
  </conditionalFormatting>
  <conditionalFormatting sqref="B23">
    <cfRule type="cellIs" dxfId="5276" priority="24" operator="equal">
      <formula>"NO"</formula>
    </cfRule>
    <cfRule type="cellIs" dxfId="5275" priority="25" operator="equal">
      <formula>"YES"</formula>
    </cfRule>
  </conditionalFormatting>
  <conditionalFormatting sqref="B12">
    <cfRule type="containsText" dxfId="5274" priority="10" operator="containsText" text="Low">
      <formula>NOT(ISERROR(SEARCH("Low",B12)))</formula>
    </cfRule>
    <cfRule type="containsText" dxfId="5273" priority="11" operator="containsText" text="Medium">
      <formula>NOT(ISERROR(SEARCH("Medium",B12)))</formula>
    </cfRule>
    <cfRule type="containsText" dxfId="5272" priority="12" operator="containsText" text="High">
      <formula>NOT(ISERROR(SEARCH("High",B12)))</formula>
    </cfRule>
  </conditionalFormatting>
  <conditionalFormatting sqref="B29">
    <cfRule type="cellIs" dxfId="5271" priority="20" operator="between">
      <formula>10%</formula>
      <formula>11.9%</formula>
    </cfRule>
    <cfRule type="cellIs" dxfId="5270" priority="22" operator="lessThan">
      <formula>0.1</formula>
    </cfRule>
    <cfRule type="cellIs" dxfId="5269" priority="23" operator="greaterThanOrEqual">
      <formula>0.12</formula>
    </cfRule>
  </conditionalFormatting>
  <conditionalFormatting sqref="B42">
    <cfRule type="cellIs" dxfId="5268" priority="18" operator="between">
      <formula>0.1</formula>
      <formula>0.1199</formula>
    </cfRule>
    <cfRule type="cellIs" dxfId="5267" priority="19" operator="lessThan">
      <formula>0.1</formula>
    </cfRule>
    <cfRule type="cellIs" dxfId="5266" priority="21" operator="greaterThanOrEqual">
      <formula>0.12</formula>
    </cfRule>
  </conditionalFormatting>
  <conditionalFormatting sqref="B10">
    <cfRule type="containsText" dxfId="5265" priority="13" operator="containsText" text="Full">
      <formula>NOT(ISERROR(SEARCH("Full",B10)))</formula>
    </cfRule>
    <cfRule type="containsText" dxfId="5264" priority="14" operator="containsText" text="Heavy">
      <formula>NOT(ISERROR(SEARCH("Heavy",B10)))</formula>
    </cfRule>
    <cfRule type="containsText" dxfId="5263" priority="15" operator="containsText" text="Medium">
      <formula>NOT(ISERROR(SEARCH("Medium",B10)))</formula>
    </cfRule>
    <cfRule type="containsText" dxfId="5262" priority="16" operator="containsText" text="Light">
      <formula>NOT(ISERROR(SEARCH("Light",B10)))</formula>
    </cfRule>
    <cfRule type="containsText" dxfId="5261" priority="17" operator="containsText" text="None">
      <formula>NOT(ISERROR(SEARCH("None",B10)))</formula>
    </cfRule>
  </conditionalFormatting>
  <conditionalFormatting sqref="B28">
    <cfRule type="cellIs" dxfId="5260" priority="30" operator="lessThan">
      <formula>$B$8*100</formula>
    </cfRule>
    <cfRule type="cellIs" dxfId="5259" priority="31" operator="greaterThanOrEqual">
      <formula>$B$8*100</formula>
    </cfRule>
  </conditionalFormatting>
  <conditionalFormatting sqref="B41">
    <cfRule type="cellIs" dxfId="5258" priority="32" operator="lessThan">
      <formula>$B$8*100</formula>
    </cfRule>
    <cfRule type="cellIs" dxfId="5257" priority="33" operator="greaterThan">
      <formula>$B$8*100</formula>
    </cfRule>
    <cfRule type="cellIs" dxfId="5256" priority="34" operator="greaterThan">
      <formula>$B$8*100</formula>
    </cfRule>
  </conditionalFormatting>
  <conditionalFormatting sqref="B38">
    <cfRule type="cellIs" dxfId="5255" priority="8" operator="equal">
      <formula>"YES"</formula>
    </cfRule>
    <cfRule type="cellIs" dxfId="5254" priority="9" operator="equal">
      <formula>"NO"</formula>
    </cfRule>
  </conditionalFormatting>
  <conditionalFormatting sqref="E23:E26">
    <cfRule type="cellIs" dxfId="5253" priority="4" operator="equal">
      <formula>"NO"</formula>
    </cfRule>
    <cfRule type="cellIs" dxfId="5252" priority="5" operator="equal">
      <formula>"YES"</formula>
    </cfRule>
  </conditionalFormatting>
  <conditionalFormatting sqref="E29">
    <cfRule type="cellIs" dxfId="5251" priority="1" operator="between">
      <formula>10%</formula>
      <formula>12%</formula>
    </cfRule>
    <cfRule type="cellIs" dxfId="5250" priority="2" operator="lessThan">
      <formula>0.1</formula>
    </cfRule>
    <cfRule type="cellIs" dxfId="5249" priority="3" operator="greaterThan">
      <formula>0.12</formula>
    </cfRule>
  </conditionalFormatting>
  <conditionalFormatting sqref="E28">
    <cfRule type="cellIs" dxfId="5248" priority="6" operator="lessThan">
      <formula>$B$8*100</formula>
    </cfRule>
    <cfRule type="cellIs" dxfId="5247" priority="7" operator="greaterThan">
      <formula>$B$8*100</formula>
    </cfRule>
  </conditionalFormatting>
  <hyperlinks>
    <hyperlink ref="A32" r:id="rId1" display="https://www.zillow.com/homes/recently_sold/" xr:uid="{D6B57786-7D1C-4DCA-8A74-6C5BB7A4B7D3}"/>
    <hyperlink ref="A21" r:id="rId2" xr:uid="{4DC8789B-F89F-4681-8F7B-B9283AB05908}"/>
    <hyperlink ref="A25" r:id="rId3" display="www.mortgagecalculator.org" xr:uid="{14C10967-C0B3-4440-B674-A079771651E7}"/>
    <hyperlink ref="A12" r:id="rId4" xr:uid="{3A0C92D7-9D4C-4BC3-9893-BD0F6F521A40}"/>
  </hyperlinks>
  <pageMargins left="0.7" right="0.7" top="0.75" bottom="0.75" header="0.3" footer="0.3"/>
  <legacyDrawing r:id="rId5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DD8A4-8A2A-4EF9-8FD0-017FF9EDDA88}">
  <sheetPr codeName="Sheet87">
    <tabColor rgb="FF92D050"/>
  </sheetPr>
  <dimension ref="A1:P42"/>
  <sheetViews>
    <sheetView topLeftCell="A11" workbookViewId="0">
      <selection activeCell="C28" sqref="C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84915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36000</v>
      </c>
      <c r="D15" s="2"/>
      <c r="E15" s="3"/>
    </row>
    <row r="16" spans="1:10" x14ac:dyDescent="0.25">
      <c r="A16" s="7" t="s">
        <v>20</v>
      </c>
      <c r="B16" s="17">
        <f>B15+B13</f>
        <v>120915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4232.0250000000005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116682.97500000001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780*2</f>
        <v>1560</v>
      </c>
      <c r="D21" s="23" t="s">
        <v>28</v>
      </c>
      <c r="E21" s="8">
        <f>780*2*3/4</f>
        <v>1170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1209.1500000000001</v>
      </c>
      <c r="D22" s="7" t="s">
        <v>77</v>
      </c>
      <c r="E22" s="17">
        <f>B16*0.01</f>
        <v>1209.1500000000001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1039.71</v>
      </c>
      <c r="D25" s="7" t="s">
        <v>38</v>
      </c>
      <c r="E25" s="35">
        <f>B25</f>
        <v>1039.71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1413.71</v>
      </c>
      <c r="D26" s="7" t="s">
        <v>41</v>
      </c>
      <c r="E26" s="17">
        <f>E25+I25+I34</f>
        <v>1413.71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146.28999999999996</v>
      </c>
      <c r="D28" s="7" t="s">
        <v>43</v>
      </c>
      <c r="E28" s="44">
        <f>E21-E25-I25-I34+I24+I33</f>
        <v>-103.71000000000004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0.41480851365481047</v>
      </c>
      <c r="D29" s="46" t="s">
        <v>44</v>
      </c>
      <c r="E29" s="47">
        <f>(E28*12)/B17</f>
        <v>-0.29407198681482277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78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78</v>
      </c>
    </row>
    <row r="32" spans="1:16" x14ac:dyDescent="0.25">
      <c r="A32" s="26" t="s">
        <v>49</v>
      </c>
      <c r="B32" s="8">
        <f>B16</f>
        <v>120915</v>
      </c>
      <c r="G32" s="27" t="s">
        <v>50</v>
      </c>
      <c r="H32" s="48">
        <v>0.05</v>
      </c>
      <c r="I32" s="49">
        <f>$B$21*H32</f>
        <v>78</v>
      </c>
    </row>
    <row r="33" spans="1:9" x14ac:dyDescent="0.25">
      <c r="A33" s="7" t="s">
        <v>51</v>
      </c>
      <c r="B33" s="17">
        <f>B32-B18</f>
        <v>4232.0249999999942</v>
      </c>
      <c r="G33" s="27" t="s">
        <v>52</v>
      </c>
      <c r="H33" s="48"/>
      <c r="I33" s="49">
        <f>$B$21*H33</f>
        <v>0</v>
      </c>
    </row>
    <row r="34" spans="1:9" ht="15.75" thickBot="1" x14ac:dyDescent="0.3">
      <c r="A34" s="7" t="s">
        <v>53</v>
      </c>
      <c r="B34" s="50">
        <f>B33/B17</f>
        <v>0.99999999999999845</v>
      </c>
      <c r="G34" s="36" t="s">
        <v>39</v>
      </c>
      <c r="H34" s="37"/>
      <c r="I34" s="51">
        <f>SUM(I30:I33)</f>
        <v>234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82.650440625000002</v>
      </c>
      <c r="D39" s="58"/>
      <c r="E39" s="61"/>
    </row>
    <row r="40" spans="1:9" x14ac:dyDescent="0.25">
      <c r="A40" s="7" t="s">
        <v>58</v>
      </c>
      <c r="B40" s="17">
        <f>B25-B39</f>
        <v>957.05955937500005</v>
      </c>
      <c r="D40" s="58"/>
      <c r="E40" s="61"/>
    </row>
    <row r="41" spans="1:9" x14ac:dyDescent="0.25">
      <c r="A41" s="7" t="s">
        <v>59</v>
      </c>
      <c r="B41" s="43">
        <f>B21-B40-I25-I34</f>
        <v>228.94044062499995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0.64916565651195324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246" priority="28" operator="equal">
      <formula>"NO"</formula>
    </cfRule>
    <cfRule type="cellIs" dxfId="5245" priority="29" operator="equal">
      <formula>"YES"</formula>
    </cfRule>
  </conditionalFormatting>
  <conditionalFormatting sqref="E38">
    <cfRule type="cellIs" dxfId="5244" priority="26" operator="equal">
      <formula>"YES"</formula>
    </cfRule>
    <cfRule type="cellIs" dxfId="5243" priority="27" operator="equal">
      <formula>"NO"</formula>
    </cfRule>
  </conditionalFormatting>
  <conditionalFormatting sqref="B23">
    <cfRule type="cellIs" dxfId="5242" priority="24" operator="equal">
      <formula>"NO"</formula>
    </cfRule>
    <cfRule type="cellIs" dxfId="5241" priority="25" operator="equal">
      <formula>"YES"</formula>
    </cfRule>
  </conditionalFormatting>
  <conditionalFormatting sqref="B12">
    <cfRule type="containsText" dxfId="5240" priority="10" operator="containsText" text="Low">
      <formula>NOT(ISERROR(SEARCH("Low",B12)))</formula>
    </cfRule>
    <cfRule type="containsText" dxfId="5239" priority="11" operator="containsText" text="Medium">
      <formula>NOT(ISERROR(SEARCH("Medium",B12)))</formula>
    </cfRule>
    <cfRule type="containsText" dxfId="5238" priority="12" operator="containsText" text="High">
      <formula>NOT(ISERROR(SEARCH("High",B12)))</formula>
    </cfRule>
  </conditionalFormatting>
  <conditionalFormatting sqref="B29">
    <cfRule type="cellIs" dxfId="5237" priority="20" operator="between">
      <formula>10%</formula>
      <formula>11.9%</formula>
    </cfRule>
    <cfRule type="cellIs" dxfId="5236" priority="22" operator="lessThan">
      <formula>0.1</formula>
    </cfRule>
    <cfRule type="cellIs" dxfId="5235" priority="23" operator="greaterThanOrEqual">
      <formula>0.12</formula>
    </cfRule>
  </conditionalFormatting>
  <conditionalFormatting sqref="B42">
    <cfRule type="cellIs" dxfId="5234" priority="18" operator="between">
      <formula>0.1</formula>
      <formula>0.1199</formula>
    </cfRule>
    <cfRule type="cellIs" dxfId="5233" priority="19" operator="lessThan">
      <formula>0.1</formula>
    </cfRule>
    <cfRule type="cellIs" dxfId="5232" priority="21" operator="greaterThanOrEqual">
      <formula>0.12</formula>
    </cfRule>
  </conditionalFormatting>
  <conditionalFormatting sqref="B10">
    <cfRule type="containsText" dxfId="5231" priority="13" operator="containsText" text="Full">
      <formula>NOT(ISERROR(SEARCH("Full",B10)))</formula>
    </cfRule>
    <cfRule type="containsText" dxfId="5230" priority="14" operator="containsText" text="Heavy">
      <formula>NOT(ISERROR(SEARCH("Heavy",B10)))</formula>
    </cfRule>
    <cfRule type="containsText" dxfId="5229" priority="15" operator="containsText" text="Medium">
      <formula>NOT(ISERROR(SEARCH("Medium",B10)))</formula>
    </cfRule>
    <cfRule type="containsText" dxfId="5228" priority="16" operator="containsText" text="Light">
      <formula>NOT(ISERROR(SEARCH("Light",B10)))</formula>
    </cfRule>
    <cfRule type="containsText" dxfId="5227" priority="17" operator="containsText" text="None">
      <formula>NOT(ISERROR(SEARCH("None",B10)))</formula>
    </cfRule>
  </conditionalFormatting>
  <conditionalFormatting sqref="B28">
    <cfRule type="cellIs" dxfId="5226" priority="30" operator="lessThan">
      <formula>$B$8*100</formula>
    </cfRule>
    <cfRule type="cellIs" dxfId="5225" priority="31" operator="greaterThanOrEqual">
      <formula>$B$8*100</formula>
    </cfRule>
  </conditionalFormatting>
  <conditionalFormatting sqref="B41">
    <cfRule type="cellIs" dxfId="5224" priority="32" operator="lessThan">
      <formula>$B$8*100</formula>
    </cfRule>
    <cfRule type="cellIs" dxfId="5223" priority="33" operator="greaterThan">
      <formula>$B$8*100</formula>
    </cfRule>
    <cfRule type="cellIs" dxfId="5222" priority="34" operator="greaterThan">
      <formula>$B$8*100</formula>
    </cfRule>
  </conditionalFormatting>
  <conditionalFormatting sqref="B38">
    <cfRule type="cellIs" dxfId="5221" priority="8" operator="equal">
      <formula>"YES"</formula>
    </cfRule>
    <cfRule type="cellIs" dxfId="5220" priority="9" operator="equal">
      <formula>"NO"</formula>
    </cfRule>
  </conditionalFormatting>
  <conditionalFormatting sqref="E23:E26">
    <cfRule type="cellIs" dxfId="5219" priority="4" operator="equal">
      <formula>"NO"</formula>
    </cfRule>
    <cfRule type="cellIs" dxfId="5218" priority="5" operator="equal">
      <formula>"YES"</formula>
    </cfRule>
  </conditionalFormatting>
  <conditionalFormatting sqref="E29">
    <cfRule type="cellIs" dxfId="5217" priority="1" operator="between">
      <formula>10%</formula>
      <formula>12%</formula>
    </cfRule>
    <cfRule type="cellIs" dxfId="5216" priority="2" operator="lessThan">
      <formula>0.1</formula>
    </cfRule>
    <cfRule type="cellIs" dxfId="5215" priority="3" operator="greaterThan">
      <formula>0.12</formula>
    </cfRule>
  </conditionalFormatting>
  <conditionalFormatting sqref="E28">
    <cfRule type="cellIs" dxfId="5214" priority="6" operator="lessThan">
      <formula>$B$8*100</formula>
    </cfRule>
    <cfRule type="cellIs" dxfId="5213" priority="7" operator="greaterThan">
      <formula>$B$8*100</formula>
    </cfRule>
  </conditionalFormatting>
  <hyperlinks>
    <hyperlink ref="A32" r:id="rId1" display="https://www.zillow.com/homes/recently_sold/" xr:uid="{A569502A-D5CB-4073-953A-A614B188712A}"/>
    <hyperlink ref="A21" r:id="rId2" xr:uid="{97AA2E45-8E37-4BF4-ACF4-7E5A8A5E7137}"/>
    <hyperlink ref="A25" r:id="rId3" display="www.mortgagecalculator.org" xr:uid="{31AE9E41-F9CF-40D9-BD8E-049CCEBF0EFC}"/>
    <hyperlink ref="A12" r:id="rId4" xr:uid="{D29556E8-55AD-45C8-B563-BAE03EAEE4C3}"/>
  </hyperlinks>
  <pageMargins left="0.7" right="0.7" top="0.75" bottom="0.75" header="0.3" footer="0.3"/>
  <legacyDrawing r:id="rId5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C9AF0-B870-4288-999F-A0E858C91489}">
  <sheetPr codeName="Sheet88">
    <tabColor rgb="FF92D050"/>
  </sheetPr>
  <dimension ref="A1:P42"/>
  <sheetViews>
    <sheetView topLeftCell="A3" workbookViewId="0">
      <selection activeCell="D35" sqref="D3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74900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1714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63665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42850</v>
      </c>
      <c r="D15" s="2"/>
      <c r="E15" s="3"/>
    </row>
    <row r="16" spans="1:10" x14ac:dyDescent="0.25">
      <c r="A16" s="7" t="s">
        <v>20</v>
      </c>
      <c r="B16" s="17">
        <f>B15+B13</f>
        <v>106515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3728.0250000000005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102786.97500000001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800*2</f>
        <v>1600</v>
      </c>
      <c r="D21" s="23" t="s">
        <v>28</v>
      </c>
      <c r="E21" s="8">
        <f>800+400</f>
        <v>1200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1065.1500000000001</v>
      </c>
      <c r="D22" s="7" t="s">
        <v>77</v>
      </c>
      <c r="E22" s="17">
        <f>B16*0.01</f>
        <v>1065.1500000000001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955.19</v>
      </c>
      <c r="D25" s="7" t="s">
        <v>38</v>
      </c>
      <c r="E25" s="35">
        <f>B25</f>
        <v>955.19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1495.19</v>
      </c>
      <c r="D26" s="7" t="s">
        <v>41</v>
      </c>
      <c r="E26" s="17">
        <f>E25+I25+I34</f>
        <v>1495.19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104.80999999999995</v>
      </c>
      <c r="D28" s="7" t="s">
        <v>43</v>
      </c>
      <c r="E28" s="44">
        <f>E21-E25-I25-I34+I24+I33</f>
        <v>4.8099999999999454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0.33736898223590217</v>
      </c>
      <c r="D29" s="46" t="s">
        <v>44</v>
      </c>
      <c r="E29" s="47">
        <f>(E28*12)/B17</f>
        <v>1.5482728790713404E-2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80</v>
      </c>
    </row>
    <row r="32" spans="1:16" x14ac:dyDescent="0.25">
      <c r="A32" s="26" t="s">
        <v>49</v>
      </c>
      <c r="B32" s="8">
        <v>150000</v>
      </c>
      <c r="G32" s="27" t="s">
        <v>50</v>
      </c>
      <c r="H32" s="48">
        <v>0.05</v>
      </c>
      <c r="I32" s="49">
        <f>$B$21*H32</f>
        <v>80</v>
      </c>
    </row>
    <row r="33" spans="1:9" x14ac:dyDescent="0.25">
      <c r="A33" s="7" t="s">
        <v>51</v>
      </c>
      <c r="B33" s="17">
        <f>B32-B18</f>
        <v>47213.024999999994</v>
      </c>
      <c r="G33" s="27" t="s">
        <v>52</v>
      </c>
      <c r="H33" s="48">
        <v>0.1</v>
      </c>
      <c r="I33" s="49">
        <f>$B$21*H33</f>
        <v>160</v>
      </c>
    </row>
    <row r="34" spans="1:9" ht="15.75" thickBot="1" x14ac:dyDescent="0.3">
      <c r="A34" s="7" t="s">
        <v>53</v>
      </c>
      <c r="B34" s="50">
        <f>B33/B17</f>
        <v>12.664353109220025</v>
      </c>
      <c r="G34" s="36" t="s">
        <v>39</v>
      </c>
      <c r="H34" s="37"/>
      <c r="I34" s="51">
        <f>SUM(I30:I33)</f>
        <v>400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0.68524650000000009</v>
      </c>
      <c r="D37" s="58"/>
      <c r="E37" s="59"/>
    </row>
    <row r="38" spans="1:9" x14ac:dyDescent="0.25">
      <c r="A38" s="7" t="s">
        <v>56</v>
      </c>
      <c r="B38" s="31" t="str">
        <f>IF(B37&lt;0.8, "YES", "NO")</f>
        <v>YES</v>
      </c>
      <c r="D38" s="58"/>
      <c r="E38" s="60"/>
    </row>
    <row r="39" spans="1:9" x14ac:dyDescent="0.25">
      <c r="A39" s="7" t="s">
        <v>57</v>
      </c>
      <c r="B39" s="17">
        <f>(B18*0.0085)/12</f>
        <v>72.807440625000012</v>
      </c>
      <c r="D39" s="58"/>
      <c r="E39" s="61"/>
    </row>
    <row r="40" spans="1:9" x14ac:dyDescent="0.25">
      <c r="A40" s="7" t="s">
        <v>58</v>
      </c>
      <c r="B40" s="17">
        <f>B25-B39</f>
        <v>882.38255937500003</v>
      </c>
      <c r="D40" s="58"/>
      <c r="E40" s="61"/>
    </row>
    <row r="41" spans="1:9" x14ac:dyDescent="0.25">
      <c r="A41" s="7" t="s">
        <v>59</v>
      </c>
      <c r="B41" s="43">
        <f>B21-B40-I25-I34</f>
        <v>177.61744062499997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0.5717261250930451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212" priority="28" operator="equal">
      <formula>"NO"</formula>
    </cfRule>
    <cfRule type="cellIs" dxfId="5211" priority="29" operator="equal">
      <formula>"YES"</formula>
    </cfRule>
  </conditionalFormatting>
  <conditionalFormatting sqref="E38">
    <cfRule type="cellIs" dxfId="5210" priority="26" operator="equal">
      <formula>"YES"</formula>
    </cfRule>
    <cfRule type="cellIs" dxfId="5209" priority="27" operator="equal">
      <formula>"NO"</formula>
    </cfRule>
  </conditionalFormatting>
  <conditionalFormatting sqref="B23">
    <cfRule type="cellIs" dxfId="5208" priority="24" operator="equal">
      <formula>"NO"</formula>
    </cfRule>
    <cfRule type="cellIs" dxfId="5207" priority="25" operator="equal">
      <formula>"YES"</formula>
    </cfRule>
  </conditionalFormatting>
  <conditionalFormatting sqref="B12">
    <cfRule type="containsText" dxfId="5206" priority="10" operator="containsText" text="Low">
      <formula>NOT(ISERROR(SEARCH("Low",B12)))</formula>
    </cfRule>
    <cfRule type="containsText" dxfId="5205" priority="11" operator="containsText" text="Medium">
      <formula>NOT(ISERROR(SEARCH("Medium",B12)))</formula>
    </cfRule>
    <cfRule type="containsText" dxfId="5204" priority="12" operator="containsText" text="High">
      <formula>NOT(ISERROR(SEARCH("High",B12)))</formula>
    </cfRule>
  </conditionalFormatting>
  <conditionalFormatting sqref="B29">
    <cfRule type="cellIs" dxfId="5203" priority="20" operator="between">
      <formula>10%</formula>
      <formula>11.9%</formula>
    </cfRule>
    <cfRule type="cellIs" dxfId="5202" priority="22" operator="lessThan">
      <formula>0.1</formula>
    </cfRule>
    <cfRule type="cellIs" dxfId="5201" priority="23" operator="greaterThanOrEqual">
      <formula>0.12</formula>
    </cfRule>
  </conditionalFormatting>
  <conditionalFormatting sqref="B42">
    <cfRule type="cellIs" dxfId="5200" priority="18" operator="between">
      <formula>0.1</formula>
      <formula>0.1199</formula>
    </cfRule>
    <cfRule type="cellIs" dxfId="5199" priority="19" operator="lessThan">
      <formula>0.1</formula>
    </cfRule>
    <cfRule type="cellIs" dxfId="5198" priority="21" operator="greaterThanOrEqual">
      <formula>0.12</formula>
    </cfRule>
  </conditionalFormatting>
  <conditionalFormatting sqref="B10">
    <cfRule type="containsText" dxfId="5197" priority="13" operator="containsText" text="Full">
      <formula>NOT(ISERROR(SEARCH("Full",B10)))</formula>
    </cfRule>
    <cfRule type="containsText" dxfId="5196" priority="14" operator="containsText" text="Heavy">
      <formula>NOT(ISERROR(SEARCH("Heavy",B10)))</formula>
    </cfRule>
    <cfRule type="containsText" dxfId="5195" priority="15" operator="containsText" text="Medium">
      <formula>NOT(ISERROR(SEARCH("Medium",B10)))</formula>
    </cfRule>
    <cfRule type="containsText" dxfId="5194" priority="16" operator="containsText" text="Light">
      <formula>NOT(ISERROR(SEARCH("Light",B10)))</formula>
    </cfRule>
    <cfRule type="containsText" dxfId="5193" priority="17" operator="containsText" text="None">
      <formula>NOT(ISERROR(SEARCH("None",B10)))</formula>
    </cfRule>
  </conditionalFormatting>
  <conditionalFormatting sqref="B28">
    <cfRule type="cellIs" dxfId="5192" priority="30" operator="lessThan">
      <formula>$B$8*100</formula>
    </cfRule>
    <cfRule type="cellIs" dxfId="5191" priority="31" operator="greaterThanOrEqual">
      <formula>$B$8*100</formula>
    </cfRule>
  </conditionalFormatting>
  <conditionalFormatting sqref="B41">
    <cfRule type="cellIs" dxfId="5190" priority="32" operator="lessThan">
      <formula>$B$8*100</formula>
    </cfRule>
    <cfRule type="cellIs" dxfId="5189" priority="33" operator="greaterThan">
      <formula>$B$8*100</formula>
    </cfRule>
    <cfRule type="cellIs" dxfId="5188" priority="34" operator="greaterThan">
      <formula>$B$8*100</formula>
    </cfRule>
  </conditionalFormatting>
  <conditionalFormatting sqref="B38">
    <cfRule type="cellIs" dxfId="5187" priority="8" operator="equal">
      <formula>"YES"</formula>
    </cfRule>
    <cfRule type="cellIs" dxfId="5186" priority="9" operator="equal">
      <formula>"NO"</formula>
    </cfRule>
  </conditionalFormatting>
  <conditionalFormatting sqref="E23:E26">
    <cfRule type="cellIs" dxfId="5185" priority="4" operator="equal">
      <formula>"NO"</formula>
    </cfRule>
    <cfRule type="cellIs" dxfId="5184" priority="5" operator="equal">
      <formula>"YES"</formula>
    </cfRule>
  </conditionalFormatting>
  <conditionalFormatting sqref="E29">
    <cfRule type="cellIs" dxfId="5183" priority="1" operator="between">
      <formula>10%</formula>
      <formula>12%</formula>
    </cfRule>
    <cfRule type="cellIs" dxfId="5182" priority="2" operator="lessThan">
      <formula>0.1</formula>
    </cfRule>
    <cfRule type="cellIs" dxfId="5181" priority="3" operator="greaterThan">
      <formula>0.12</formula>
    </cfRule>
  </conditionalFormatting>
  <conditionalFormatting sqref="E28">
    <cfRule type="cellIs" dxfId="5180" priority="6" operator="lessThan">
      <formula>$B$8*100</formula>
    </cfRule>
    <cfRule type="cellIs" dxfId="5179" priority="7" operator="greaterThan">
      <formula>$B$8*100</formula>
    </cfRule>
  </conditionalFormatting>
  <hyperlinks>
    <hyperlink ref="A32" r:id="rId1" display="https://www.zillow.com/homes/recently_sold/" xr:uid="{27943AF7-870A-47AE-9AC9-40003BA47337}"/>
    <hyperlink ref="A21" r:id="rId2" xr:uid="{662A318D-515E-4BA3-BFEE-25C7359F7AF8}"/>
    <hyperlink ref="A25" r:id="rId3" display="www.mortgagecalculator.org" xr:uid="{3FE9860A-F1C2-4248-A694-B0C392AF4CFB}"/>
    <hyperlink ref="A12" r:id="rId4" xr:uid="{53958C43-86A7-423E-99D9-298F30A3CE99}"/>
  </hyperlinks>
  <pageMargins left="0.7" right="0.7" top="0.75" bottom="0.75" header="0.3" footer="0.3"/>
  <legacyDrawing r:id="rId5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7E532-B5E2-4763-A0A7-FA9541D9DFDB}">
  <sheetPr codeName="Sheet89">
    <tabColor rgb="FF92D050"/>
  </sheetPr>
  <dimension ref="A1:P42"/>
  <sheetViews>
    <sheetView topLeftCell="A2" workbookViewId="0">
      <selection activeCell="C33" sqref="C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2808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72250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42120</v>
      </c>
      <c r="D15" s="2"/>
      <c r="E15" s="3"/>
    </row>
    <row r="16" spans="1:10" x14ac:dyDescent="0.25">
      <c r="A16" s="7" t="s">
        <v>20</v>
      </c>
      <c r="B16" s="17">
        <f>B15+B13</f>
        <v>114370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4002.9500000000003</v>
      </c>
      <c r="D17" s="19"/>
      <c r="E17" s="20"/>
      <c r="P17" s="21"/>
    </row>
    <row r="18" spans="1:16" x14ac:dyDescent="0.25">
      <c r="A18" s="7" t="s">
        <v>23</v>
      </c>
      <c r="B18" s="17">
        <f>B16-B17</f>
        <v>110367.05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(620*2)+(775*2)</f>
        <v>2790</v>
      </c>
      <c r="D21" s="23" t="s">
        <v>28</v>
      </c>
      <c r="E21" s="8">
        <f>620+775</f>
        <v>1395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1143.7</v>
      </c>
      <c r="D22" s="7" t="s">
        <v>77</v>
      </c>
      <c r="E22" s="17">
        <f>B16*0.01</f>
        <v>1143.7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1021.75</v>
      </c>
      <c r="D25" s="7" t="s">
        <v>38</v>
      </c>
      <c r="E25" s="35">
        <f>B25</f>
        <v>1021.75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1859.25</v>
      </c>
      <c r="D26" s="7" t="s">
        <v>41</v>
      </c>
      <c r="E26" s="17">
        <f>E25+I25+I34</f>
        <v>1859.25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930.75</v>
      </c>
      <c r="D28" s="7" t="s">
        <v>43</v>
      </c>
      <c r="E28" s="44">
        <f>E21-E25-I25-I34+I24+I33</f>
        <v>-45.25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2.790192233227994</v>
      </c>
      <c r="D29" s="46" t="s">
        <v>44</v>
      </c>
      <c r="E29" s="47">
        <f>(E28*12)/B17</f>
        <v>-0.13564995815586003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139.5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139.5</v>
      </c>
    </row>
    <row r="32" spans="1:16" x14ac:dyDescent="0.25">
      <c r="A32" s="26" t="s">
        <v>49</v>
      </c>
      <c r="B32" s="8">
        <v>119000</v>
      </c>
      <c r="G32" s="27" t="s">
        <v>50</v>
      </c>
      <c r="H32" s="48">
        <v>0.05</v>
      </c>
      <c r="I32" s="49">
        <f>$B$21*H32</f>
        <v>139.5</v>
      </c>
    </row>
    <row r="33" spans="1:9" x14ac:dyDescent="0.25">
      <c r="A33" s="7" t="s">
        <v>51</v>
      </c>
      <c r="B33" s="17">
        <f>B32-B18</f>
        <v>8632.9499999999971</v>
      </c>
      <c r="G33" s="27" t="s">
        <v>52</v>
      </c>
      <c r="H33" s="48">
        <v>0.1</v>
      </c>
      <c r="I33" s="49">
        <f>$B$21*H33</f>
        <v>279</v>
      </c>
    </row>
    <row r="34" spans="1:9" ht="15.75" thickBot="1" x14ac:dyDescent="0.3">
      <c r="A34" s="7" t="s">
        <v>53</v>
      </c>
      <c r="B34" s="50">
        <f>B33/B17</f>
        <v>2.1566469728575166</v>
      </c>
      <c r="G34" s="36" t="s">
        <v>39</v>
      </c>
      <c r="H34" s="37"/>
      <c r="I34" s="51">
        <f>SUM(I30:I33)</f>
        <v>697.5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0.92745420168067227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78.176660416666678</v>
      </c>
      <c r="D39" s="58"/>
      <c r="E39" s="61"/>
    </row>
    <row r="40" spans="1:9" x14ac:dyDescent="0.25">
      <c r="A40" s="7" t="s">
        <v>58</v>
      </c>
      <c r="B40" s="17">
        <f>B25-B39</f>
        <v>943.57333958333334</v>
      </c>
      <c r="D40" s="58"/>
      <c r="E40" s="61"/>
    </row>
    <row r="41" spans="1:9" x14ac:dyDescent="0.25">
      <c r="A41" s="7" t="s">
        <v>59</v>
      </c>
      <c r="B41" s="43">
        <f>B21-B40-I25-I34</f>
        <v>1008.9266604166667</v>
      </c>
      <c r="D41" s="58"/>
      <c r="E41" s="61"/>
    </row>
    <row r="42" spans="1:9" ht="15.75" thickBot="1" x14ac:dyDescent="0.3">
      <c r="A42" s="46" t="s">
        <v>44</v>
      </c>
      <c r="B42" s="47">
        <f>(B41*12)/B17</f>
        <v>3.0245493760851367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178" priority="28" operator="equal">
      <formula>"NO"</formula>
    </cfRule>
    <cfRule type="cellIs" dxfId="5177" priority="29" operator="equal">
      <formula>"YES"</formula>
    </cfRule>
  </conditionalFormatting>
  <conditionalFormatting sqref="E38">
    <cfRule type="cellIs" dxfId="5176" priority="26" operator="equal">
      <formula>"YES"</formula>
    </cfRule>
    <cfRule type="cellIs" dxfId="5175" priority="27" operator="equal">
      <formula>"NO"</formula>
    </cfRule>
  </conditionalFormatting>
  <conditionalFormatting sqref="B23">
    <cfRule type="cellIs" dxfId="5174" priority="24" operator="equal">
      <formula>"NO"</formula>
    </cfRule>
    <cfRule type="cellIs" dxfId="5173" priority="25" operator="equal">
      <formula>"YES"</formula>
    </cfRule>
  </conditionalFormatting>
  <conditionalFormatting sqref="B12">
    <cfRule type="containsText" dxfId="5172" priority="10" operator="containsText" text="Low">
      <formula>NOT(ISERROR(SEARCH("Low",B12)))</formula>
    </cfRule>
    <cfRule type="containsText" dxfId="5171" priority="11" operator="containsText" text="Medium">
      <formula>NOT(ISERROR(SEARCH("Medium",B12)))</formula>
    </cfRule>
    <cfRule type="containsText" dxfId="5170" priority="12" operator="containsText" text="High">
      <formula>NOT(ISERROR(SEARCH("High",B12)))</formula>
    </cfRule>
  </conditionalFormatting>
  <conditionalFormatting sqref="B29">
    <cfRule type="cellIs" dxfId="5169" priority="20" operator="between">
      <formula>10%</formula>
      <formula>11.9%</formula>
    </cfRule>
    <cfRule type="cellIs" dxfId="5168" priority="22" operator="lessThan">
      <formula>0.1</formula>
    </cfRule>
    <cfRule type="cellIs" dxfId="5167" priority="23" operator="greaterThanOrEqual">
      <formula>0.12</formula>
    </cfRule>
  </conditionalFormatting>
  <conditionalFormatting sqref="B42">
    <cfRule type="cellIs" dxfId="5166" priority="18" operator="between">
      <formula>0.1</formula>
      <formula>0.1199</formula>
    </cfRule>
    <cfRule type="cellIs" dxfId="5165" priority="19" operator="lessThan">
      <formula>0.1</formula>
    </cfRule>
    <cfRule type="cellIs" dxfId="5164" priority="21" operator="greaterThanOrEqual">
      <formula>0.12</formula>
    </cfRule>
  </conditionalFormatting>
  <conditionalFormatting sqref="B10">
    <cfRule type="containsText" dxfId="5163" priority="13" operator="containsText" text="Full">
      <formula>NOT(ISERROR(SEARCH("Full",B10)))</formula>
    </cfRule>
    <cfRule type="containsText" dxfId="5162" priority="14" operator="containsText" text="Heavy">
      <formula>NOT(ISERROR(SEARCH("Heavy",B10)))</formula>
    </cfRule>
    <cfRule type="containsText" dxfId="5161" priority="15" operator="containsText" text="Medium">
      <formula>NOT(ISERROR(SEARCH("Medium",B10)))</formula>
    </cfRule>
    <cfRule type="containsText" dxfId="5160" priority="16" operator="containsText" text="Light">
      <formula>NOT(ISERROR(SEARCH("Light",B10)))</formula>
    </cfRule>
    <cfRule type="containsText" dxfId="5159" priority="17" operator="containsText" text="None">
      <formula>NOT(ISERROR(SEARCH("None",B10)))</formula>
    </cfRule>
  </conditionalFormatting>
  <conditionalFormatting sqref="B28">
    <cfRule type="cellIs" dxfId="5158" priority="30" operator="lessThan">
      <formula>$B$8*100</formula>
    </cfRule>
    <cfRule type="cellIs" dxfId="5157" priority="31" operator="greaterThanOrEqual">
      <formula>$B$8*100</formula>
    </cfRule>
  </conditionalFormatting>
  <conditionalFormatting sqref="B41">
    <cfRule type="cellIs" dxfId="5156" priority="32" operator="lessThan">
      <formula>$B$8*100</formula>
    </cfRule>
    <cfRule type="cellIs" dxfId="5155" priority="33" operator="greaterThan">
      <formula>$B$8*100</formula>
    </cfRule>
    <cfRule type="cellIs" dxfId="5154" priority="34" operator="greaterThan">
      <formula>$B$8*100</formula>
    </cfRule>
  </conditionalFormatting>
  <conditionalFormatting sqref="B38">
    <cfRule type="cellIs" dxfId="5153" priority="8" operator="equal">
      <formula>"YES"</formula>
    </cfRule>
    <cfRule type="cellIs" dxfId="5152" priority="9" operator="equal">
      <formula>"NO"</formula>
    </cfRule>
  </conditionalFormatting>
  <conditionalFormatting sqref="E23:E26">
    <cfRule type="cellIs" dxfId="5151" priority="4" operator="equal">
      <formula>"NO"</formula>
    </cfRule>
    <cfRule type="cellIs" dxfId="5150" priority="5" operator="equal">
      <formula>"YES"</formula>
    </cfRule>
  </conditionalFormatting>
  <conditionalFormatting sqref="E29">
    <cfRule type="cellIs" dxfId="5149" priority="1" operator="between">
      <formula>10%</formula>
      <formula>12%</formula>
    </cfRule>
    <cfRule type="cellIs" dxfId="5148" priority="2" operator="lessThan">
      <formula>0.1</formula>
    </cfRule>
    <cfRule type="cellIs" dxfId="5147" priority="3" operator="greaterThan">
      <formula>0.12</formula>
    </cfRule>
  </conditionalFormatting>
  <conditionalFormatting sqref="E28">
    <cfRule type="cellIs" dxfId="5146" priority="6" operator="lessThan">
      <formula>$B$8*100</formula>
    </cfRule>
    <cfRule type="cellIs" dxfId="5145" priority="7" operator="greaterThan">
      <formula>$B$8*100</formula>
    </cfRule>
  </conditionalFormatting>
  <hyperlinks>
    <hyperlink ref="A32" r:id="rId1" display="https://www.zillow.com/homes/recently_sold/" xr:uid="{4B759FCF-C95E-468F-9844-7846BBEB1587}"/>
    <hyperlink ref="A21" r:id="rId2" xr:uid="{995C7CD1-92CA-429B-9568-769DAB2FFA3D}"/>
    <hyperlink ref="A25" r:id="rId3" display="www.mortgagecalculator.org" xr:uid="{EFFA10A2-87EC-4642-A1C1-64DF8A999515}"/>
    <hyperlink ref="A12" r:id="rId4" xr:uid="{23701222-EC89-4195-94D6-17D70AE4EC5C}"/>
  </hyperlinks>
  <pageMargins left="0.7" right="0.7" top="0.75" bottom="0.75" header="0.3" footer="0.3"/>
  <legacyDrawing r:id="rId5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39803-AB7A-41AD-B671-DEEE0C2942C4}">
  <sheetPr codeName="Sheet90">
    <tabColor rgb="FF92D050"/>
  </sheetPr>
  <dimension ref="A1:P42"/>
  <sheetViews>
    <sheetView topLeftCell="A11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179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5000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80665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125000</v>
      </c>
      <c r="D15" s="2"/>
      <c r="E15" s="3"/>
    </row>
    <row r="16" spans="1:10" x14ac:dyDescent="0.25">
      <c r="A16" s="7" t="s">
        <v>20</v>
      </c>
      <c r="B16" s="17">
        <f>B15+B13</f>
        <v>205665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7198.2750000000005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198466.72500000001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700*4</f>
        <v>2800</v>
      </c>
      <c r="D21" s="23" t="s">
        <v>28</v>
      </c>
      <c r="E21" s="8">
        <f>700*4*7/8</f>
        <v>2450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2056.65</v>
      </c>
      <c r="D22" s="7" t="s">
        <v>77</v>
      </c>
      <c r="E22" s="17">
        <f>B16*0.01</f>
        <v>2056.65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1529.76</v>
      </c>
      <c r="D25" s="7" t="s">
        <v>38</v>
      </c>
      <c r="E25" s="35">
        <f>B25</f>
        <v>1529.76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2369.7600000000002</v>
      </c>
      <c r="D26" s="7" t="s">
        <v>41</v>
      </c>
      <c r="E26" s="17">
        <f>E25+I25+I34</f>
        <v>2369.7600000000002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430.23999999999978</v>
      </c>
      <c r="D28" s="7" t="s">
        <v>43</v>
      </c>
      <c r="E28" s="44">
        <f>E21-E25-I25-I34+I24+I33</f>
        <v>500.24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0.71723850505850317</v>
      </c>
      <c r="D29" s="46" t="s">
        <v>44</v>
      </c>
      <c r="E29" s="47">
        <f>(E28*12)/B17</f>
        <v>0.83393312981235079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140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140</v>
      </c>
    </row>
    <row r="32" spans="1:16" x14ac:dyDescent="0.25">
      <c r="A32" s="26" t="s">
        <v>49</v>
      </c>
      <c r="B32" s="8">
        <f>B16</f>
        <v>205665</v>
      </c>
      <c r="G32" s="27" t="s">
        <v>50</v>
      </c>
      <c r="H32" s="48">
        <v>0.05</v>
      </c>
      <c r="I32" s="49">
        <f>$B$21*H32</f>
        <v>140</v>
      </c>
    </row>
    <row r="33" spans="1:9" x14ac:dyDescent="0.25">
      <c r="A33" s="7" t="s">
        <v>51</v>
      </c>
      <c r="B33" s="17">
        <f>B32-B18</f>
        <v>7198.2749999999942</v>
      </c>
      <c r="G33" s="27" t="s">
        <v>52</v>
      </c>
      <c r="H33" s="48">
        <v>0.1</v>
      </c>
      <c r="I33" s="49">
        <f>$B$21*H33</f>
        <v>280</v>
      </c>
    </row>
    <row r="34" spans="1:9" ht="15.75" thickBot="1" x14ac:dyDescent="0.3">
      <c r="A34" s="7" t="s">
        <v>53</v>
      </c>
      <c r="B34" s="50">
        <f>B33/B17</f>
        <v>0.99999999999999911</v>
      </c>
      <c r="G34" s="36" t="s">
        <v>39</v>
      </c>
      <c r="H34" s="37"/>
      <c r="I34" s="51">
        <f>SUM(I30:I33)</f>
        <v>700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140.580596875</v>
      </c>
      <c r="D39" s="58"/>
      <c r="E39" s="61"/>
    </row>
    <row r="40" spans="1:9" x14ac:dyDescent="0.25">
      <c r="A40" s="7" t="s">
        <v>58</v>
      </c>
      <c r="B40" s="17">
        <f>B25-B39</f>
        <v>1389.1794031249999</v>
      </c>
      <c r="D40" s="58"/>
      <c r="E40" s="61"/>
    </row>
    <row r="41" spans="1:9" x14ac:dyDescent="0.25">
      <c r="A41" s="7" t="s">
        <v>59</v>
      </c>
      <c r="B41" s="43">
        <f>B21-B40-I25-I34</f>
        <v>570.82059687500009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0.95159564791564655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144" priority="28" operator="equal">
      <formula>"NO"</formula>
    </cfRule>
    <cfRule type="cellIs" dxfId="5143" priority="29" operator="equal">
      <formula>"YES"</formula>
    </cfRule>
  </conditionalFormatting>
  <conditionalFormatting sqref="E38">
    <cfRule type="cellIs" dxfId="5142" priority="26" operator="equal">
      <formula>"YES"</formula>
    </cfRule>
    <cfRule type="cellIs" dxfId="5141" priority="27" operator="equal">
      <formula>"NO"</formula>
    </cfRule>
  </conditionalFormatting>
  <conditionalFormatting sqref="B23">
    <cfRule type="cellIs" dxfId="5140" priority="24" operator="equal">
      <formula>"NO"</formula>
    </cfRule>
    <cfRule type="cellIs" dxfId="5139" priority="25" operator="equal">
      <formula>"YES"</formula>
    </cfRule>
  </conditionalFormatting>
  <conditionalFormatting sqref="B12">
    <cfRule type="containsText" dxfId="5138" priority="10" operator="containsText" text="Low">
      <formula>NOT(ISERROR(SEARCH("Low",B12)))</formula>
    </cfRule>
    <cfRule type="containsText" dxfId="5137" priority="11" operator="containsText" text="Medium">
      <formula>NOT(ISERROR(SEARCH("Medium",B12)))</formula>
    </cfRule>
    <cfRule type="containsText" dxfId="5136" priority="12" operator="containsText" text="High">
      <formula>NOT(ISERROR(SEARCH("High",B12)))</formula>
    </cfRule>
  </conditionalFormatting>
  <conditionalFormatting sqref="B29">
    <cfRule type="cellIs" dxfId="5135" priority="20" operator="between">
      <formula>10%</formula>
      <formula>11.9%</formula>
    </cfRule>
    <cfRule type="cellIs" dxfId="5134" priority="22" operator="lessThan">
      <formula>0.1</formula>
    </cfRule>
    <cfRule type="cellIs" dxfId="5133" priority="23" operator="greaterThanOrEqual">
      <formula>0.12</formula>
    </cfRule>
  </conditionalFormatting>
  <conditionalFormatting sqref="B42">
    <cfRule type="cellIs" dxfId="5132" priority="18" operator="between">
      <formula>0.1</formula>
      <formula>0.1199</formula>
    </cfRule>
    <cfRule type="cellIs" dxfId="5131" priority="19" operator="lessThan">
      <formula>0.1</formula>
    </cfRule>
    <cfRule type="cellIs" dxfId="5130" priority="21" operator="greaterThanOrEqual">
      <formula>0.12</formula>
    </cfRule>
  </conditionalFormatting>
  <conditionalFormatting sqref="B10">
    <cfRule type="containsText" dxfId="5129" priority="13" operator="containsText" text="Full">
      <formula>NOT(ISERROR(SEARCH("Full",B10)))</formula>
    </cfRule>
    <cfRule type="containsText" dxfId="5128" priority="14" operator="containsText" text="Heavy">
      <formula>NOT(ISERROR(SEARCH("Heavy",B10)))</formula>
    </cfRule>
    <cfRule type="containsText" dxfId="5127" priority="15" operator="containsText" text="Medium">
      <formula>NOT(ISERROR(SEARCH("Medium",B10)))</formula>
    </cfRule>
    <cfRule type="containsText" dxfId="5126" priority="16" operator="containsText" text="Light">
      <formula>NOT(ISERROR(SEARCH("Light",B10)))</formula>
    </cfRule>
    <cfRule type="containsText" dxfId="5125" priority="17" operator="containsText" text="None">
      <formula>NOT(ISERROR(SEARCH("None",B10)))</formula>
    </cfRule>
  </conditionalFormatting>
  <conditionalFormatting sqref="B28">
    <cfRule type="cellIs" dxfId="5124" priority="30" operator="lessThan">
      <formula>$B$8*100</formula>
    </cfRule>
    <cfRule type="cellIs" dxfId="5123" priority="31" operator="greaterThanOrEqual">
      <formula>$B$8*100</formula>
    </cfRule>
  </conditionalFormatting>
  <conditionalFormatting sqref="B41">
    <cfRule type="cellIs" dxfId="5122" priority="32" operator="lessThan">
      <formula>$B$8*100</formula>
    </cfRule>
    <cfRule type="cellIs" dxfId="5121" priority="33" operator="greaterThan">
      <formula>$B$8*100</formula>
    </cfRule>
    <cfRule type="cellIs" dxfId="5120" priority="34" operator="greaterThan">
      <formula>$B$8*100</formula>
    </cfRule>
  </conditionalFormatting>
  <conditionalFormatting sqref="B38">
    <cfRule type="cellIs" dxfId="5119" priority="8" operator="equal">
      <formula>"YES"</formula>
    </cfRule>
    <cfRule type="cellIs" dxfId="5118" priority="9" operator="equal">
      <formula>"NO"</formula>
    </cfRule>
  </conditionalFormatting>
  <conditionalFormatting sqref="E23:E26">
    <cfRule type="cellIs" dxfId="5117" priority="4" operator="equal">
      <formula>"NO"</formula>
    </cfRule>
    <cfRule type="cellIs" dxfId="5116" priority="5" operator="equal">
      <formula>"YES"</formula>
    </cfRule>
  </conditionalFormatting>
  <conditionalFormatting sqref="E29">
    <cfRule type="cellIs" dxfId="5115" priority="1" operator="between">
      <formula>10%</formula>
      <formula>12%</formula>
    </cfRule>
    <cfRule type="cellIs" dxfId="5114" priority="2" operator="lessThan">
      <formula>0.1</formula>
    </cfRule>
    <cfRule type="cellIs" dxfId="5113" priority="3" operator="greaterThan">
      <formula>0.12</formula>
    </cfRule>
  </conditionalFormatting>
  <conditionalFormatting sqref="E28">
    <cfRule type="cellIs" dxfId="5112" priority="6" operator="lessThan">
      <formula>$B$8*100</formula>
    </cfRule>
    <cfRule type="cellIs" dxfId="5111" priority="7" operator="greaterThan">
      <formula>$B$8*100</formula>
    </cfRule>
  </conditionalFormatting>
  <hyperlinks>
    <hyperlink ref="A32" r:id="rId1" display="https://www.zillow.com/homes/recently_sold/" xr:uid="{FC6A8398-CFB6-47B4-97C9-9F36F691F99C}"/>
    <hyperlink ref="A21" r:id="rId2" xr:uid="{5B439EF8-8239-45AC-B998-D459898EFD35}"/>
    <hyperlink ref="A25" r:id="rId3" display="www.mortgagecalculator.org" xr:uid="{F7F4FAAD-9B17-4E49-8967-59A742559FCC}"/>
    <hyperlink ref="A12" r:id="rId4" xr:uid="{097DD98C-5320-4FD2-9890-9F518DC2E55B}"/>
  </hyperlinks>
  <pageMargins left="0.7" right="0.7" top="0.75" bottom="0.75" header="0.3" footer="0.3"/>
  <legacyDrawing r:id="rId5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4DC69-DA4A-49A1-9081-28E01E277E00}">
  <sheetPr codeName="Sheet91">
    <tabColor rgb="FF00B050"/>
  </sheetPr>
  <dimension ref="A1:P42"/>
  <sheetViews>
    <sheetView topLeftCell="A27" workbookViewId="0">
      <selection activeCell="B47" sqref="B4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8000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239900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239900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11995</v>
      </c>
      <c r="D17" s="19"/>
      <c r="E17" s="20"/>
      <c r="P17" s="21"/>
    </row>
    <row r="18" spans="1:16" x14ac:dyDescent="0.25">
      <c r="A18" s="7" t="s">
        <v>23</v>
      </c>
      <c r="B18" s="17">
        <f>B16-B17</f>
        <v>227905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(605*2)+(900*2)</f>
        <v>3010</v>
      </c>
      <c r="D21" s="23" t="s">
        <v>28</v>
      </c>
      <c r="E21" s="8">
        <f>(605)+(900*2)</f>
        <v>2405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2399</v>
      </c>
      <c r="D22" s="7" t="s">
        <v>77</v>
      </c>
      <c r="E22" s="17">
        <f>B16*0.01</f>
        <v>2399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1649.17</v>
      </c>
      <c r="D25" s="7" t="s">
        <v>38</v>
      </c>
      <c r="E25" s="35">
        <f>B25</f>
        <v>1649.17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2521.67</v>
      </c>
      <c r="D26" s="7" t="s">
        <v>41</v>
      </c>
      <c r="E26" s="17">
        <f>E25+I25+I34</f>
        <v>2521.67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488.32999999999993</v>
      </c>
      <c r="D28" s="7" t="s">
        <v>43</v>
      </c>
      <c r="E28" s="44">
        <f>E21-E25-I25-I34+I24+I33</f>
        <v>304.32999999999993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0.48853355564818668</v>
      </c>
      <c r="D29" s="46" t="s">
        <v>44</v>
      </c>
      <c r="E29" s="47">
        <f>(E28*12)/B17</f>
        <v>0.30445685702375985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150.5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150.5</v>
      </c>
    </row>
    <row r="32" spans="1:16" x14ac:dyDescent="0.25">
      <c r="A32" s="26" t="s">
        <v>49</v>
      </c>
      <c r="B32" s="8">
        <f>B16</f>
        <v>239900</v>
      </c>
      <c r="G32" s="27" t="s">
        <v>50</v>
      </c>
      <c r="H32" s="48">
        <v>0.05</v>
      </c>
      <c r="I32" s="49">
        <f>$B$21*H32</f>
        <v>150.5</v>
      </c>
    </row>
    <row r="33" spans="1:9" x14ac:dyDescent="0.25">
      <c r="A33" s="7" t="s">
        <v>51</v>
      </c>
      <c r="B33" s="17">
        <f>B32-B18</f>
        <v>11995</v>
      </c>
      <c r="G33" s="27" t="s">
        <v>52</v>
      </c>
      <c r="H33" s="48">
        <v>0.1</v>
      </c>
      <c r="I33" s="49">
        <f>$B$21*H33</f>
        <v>301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752.5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161.43270833333335</v>
      </c>
      <c r="D39" s="58"/>
      <c r="E39" s="61"/>
    </row>
    <row r="40" spans="1:9" x14ac:dyDescent="0.25">
      <c r="A40" s="7" t="s">
        <v>58</v>
      </c>
      <c r="B40" s="17">
        <f>B25-B39</f>
        <v>1487.7372916666668</v>
      </c>
      <c r="D40" s="58"/>
      <c r="E40" s="61"/>
    </row>
    <row r="41" spans="1:9" x14ac:dyDescent="0.25">
      <c r="A41" s="7" t="s">
        <v>59</v>
      </c>
      <c r="B41" s="43">
        <f>B21-B40-I25-I34</f>
        <v>649.76270833333319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0.65003355564818666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110" priority="28" operator="equal">
      <formula>"NO"</formula>
    </cfRule>
    <cfRule type="cellIs" dxfId="5109" priority="29" operator="equal">
      <formula>"YES"</formula>
    </cfRule>
  </conditionalFormatting>
  <conditionalFormatting sqref="E38">
    <cfRule type="cellIs" dxfId="5108" priority="26" operator="equal">
      <formula>"YES"</formula>
    </cfRule>
    <cfRule type="cellIs" dxfId="5107" priority="27" operator="equal">
      <formula>"NO"</formula>
    </cfRule>
  </conditionalFormatting>
  <conditionalFormatting sqref="B23">
    <cfRule type="cellIs" dxfId="5106" priority="24" operator="equal">
      <formula>"NO"</formula>
    </cfRule>
    <cfRule type="cellIs" dxfId="5105" priority="25" operator="equal">
      <formula>"YES"</formula>
    </cfRule>
  </conditionalFormatting>
  <conditionalFormatting sqref="B12">
    <cfRule type="containsText" dxfId="5104" priority="10" operator="containsText" text="Low">
      <formula>NOT(ISERROR(SEARCH("Low",B12)))</formula>
    </cfRule>
    <cfRule type="containsText" dxfId="5103" priority="11" operator="containsText" text="Medium">
      <formula>NOT(ISERROR(SEARCH("Medium",B12)))</formula>
    </cfRule>
    <cfRule type="containsText" dxfId="5102" priority="12" operator="containsText" text="High">
      <formula>NOT(ISERROR(SEARCH("High",B12)))</formula>
    </cfRule>
  </conditionalFormatting>
  <conditionalFormatting sqref="B29">
    <cfRule type="cellIs" dxfId="5101" priority="20" operator="between">
      <formula>10%</formula>
      <formula>11.9%</formula>
    </cfRule>
    <cfRule type="cellIs" dxfId="5100" priority="22" operator="lessThan">
      <formula>0.1</formula>
    </cfRule>
    <cfRule type="cellIs" dxfId="5099" priority="23" operator="greaterThanOrEqual">
      <formula>0.12</formula>
    </cfRule>
  </conditionalFormatting>
  <conditionalFormatting sqref="B42">
    <cfRule type="cellIs" dxfId="5098" priority="18" operator="between">
      <formula>0.1</formula>
      <formula>0.1199</formula>
    </cfRule>
    <cfRule type="cellIs" dxfId="5097" priority="19" operator="lessThan">
      <formula>0.1</formula>
    </cfRule>
    <cfRule type="cellIs" dxfId="5096" priority="21" operator="greaterThanOrEqual">
      <formula>0.12</formula>
    </cfRule>
  </conditionalFormatting>
  <conditionalFormatting sqref="B10">
    <cfRule type="containsText" dxfId="5095" priority="13" operator="containsText" text="Full">
      <formula>NOT(ISERROR(SEARCH("Full",B10)))</formula>
    </cfRule>
    <cfRule type="containsText" dxfId="5094" priority="14" operator="containsText" text="Heavy">
      <formula>NOT(ISERROR(SEARCH("Heavy",B10)))</formula>
    </cfRule>
    <cfRule type="containsText" dxfId="5093" priority="15" operator="containsText" text="Medium">
      <formula>NOT(ISERROR(SEARCH("Medium",B10)))</formula>
    </cfRule>
    <cfRule type="containsText" dxfId="5092" priority="16" operator="containsText" text="Light">
      <formula>NOT(ISERROR(SEARCH("Light",B10)))</formula>
    </cfRule>
    <cfRule type="containsText" dxfId="5091" priority="17" operator="containsText" text="None">
      <formula>NOT(ISERROR(SEARCH("None",B10)))</formula>
    </cfRule>
  </conditionalFormatting>
  <conditionalFormatting sqref="B28">
    <cfRule type="cellIs" dxfId="5090" priority="30" operator="lessThan">
      <formula>$B$8*100</formula>
    </cfRule>
    <cfRule type="cellIs" dxfId="5089" priority="31" operator="greaterThanOrEqual">
      <formula>$B$8*100</formula>
    </cfRule>
  </conditionalFormatting>
  <conditionalFormatting sqref="B41">
    <cfRule type="cellIs" dxfId="5088" priority="32" operator="lessThan">
      <formula>$B$8*100</formula>
    </cfRule>
    <cfRule type="cellIs" dxfId="5087" priority="33" operator="greaterThan">
      <formula>$B$8*100</formula>
    </cfRule>
    <cfRule type="cellIs" dxfId="5086" priority="34" operator="greaterThan">
      <formula>$B$8*100</formula>
    </cfRule>
  </conditionalFormatting>
  <conditionalFormatting sqref="B38">
    <cfRule type="cellIs" dxfId="5085" priority="8" operator="equal">
      <formula>"YES"</formula>
    </cfRule>
    <cfRule type="cellIs" dxfId="5084" priority="9" operator="equal">
      <formula>"NO"</formula>
    </cfRule>
  </conditionalFormatting>
  <conditionalFormatting sqref="E23:E26">
    <cfRule type="cellIs" dxfId="5083" priority="4" operator="equal">
      <formula>"NO"</formula>
    </cfRule>
    <cfRule type="cellIs" dxfId="5082" priority="5" operator="equal">
      <formula>"YES"</formula>
    </cfRule>
  </conditionalFormatting>
  <conditionalFormatting sqref="E29">
    <cfRule type="cellIs" dxfId="5081" priority="1" operator="between">
      <formula>10%</formula>
      <formula>12%</formula>
    </cfRule>
    <cfRule type="cellIs" dxfId="5080" priority="2" operator="lessThan">
      <formula>0.1</formula>
    </cfRule>
    <cfRule type="cellIs" dxfId="5079" priority="3" operator="greaterThan">
      <formula>0.12</formula>
    </cfRule>
  </conditionalFormatting>
  <conditionalFormatting sqref="E28">
    <cfRule type="cellIs" dxfId="5078" priority="6" operator="lessThan">
      <formula>$B$8*100</formula>
    </cfRule>
    <cfRule type="cellIs" dxfId="5077" priority="7" operator="greaterThan">
      <formula>$B$8*100</formula>
    </cfRule>
  </conditionalFormatting>
  <hyperlinks>
    <hyperlink ref="A32" r:id="rId1" display="https://www.zillow.com/homes/recently_sold/" xr:uid="{CAD44263-96F7-4789-878F-3633A4B25FD8}"/>
    <hyperlink ref="A21" r:id="rId2" xr:uid="{7A7D9187-97DC-4721-98DE-F20363AD189A}"/>
    <hyperlink ref="A25" r:id="rId3" display="www.mortgagecalculator.org" xr:uid="{6C228F29-147E-4D07-8D64-DAC523D809C2}"/>
    <hyperlink ref="A12" r:id="rId4" xr:uid="{CACB99CB-9BD2-48B9-B544-06376B0A5CCB}"/>
  </hyperlinks>
  <pageMargins left="0.7" right="0.7" top="0.75" bottom="0.75" header="0.3" footer="0.3"/>
  <legacyDrawing r:id="rId5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ABB2-CD4A-4557-B1C0-508D6A3BF82E}">
  <sheetPr codeName="Sheet92">
    <tabColor rgb="FFFF0000"/>
  </sheetPr>
  <dimension ref="A1:P42"/>
  <sheetViews>
    <sheetView topLeftCell="A15" workbookViewId="0">
      <selection activeCell="D35" sqref="D3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1901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120000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6000</v>
      </c>
      <c r="D17" s="19"/>
      <c r="E17" s="20"/>
      <c r="P17" s="21"/>
    </row>
    <row r="18" spans="1:16" x14ac:dyDescent="0.25">
      <c r="A18" s="7" t="s">
        <v>23</v>
      </c>
      <c r="B18" s="17">
        <f>B16-B17</f>
        <v>114000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900+790</f>
        <v>1690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1200</v>
      </c>
      <c r="D22" s="7" t="s">
        <v>77</v>
      </c>
      <c r="E22" s="17">
        <f>B16*0.01</f>
        <v>1200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1149.83</v>
      </c>
      <c r="D25" s="7" t="s">
        <v>38</v>
      </c>
      <c r="E25" s="35">
        <f>B25</f>
        <v>1149.83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1712.33</v>
      </c>
      <c r="D26" s="7" t="s">
        <v>41</v>
      </c>
      <c r="E26" s="17">
        <f>E25+I25+I34</f>
        <v>1712.33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-22.329999999999927</v>
      </c>
      <c r="D28" s="7" t="s">
        <v>43</v>
      </c>
      <c r="E28" s="44">
        <f>E21-E25-I25-I34+I24+I33</f>
        <v>-353.32999999999993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-4.4659999999999853E-2</v>
      </c>
      <c r="D29" s="46" t="s">
        <v>44</v>
      </c>
      <c r="E29" s="47">
        <f>(E28*12)/B17</f>
        <v>-0.70665999999999984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84.5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84.5</v>
      </c>
    </row>
    <row r="32" spans="1:16" x14ac:dyDescent="0.25">
      <c r="A32" s="26" t="s">
        <v>49</v>
      </c>
      <c r="B32" s="8">
        <f>B16</f>
        <v>120000</v>
      </c>
      <c r="G32" s="27" t="s">
        <v>50</v>
      </c>
      <c r="H32" s="48">
        <v>0.05</v>
      </c>
      <c r="I32" s="49">
        <f>$B$21*H32</f>
        <v>84.5</v>
      </c>
    </row>
    <row r="33" spans="1:9" x14ac:dyDescent="0.25">
      <c r="A33" s="7" t="s">
        <v>51</v>
      </c>
      <c r="B33" s="17">
        <f>B32-B18</f>
        <v>6000</v>
      </c>
      <c r="G33" s="27" t="s">
        <v>52</v>
      </c>
      <c r="H33" s="48">
        <v>0.1</v>
      </c>
      <c r="I33" s="49">
        <f>$B$21*H33</f>
        <v>169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422.5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80.750000000000014</v>
      </c>
      <c r="D39" s="58"/>
      <c r="E39" s="61"/>
    </row>
    <row r="40" spans="1:9" x14ac:dyDescent="0.25">
      <c r="A40" s="7" t="s">
        <v>58</v>
      </c>
      <c r="B40" s="17">
        <f>B25-B39</f>
        <v>1069.08</v>
      </c>
      <c r="D40" s="58"/>
      <c r="E40" s="61"/>
    </row>
    <row r="41" spans="1:9" x14ac:dyDescent="0.25">
      <c r="A41" s="7" t="s">
        <v>59</v>
      </c>
      <c r="B41" s="43">
        <f>B21-B40-I25-I34</f>
        <v>58.420000000000073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0.11684000000000015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076" priority="28" operator="equal">
      <formula>"NO"</formula>
    </cfRule>
    <cfRule type="cellIs" dxfId="5075" priority="29" operator="equal">
      <formula>"YES"</formula>
    </cfRule>
  </conditionalFormatting>
  <conditionalFormatting sqref="E38">
    <cfRule type="cellIs" dxfId="5074" priority="26" operator="equal">
      <formula>"YES"</formula>
    </cfRule>
    <cfRule type="cellIs" dxfId="5073" priority="27" operator="equal">
      <formula>"NO"</formula>
    </cfRule>
  </conditionalFormatting>
  <conditionalFormatting sqref="B23">
    <cfRule type="cellIs" dxfId="5072" priority="24" operator="equal">
      <formula>"NO"</formula>
    </cfRule>
    <cfRule type="cellIs" dxfId="5071" priority="25" operator="equal">
      <formula>"YES"</formula>
    </cfRule>
  </conditionalFormatting>
  <conditionalFormatting sqref="B12">
    <cfRule type="containsText" dxfId="5070" priority="10" operator="containsText" text="Low">
      <formula>NOT(ISERROR(SEARCH("Low",B12)))</formula>
    </cfRule>
    <cfRule type="containsText" dxfId="5069" priority="11" operator="containsText" text="Medium">
      <formula>NOT(ISERROR(SEARCH("Medium",B12)))</formula>
    </cfRule>
    <cfRule type="containsText" dxfId="5068" priority="12" operator="containsText" text="High">
      <formula>NOT(ISERROR(SEARCH("High",B12)))</formula>
    </cfRule>
  </conditionalFormatting>
  <conditionalFormatting sqref="B29">
    <cfRule type="cellIs" dxfId="5067" priority="20" operator="between">
      <formula>10%</formula>
      <formula>11.9%</formula>
    </cfRule>
    <cfRule type="cellIs" dxfId="5066" priority="22" operator="lessThan">
      <formula>0.1</formula>
    </cfRule>
    <cfRule type="cellIs" dxfId="5065" priority="23" operator="greaterThanOrEqual">
      <formula>0.12</formula>
    </cfRule>
  </conditionalFormatting>
  <conditionalFormatting sqref="B42">
    <cfRule type="cellIs" dxfId="5064" priority="18" operator="between">
      <formula>0.1</formula>
      <formula>0.1199</formula>
    </cfRule>
    <cfRule type="cellIs" dxfId="5063" priority="19" operator="lessThan">
      <formula>0.1</formula>
    </cfRule>
    <cfRule type="cellIs" dxfId="5062" priority="21" operator="greaterThanOrEqual">
      <formula>0.12</formula>
    </cfRule>
  </conditionalFormatting>
  <conditionalFormatting sqref="B10">
    <cfRule type="containsText" dxfId="5061" priority="13" operator="containsText" text="Full">
      <formula>NOT(ISERROR(SEARCH("Full",B10)))</formula>
    </cfRule>
    <cfRule type="containsText" dxfId="5060" priority="14" operator="containsText" text="Heavy">
      <formula>NOT(ISERROR(SEARCH("Heavy",B10)))</formula>
    </cfRule>
    <cfRule type="containsText" dxfId="5059" priority="15" operator="containsText" text="Medium">
      <formula>NOT(ISERROR(SEARCH("Medium",B10)))</formula>
    </cfRule>
    <cfRule type="containsText" dxfId="5058" priority="16" operator="containsText" text="Light">
      <formula>NOT(ISERROR(SEARCH("Light",B10)))</formula>
    </cfRule>
    <cfRule type="containsText" dxfId="5057" priority="17" operator="containsText" text="None">
      <formula>NOT(ISERROR(SEARCH("None",B10)))</formula>
    </cfRule>
  </conditionalFormatting>
  <conditionalFormatting sqref="B28">
    <cfRule type="cellIs" dxfId="5056" priority="30" operator="lessThan">
      <formula>$B$8*100</formula>
    </cfRule>
    <cfRule type="cellIs" dxfId="5055" priority="31" operator="greaterThanOrEqual">
      <formula>$B$8*100</formula>
    </cfRule>
  </conditionalFormatting>
  <conditionalFormatting sqref="B41">
    <cfRule type="cellIs" dxfId="5054" priority="32" operator="lessThan">
      <formula>$B$8*100</formula>
    </cfRule>
    <cfRule type="cellIs" dxfId="5053" priority="33" operator="greaterThan">
      <formula>$B$8*100</formula>
    </cfRule>
    <cfRule type="cellIs" dxfId="5052" priority="34" operator="greaterThan">
      <formula>$B$8*100</formula>
    </cfRule>
  </conditionalFormatting>
  <conditionalFormatting sqref="B38">
    <cfRule type="cellIs" dxfId="5051" priority="8" operator="equal">
      <formula>"YES"</formula>
    </cfRule>
    <cfRule type="cellIs" dxfId="5050" priority="9" operator="equal">
      <formula>"NO"</formula>
    </cfRule>
  </conditionalFormatting>
  <conditionalFormatting sqref="E23:E26">
    <cfRule type="cellIs" dxfId="5049" priority="4" operator="equal">
      <formula>"NO"</formula>
    </cfRule>
    <cfRule type="cellIs" dxfId="5048" priority="5" operator="equal">
      <formula>"YES"</formula>
    </cfRule>
  </conditionalFormatting>
  <conditionalFormatting sqref="E29">
    <cfRule type="cellIs" dxfId="5047" priority="1" operator="between">
      <formula>10%</formula>
      <formula>12%</formula>
    </cfRule>
    <cfRule type="cellIs" dxfId="5046" priority="2" operator="lessThan">
      <formula>0.1</formula>
    </cfRule>
    <cfRule type="cellIs" dxfId="5045" priority="3" operator="greaterThan">
      <formula>0.12</formula>
    </cfRule>
  </conditionalFormatting>
  <conditionalFormatting sqref="E28">
    <cfRule type="cellIs" dxfId="5044" priority="6" operator="lessThan">
      <formula>$B$8*100</formula>
    </cfRule>
    <cfRule type="cellIs" dxfId="5043" priority="7" operator="greaterThan">
      <formula>$B$8*100</formula>
    </cfRule>
  </conditionalFormatting>
  <hyperlinks>
    <hyperlink ref="A32" r:id="rId1" display="https://www.zillow.com/homes/recently_sold/" xr:uid="{AC209F89-AA61-47DE-A3BD-5737D4E7AC43}"/>
    <hyperlink ref="A21" r:id="rId2" xr:uid="{D2D5F1B5-7316-4FDA-848C-FCA9F4D27B04}"/>
    <hyperlink ref="A25" r:id="rId3" display="www.mortgagecalculator.org" xr:uid="{25D2108B-4132-4340-942C-1FA7E59A482E}"/>
    <hyperlink ref="A12" r:id="rId4" xr:uid="{3CF53B42-CE9F-4C37-B1CF-C02D445F84B6}"/>
  </hyperlinks>
  <pageMargins left="0.7" right="0.7" top="0.75" bottom="0.75" header="0.3" footer="0.3"/>
  <legacyDrawing r:id="rId5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C1563-A7E2-4C42-904B-CAB574454D17}">
  <sheetPr codeName="Sheet93">
    <tabColor rgb="FF00B050"/>
  </sheetPr>
  <dimension ref="A1:P42"/>
  <sheetViews>
    <sheetView topLeftCell="A6" workbookViewId="0">
      <selection activeCell="C31" sqref="C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2196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99000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32940</v>
      </c>
      <c r="D15" s="2"/>
      <c r="E15" s="3"/>
    </row>
    <row r="16" spans="1:10" x14ac:dyDescent="0.25">
      <c r="A16" s="7" t="s">
        <v>20</v>
      </c>
      <c r="B16" s="17">
        <f>B15+B13</f>
        <v>131940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4617.9000000000005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127322.1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941*2</f>
        <v>1882</v>
      </c>
      <c r="D21" s="23" t="s">
        <v>28</v>
      </c>
      <c r="E21" s="8">
        <f>941*2*5/6</f>
        <v>1568.3333333333333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1319.4</v>
      </c>
      <c r="D22" s="7" t="s">
        <v>77</v>
      </c>
      <c r="E22" s="17">
        <f>B16*0.01</f>
        <v>1319.4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1098.04</v>
      </c>
      <c r="D25" s="7" t="s">
        <v>38</v>
      </c>
      <c r="E25" s="35">
        <f>B25</f>
        <v>1098.04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1708.54</v>
      </c>
      <c r="D26" s="7" t="s">
        <v>41</v>
      </c>
      <c r="E26" s="17">
        <f>E25+I25+I34</f>
        <v>1708.54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173.46000000000004</v>
      </c>
      <c r="D28" s="7" t="s">
        <v>43</v>
      </c>
      <c r="E28" s="44">
        <f>E21-E25-I25-I34+I24+I33</f>
        <v>187.99333333333331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0.4507503410641201</v>
      </c>
      <c r="D29" s="46" t="s">
        <v>44</v>
      </c>
      <c r="E29" s="47">
        <f>(E28*12)/B17</f>
        <v>0.48851642521492439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94.100000000000009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94.100000000000009</v>
      </c>
    </row>
    <row r="32" spans="1:16" x14ac:dyDescent="0.25">
      <c r="A32" s="26" t="s">
        <v>49</v>
      </c>
      <c r="B32" s="8">
        <f>B16</f>
        <v>131940</v>
      </c>
      <c r="G32" s="27" t="s">
        <v>50</v>
      </c>
      <c r="H32" s="48">
        <v>0.05</v>
      </c>
      <c r="I32" s="49">
        <f>$B$21*H32</f>
        <v>94.100000000000009</v>
      </c>
    </row>
    <row r="33" spans="1:9" x14ac:dyDescent="0.25">
      <c r="A33" s="7" t="s">
        <v>51</v>
      </c>
      <c r="B33" s="17">
        <f>B32-B18</f>
        <v>4617.8999999999942</v>
      </c>
      <c r="G33" s="27" t="s">
        <v>52</v>
      </c>
      <c r="H33" s="48">
        <v>0.1</v>
      </c>
      <c r="I33" s="49">
        <f>$B$21*H33</f>
        <v>188.20000000000002</v>
      </c>
    </row>
    <row r="34" spans="1:9" ht="15.75" thickBot="1" x14ac:dyDescent="0.3">
      <c r="A34" s="7" t="s">
        <v>53</v>
      </c>
      <c r="B34" s="50">
        <f>B33/B17</f>
        <v>0.99999999999999867</v>
      </c>
      <c r="G34" s="36" t="s">
        <v>39</v>
      </c>
      <c r="H34" s="37"/>
      <c r="I34" s="51">
        <f>SUM(I30:I33)</f>
        <v>470.5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90.186487500000013</v>
      </c>
      <c r="D39" s="58"/>
      <c r="E39" s="61"/>
    </row>
    <row r="40" spans="1:9" x14ac:dyDescent="0.25">
      <c r="A40" s="7" t="s">
        <v>58</v>
      </c>
      <c r="B40" s="17">
        <f>B25-B39</f>
        <v>1007.8535125</v>
      </c>
      <c r="D40" s="58"/>
      <c r="E40" s="61"/>
    </row>
    <row r="41" spans="1:9" x14ac:dyDescent="0.25">
      <c r="A41" s="7" t="s">
        <v>59</v>
      </c>
      <c r="B41" s="43">
        <f>B21-B40-I25-I34</f>
        <v>263.64648750000003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0.68510748392126297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042" priority="28" operator="equal">
      <formula>"NO"</formula>
    </cfRule>
    <cfRule type="cellIs" dxfId="5041" priority="29" operator="equal">
      <formula>"YES"</formula>
    </cfRule>
  </conditionalFormatting>
  <conditionalFormatting sqref="E38">
    <cfRule type="cellIs" dxfId="5040" priority="26" operator="equal">
      <formula>"YES"</formula>
    </cfRule>
    <cfRule type="cellIs" dxfId="5039" priority="27" operator="equal">
      <formula>"NO"</formula>
    </cfRule>
  </conditionalFormatting>
  <conditionalFormatting sqref="B23">
    <cfRule type="cellIs" dxfId="5038" priority="24" operator="equal">
      <formula>"NO"</formula>
    </cfRule>
    <cfRule type="cellIs" dxfId="5037" priority="25" operator="equal">
      <formula>"YES"</formula>
    </cfRule>
  </conditionalFormatting>
  <conditionalFormatting sqref="B12">
    <cfRule type="containsText" dxfId="5036" priority="10" operator="containsText" text="Low">
      <formula>NOT(ISERROR(SEARCH("Low",B12)))</formula>
    </cfRule>
    <cfRule type="containsText" dxfId="5035" priority="11" operator="containsText" text="Medium">
      <formula>NOT(ISERROR(SEARCH("Medium",B12)))</formula>
    </cfRule>
    <cfRule type="containsText" dxfId="5034" priority="12" operator="containsText" text="High">
      <formula>NOT(ISERROR(SEARCH("High",B12)))</formula>
    </cfRule>
  </conditionalFormatting>
  <conditionalFormatting sqref="B29">
    <cfRule type="cellIs" dxfId="5033" priority="20" operator="between">
      <formula>10%</formula>
      <formula>11.9%</formula>
    </cfRule>
    <cfRule type="cellIs" dxfId="5032" priority="22" operator="lessThan">
      <formula>0.1</formula>
    </cfRule>
    <cfRule type="cellIs" dxfId="5031" priority="23" operator="greaterThanOrEqual">
      <formula>0.12</formula>
    </cfRule>
  </conditionalFormatting>
  <conditionalFormatting sqref="B42">
    <cfRule type="cellIs" dxfId="5030" priority="18" operator="between">
      <formula>0.1</formula>
      <formula>0.1199</formula>
    </cfRule>
    <cfRule type="cellIs" dxfId="5029" priority="19" operator="lessThan">
      <formula>0.1</formula>
    </cfRule>
    <cfRule type="cellIs" dxfId="5028" priority="21" operator="greaterThanOrEqual">
      <formula>0.12</formula>
    </cfRule>
  </conditionalFormatting>
  <conditionalFormatting sqref="B10">
    <cfRule type="containsText" dxfId="5027" priority="13" operator="containsText" text="Full">
      <formula>NOT(ISERROR(SEARCH("Full",B10)))</formula>
    </cfRule>
    <cfRule type="containsText" dxfId="5026" priority="14" operator="containsText" text="Heavy">
      <formula>NOT(ISERROR(SEARCH("Heavy",B10)))</formula>
    </cfRule>
    <cfRule type="containsText" dxfId="5025" priority="15" operator="containsText" text="Medium">
      <formula>NOT(ISERROR(SEARCH("Medium",B10)))</formula>
    </cfRule>
    <cfRule type="containsText" dxfId="5024" priority="16" operator="containsText" text="Light">
      <formula>NOT(ISERROR(SEARCH("Light",B10)))</formula>
    </cfRule>
    <cfRule type="containsText" dxfId="5023" priority="17" operator="containsText" text="None">
      <formula>NOT(ISERROR(SEARCH("None",B10)))</formula>
    </cfRule>
  </conditionalFormatting>
  <conditionalFormatting sqref="B28">
    <cfRule type="cellIs" dxfId="5022" priority="30" operator="lessThan">
      <formula>$B$8*100</formula>
    </cfRule>
    <cfRule type="cellIs" dxfId="5021" priority="31" operator="greaterThanOrEqual">
      <formula>$B$8*100</formula>
    </cfRule>
  </conditionalFormatting>
  <conditionalFormatting sqref="B41">
    <cfRule type="cellIs" dxfId="5020" priority="32" operator="lessThan">
      <formula>$B$8*100</formula>
    </cfRule>
    <cfRule type="cellIs" dxfId="5019" priority="33" operator="greaterThan">
      <formula>$B$8*100</formula>
    </cfRule>
    <cfRule type="cellIs" dxfId="5018" priority="34" operator="greaterThan">
      <formula>$B$8*100</formula>
    </cfRule>
  </conditionalFormatting>
  <conditionalFormatting sqref="B38">
    <cfRule type="cellIs" dxfId="5017" priority="8" operator="equal">
      <formula>"YES"</formula>
    </cfRule>
    <cfRule type="cellIs" dxfId="5016" priority="9" operator="equal">
      <formula>"NO"</formula>
    </cfRule>
  </conditionalFormatting>
  <conditionalFormatting sqref="E23:E26">
    <cfRule type="cellIs" dxfId="5015" priority="4" operator="equal">
      <formula>"NO"</formula>
    </cfRule>
    <cfRule type="cellIs" dxfId="5014" priority="5" operator="equal">
      <formula>"YES"</formula>
    </cfRule>
  </conditionalFormatting>
  <conditionalFormatting sqref="E29">
    <cfRule type="cellIs" dxfId="5013" priority="1" operator="between">
      <formula>10%</formula>
      <formula>12%</formula>
    </cfRule>
    <cfRule type="cellIs" dxfId="5012" priority="2" operator="lessThan">
      <formula>0.1</formula>
    </cfRule>
    <cfRule type="cellIs" dxfId="5011" priority="3" operator="greaterThan">
      <formula>0.12</formula>
    </cfRule>
  </conditionalFormatting>
  <conditionalFormatting sqref="E28">
    <cfRule type="cellIs" dxfId="5010" priority="6" operator="lessThan">
      <formula>$B$8*100</formula>
    </cfRule>
    <cfRule type="cellIs" dxfId="5009" priority="7" operator="greaterThan">
      <formula>$B$8*100</formula>
    </cfRule>
  </conditionalFormatting>
  <hyperlinks>
    <hyperlink ref="A32" r:id="rId1" display="https://www.zillow.com/homes/recently_sold/" xr:uid="{20E020A8-5104-4A4E-A65D-66620F951AC9}"/>
    <hyperlink ref="A21" r:id="rId2" xr:uid="{A560AB27-8CCA-46D9-9F9B-3880BCEF6B6E}"/>
    <hyperlink ref="A25" r:id="rId3" display="www.mortgagecalculator.org" xr:uid="{D025A26D-9E08-4B2F-B4B9-1DBEFFED41C8}"/>
    <hyperlink ref="A12" r:id="rId4" xr:uid="{A9FA0221-C617-4B2F-AB5B-A78989BCAF5F}"/>
  </hyperlinks>
  <pageMargins left="0.7" right="0.7" top="0.75" bottom="0.75" header="0.3" footer="0.3"/>
  <legacyDrawing r:id="rId5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2504-3C11-45B9-921D-94AD1FBD7177}">
  <sheetPr codeName="Sheet94">
    <tabColor rgb="FF00B050"/>
  </sheetPr>
  <dimension ref="A1:P42"/>
  <sheetViews>
    <sheetView topLeftCell="A25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1568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160650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39200</v>
      </c>
      <c r="D15" s="2"/>
      <c r="E15" s="3"/>
    </row>
    <row r="16" spans="1:10" x14ac:dyDescent="0.25">
      <c r="A16" s="7" t="s">
        <v>20</v>
      </c>
      <c r="B16" s="17">
        <f>B15+B13</f>
        <v>199850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6994.7500000000009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192855.25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1100*2</f>
        <v>2200</v>
      </c>
      <c r="D21" s="23" t="s">
        <v>28</v>
      </c>
      <c r="E21" s="8">
        <f>1100*2*5/6</f>
        <v>1833.3333333333333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1998.5</v>
      </c>
      <c r="D22" s="7" t="s">
        <v>77</v>
      </c>
      <c r="E22" s="17">
        <f>B16*0.01</f>
        <v>1998.5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1490.66</v>
      </c>
      <c r="D25" s="7" t="s">
        <v>38</v>
      </c>
      <c r="E25" s="35">
        <f>B25</f>
        <v>1490.66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2040.66</v>
      </c>
      <c r="D26" s="7" t="s">
        <v>41</v>
      </c>
      <c r="E26" s="17">
        <f>E25+I25+I34</f>
        <v>2040.66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159.33999999999992</v>
      </c>
      <c r="D28" s="7" t="s">
        <v>43</v>
      </c>
      <c r="E28" s="44">
        <f>E21-E25-I25-I34+I24+I33</f>
        <v>12.673333333333176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0.27335930519318041</v>
      </c>
      <c r="D29" s="46" t="s">
        <v>44</v>
      </c>
      <c r="E29" s="47">
        <f>(E28*12)/B17</f>
        <v>2.1742020801314998E-2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110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110</v>
      </c>
    </row>
    <row r="32" spans="1:16" x14ac:dyDescent="0.25">
      <c r="A32" s="26" t="s">
        <v>49</v>
      </c>
      <c r="B32" s="8">
        <f>B16</f>
        <v>199850</v>
      </c>
      <c r="G32" s="27" t="s">
        <v>50</v>
      </c>
      <c r="H32" s="48">
        <v>0.05</v>
      </c>
      <c r="I32" s="49">
        <f>$B$21*H32</f>
        <v>110</v>
      </c>
    </row>
    <row r="33" spans="1:9" x14ac:dyDescent="0.25">
      <c r="A33" s="7" t="s">
        <v>51</v>
      </c>
      <c r="B33" s="17">
        <f>B32-B18</f>
        <v>6994.75</v>
      </c>
      <c r="G33" s="27" t="s">
        <v>52</v>
      </c>
      <c r="H33" s="48">
        <v>0.1</v>
      </c>
      <c r="I33" s="49">
        <f>$B$21*H33</f>
        <v>220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550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136.60580208333334</v>
      </c>
      <c r="D39" s="58"/>
      <c r="E39" s="61"/>
    </row>
    <row r="40" spans="1:9" x14ac:dyDescent="0.25">
      <c r="A40" s="7" t="s">
        <v>58</v>
      </c>
      <c r="B40" s="17">
        <f>B25-B39</f>
        <v>1354.0541979166667</v>
      </c>
      <c r="D40" s="58"/>
      <c r="E40" s="61"/>
    </row>
    <row r="41" spans="1:9" x14ac:dyDescent="0.25">
      <c r="A41" s="7" t="s">
        <v>59</v>
      </c>
      <c r="B41" s="43">
        <f>B21-B40-I25-I34</f>
        <v>295.94580208333332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0.50771644805032334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5008" priority="28" operator="equal">
      <formula>"NO"</formula>
    </cfRule>
    <cfRule type="cellIs" dxfId="5007" priority="29" operator="equal">
      <formula>"YES"</formula>
    </cfRule>
  </conditionalFormatting>
  <conditionalFormatting sqref="E38">
    <cfRule type="cellIs" dxfId="5006" priority="26" operator="equal">
      <formula>"YES"</formula>
    </cfRule>
    <cfRule type="cellIs" dxfId="5005" priority="27" operator="equal">
      <formula>"NO"</formula>
    </cfRule>
  </conditionalFormatting>
  <conditionalFormatting sqref="B23">
    <cfRule type="cellIs" dxfId="5004" priority="24" operator="equal">
      <formula>"NO"</formula>
    </cfRule>
    <cfRule type="cellIs" dxfId="5003" priority="25" operator="equal">
      <formula>"YES"</formula>
    </cfRule>
  </conditionalFormatting>
  <conditionalFormatting sqref="B12">
    <cfRule type="containsText" dxfId="5002" priority="10" operator="containsText" text="Low">
      <formula>NOT(ISERROR(SEARCH("Low",B12)))</formula>
    </cfRule>
    <cfRule type="containsText" dxfId="5001" priority="11" operator="containsText" text="Medium">
      <formula>NOT(ISERROR(SEARCH("Medium",B12)))</formula>
    </cfRule>
    <cfRule type="containsText" dxfId="5000" priority="12" operator="containsText" text="High">
      <formula>NOT(ISERROR(SEARCH("High",B12)))</formula>
    </cfRule>
  </conditionalFormatting>
  <conditionalFormatting sqref="B29">
    <cfRule type="cellIs" dxfId="4999" priority="20" operator="between">
      <formula>10%</formula>
      <formula>11.9%</formula>
    </cfRule>
    <cfRule type="cellIs" dxfId="4998" priority="22" operator="lessThan">
      <formula>0.1</formula>
    </cfRule>
    <cfRule type="cellIs" dxfId="4997" priority="23" operator="greaterThanOrEqual">
      <formula>0.12</formula>
    </cfRule>
  </conditionalFormatting>
  <conditionalFormatting sqref="B42">
    <cfRule type="cellIs" dxfId="4996" priority="18" operator="between">
      <formula>0.1</formula>
      <formula>0.1199</formula>
    </cfRule>
    <cfRule type="cellIs" dxfId="4995" priority="19" operator="lessThan">
      <formula>0.1</formula>
    </cfRule>
    <cfRule type="cellIs" dxfId="4994" priority="21" operator="greaterThanOrEqual">
      <formula>0.12</formula>
    </cfRule>
  </conditionalFormatting>
  <conditionalFormatting sqref="B10">
    <cfRule type="containsText" dxfId="4993" priority="13" operator="containsText" text="Full">
      <formula>NOT(ISERROR(SEARCH("Full",B10)))</formula>
    </cfRule>
    <cfRule type="containsText" dxfId="4992" priority="14" operator="containsText" text="Heavy">
      <formula>NOT(ISERROR(SEARCH("Heavy",B10)))</formula>
    </cfRule>
    <cfRule type="containsText" dxfId="4991" priority="15" operator="containsText" text="Medium">
      <formula>NOT(ISERROR(SEARCH("Medium",B10)))</formula>
    </cfRule>
    <cfRule type="containsText" dxfId="4990" priority="16" operator="containsText" text="Light">
      <formula>NOT(ISERROR(SEARCH("Light",B10)))</formula>
    </cfRule>
    <cfRule type="containsText" dxfId="4989" priority="17" operator="containsText" text="None">
      <formula>NOT(ISERROR(SEARCH("None",B10)))</formula>
    </cfRule>
  </conditionalFormatting>
  <conditionalFormatting sqref="B28">
    <cfRule type="cellIs" dxfId="4988" priority="30" operator="lessThan">
      <formula>$B$8*100</formula>
    </cfRule>
    <cfRule type="cellIs" dxfId="4987" priority="31" operator="greaterThanOrEqual">
      <formula>$B$8*100</formula>
    </cfRule>
  </conditionalFormatting>
  <conditionalFormatting sqref="B41">
    <cfRule type="cellIs" dxfId="4986" priority="32" operator="lessThan">
      <formula>$B$8*100</formula>
    </cfRule>
    <cfRule type="cellIs" dxfId="4985" priority="33" operator="greaterThan">
      <formula>$B$8*100</formula>
    </cfRule>
    <cfRule type="cellIs" dxfId="4984" priority="34" operator="greaterThan">
      <formula>$B$8*100</formula>
    </cfRule>
  </conditionalFormatting>
  <conditionalFormatting sqref="B38">
    <cfRule type="cellIs" dxfId="4983" priority="8" operator="equal">
      <formula>"YES"</formula>
    </cfRule>
    <cfRule type="cellIs" dxfId="4982" priority="9" operator="equal">
      <formula>"NO"</formula>
    </cfRule>
  </conditionalFormatting>
  <conditionalFormatting sqref="E23:E26">
    <cfRule type="cellIs" dxfId="4981" priority="4" operator="equal">
      <formula>"NO"</formula>
    </cfRule>
    <cfRule type="cellIs" dxfId="4980" priority="5" operator="equal">
      <formula>"YES"</formula>
    </cfRule>
  </conditionalFormatting>
  <conditionalFormatting sqref="E29">
    <cfRule type="cellIs" dxfId="4979" priority="1" operator="between">
      <formula>10%</formula>
      <formula>12%</formula>
    </cfRule>
    <cfRule type="cellIs" dxfId="4978" priority="2" operator="lessThan">
      <formula>0.1</formula>
    </cfRule>
    <cfRule type="cellIs" dxfId="4977" priority="3" operator="greaterThan">
      <formula>0.12</formula>
    </cfRule>
  </conditionalFormatting>
  <conditionalFormatting sqref="E28">
    <cfRule type="cellIs" dxfId="4976" priority="6" operator="lessThan">
      <formula>$B$8*100</formula>
    </cfRule>
    <cfRule type="cellIs" dxfId="4975" priority="7" operator="greaterThan">
      <formula>$B$8*100</formula>
    </cfRule>
  </conditionalFormatting>
  <hyperlinks>
    <hyperlink ref="A32" r:id="rId1" display="https://www.zillow.com/homes/recently_sold/" xr:uid="{918D9394-872C-46D3-B5D8-4E016DB3DDBB}"/>
    <hyperlink ref="A21" r:id="rId2" xr:uid="{8A777663-1797-42E9-8E7B-C8084E4CAFC3}"/>
    <hyperlink ref="A25" r:id="rId3" display="www.mortgagecalculator.org" xr:uid="{D434530F-7C05-46AE-BE86-FA9FE8FF2CAD}"/>
    <hyperlink ref="A12" r:id="rId4" xr:uid="{1C2F618E-DA97-4905-BD80-6FD9E18EB502}"/>
  </hyperlinks>
  <pageMargins left="0.7" right="0.7" top="0.75" bottom="0.75" header="0.3" footer="0.3"/>
  <legacyDrawing r:id="rId5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39F14-5403-41DF-B077-24067A6213EB}">
  <sheetPr codeName="Sheet95">
    <tabColor rgb="FF00B050"/>
  </sheetPr>
  <dimension ref="A1:P42"/>
  <sheetViews>
    <sheetView topLeftCell="A7" workbookViewId="0">
      <selection activeCell="A21" sqref="A2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1568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160650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39200</v>
      </c>
      <c r="D15" s="2"/>
      <c r="E15" s="3"/>
    </row>
    <row r="16" spans="1:10" x14ac:dyDescent="0.25">
      <c r="A16" s="7" t="s">
        <v>20</v>
      </c>
      <c r="B16" s="17">
        <f>B15+B13</f>
        <v>199850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6994.7500000000009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192855.25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1100*2</f>
        <v>2200</v>
      </c>
      <c r="D21" s="23" t="s">
        <v>28</v>
      </c>
      <c r="E21" s="8">
        <f>1100*2*5/6</f>
        <v>1833.3333333333333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1998.5</v>
      </c>
      <c r="D22" s="7" t="s">
        <v>77</v>
      </c>
      <c r="E22" s="17">
        <f>B16*0.01</f>
        <v>1998.5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1490.66</v>
      </c>
      <c r="D25" s="7" t="s">
        <v>38</v>
      </c>
      <c r="E25" s="35">
        <f>B25</f>
        <v>1490.66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2040.66</v>
      </c>
      <c r="D26" s="7" t="s">
        <v>41</v>
      </c>
      <c r="E26" s="17">
        <f>E25+I25+I34</f>
        <v>2040.66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159.33999999999992</v>
      </c>
      <c r="D28" s="7" t="s">
        <v>43</v>
      </c>
      <c r="E28" s="44">
        <f>E21-E25-I25-I34+I24+I33</f>
        <v>12.673333333333176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0.27335930519318041</v>
      </c>
      <c r="D29" s="46" t="s">
        <v>44</v>
      </c>
      <c r="E29" s="47">
        <f>(E28*12)/B17</f>
        <v>2.1742020801314998E-2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110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110</v>
      </c>
    </row>
    <row r="32" spans="1:16" x14ac:dyDescent="0.25">
      <c r="A32" s="26" t="s">
        <v>49</v>
      </c>
      <c r="B32" s="8">
        <f>B16</f>
        <v>199850</v>
      </c>
      <c r="G32" s="27" t="s">
        <v>50</v>
      </c>
      <c r="H32" s="48">
        <v>0.05</v>
      </c>
      <c r="I32" s="49">
        <f>$B$21*H32</f>
        <v>110</v>
      </c>
    </row>
    <row r="33" spans="1:9" x14ac:dyDescent="0.25">
      <c r="A33" s="7" t="s">
        <v>51</v>
      </c>
      <c r="B33" s="17">
        <f>B32-B18</f>
        <v>6994.75</v>
      </c>
      <c r="G33" s="27" t="s">
        <v>52</v>
      </c>
      <c r="H33" s="48">
        <v>0.1</v>
      </c>
      <c r="I33" s="49">
        <f>$B$21*H33</f>
        <v>220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550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136.60580208333334</v>
      </c>
      <c r="D39" s="58"/>
      <c r="E39" s="61"/>
    </row>
    <row r="40" spans="1:9" x14ac:dyDescent="0.25">
      <c r="A40" s="7" t="s">
        <v>58</v>
      </c>
      <c r="B40" s="17">
        <f>B25-B39</f>
        <v>1354.0541979166667</v>
      </c>
      <c r="D40" s="58"/>
      <c r="E40" s="61"/>
    </row>
    <row r="41" spans="1:9" x14ac:dyDescent="0.25">
      <c r="A41" s="7" t="s">
        <v>59</v>
      </c>
      <c r="B41" s="43">
        <f>B21-B40-I25-I34</f>
        <v>295.94580208333332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0.50771644805032334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974" priority="28" operator="equal">
      <formula>"NO"</formula>
    </cfRule>
    <cfRule type="cellIs" dxfId="4973" priority="29" operator="equal">
      <formula>"YES"</formula>
    </cfRule>
  </conditionalFormatting>
  <conditionalFormatting sqref="E38">
    <cfRule type="cellIs" dxfId="4972" priority="26" operator="equal">
      <formula>"YES"</formula>
    </cfRule>
    <cfRule type="cellIs" dxfId="4971" priority="27" operator="equal">
      <formula>"NO"</formula>
    </cfRule>
  </conditionalFormatting>
  <conditionalFormatting sqref="B23">
    <cfRule type="cellIs" dxfId="4970" priority="24" operator="equal">
      <formula>"NO"</formula>
    </cfRule>
    <cfRule type="cellIs" dxfId="4969" priority="25" operator="equal">
      <formula>"YES"</formula>
    </cfRule>
  </conditionalFormatting>
  <conditionalFormatting sqref="B12">
    <cfRule type="containsText" dxfId="4968" priority="10" operator="containsText" text="Low">
      <formula>NOT(ISERROR(SEARCH("Low",B12)))</formula>
    </cfRule>
    <cfRule type="containsText" dxfId="4967" priority="11" operator="containsText" text="Medium">
      <formula>NOT(ISERROR(SEARCH("Medium",B12)))</formula>
    </cfRule>
    <cfRule type="containsText" dxfId="4966" priority="12" operator="containsText" text="High">
      <formula>NOT(ISERROR(SEARCH("High",B12)))</formula>
    </cfRule>
  </conditionalFormatting>
  <conditionalFormatting sqref="B29">
    <cfRule type="cellIs" dxfId="4965" priority="20" operator="between">
      <formula>10%</formula>
      <formula>11.9%</formula>
    </cfRule>
    <cfRule type="cellIs" dxfId="4964" priority="22" operator="lessThan">
      <formula>0.1</formula>
    </cfRule>
    <cfRule type="cellIs" dxfId="4963" priority="23" operator="greaterThanOrEqual">
      <formula>0.12</formula>
    </cfRule>
  </conditionalFormatting>
  <conditionalFormatting sqref="B42">
    <cfRule type="cellIs" dxfId="4962" priority="18" operator="between">
      <formula>0.1</formula>
      <formula>0.1199</formula>
    </cfRule>
    <cfRule type="cellIs" dxfId="4961" priority="19" operator="lessThan">
      <formula>0.1</formula>
    </cfRule>
    <cfRule type="cellIs" dxfId="4960" priority="21" operator="greaterThanOrEqual">
      <formula>0.12</formula>
    </cfRule>
  </conditionalFormatting>
  <conditionalFormatting sqref="B10">
    <cfRule type="containsText" dxfId="4959" priority="13" operator="containsText" text="Full">
      <formula>NOT(ISERROR(SEARCH("Full",B10)))</formula>
    </cfRule>
    <cfRule type="containsText" dxfId="4958" priority="14" operator="containsText" text="Heavy">
      <formula>NOT(ISERROR(SEARCH("Heavy",B10)))</formula>
    </cfRule>
    <cfRule type="containsText" dxfId="4957" priority="15" operator="containsText" text="Medium">
      <formula>NOT(ISERROR(SEARCH("Medium",B10)))</formula>
    </cfRule>
    <cfRule type="containsText" dxfId="4956" priority="16" operator="containsText" text="Light">
      <formula>NOT(ISERROR(SEARCH("Light",B10)))</formula>
    </cfRule>
    <cfRule type="containsText" dxfId="4955" priority="17" operator="containsText" text="None">
      <formula>NOT(ISERROR(SEARCH("None",B10)))</formula>
    </cfRule>
  </conditionalFormatting>
  <conditionalFormatting sqref="B28">
    <cfRule type="cellIs" dxfId="4954" priority="30" operator="lessThan">
      <formula>$B$8*100</formula>
    </cfRule>
    <cfRule type="cellIs" dxfId="4953" priority="31" operator="greaterThanOrEqual">
      <formula>$B$8*100</formula>
    </cfRule>
  </conditionalFormatting>
  <conditionalFormatting sqref="B41">
    <cfRule type="cellIs" dxfId="4952" priority="32" operator="lessThan">
      <formula>$B$8*100</formula>
    </cfRule>
    <cfRule type="cellIs" dxfId="4951" priority="33" operator="greaterThan">
      <formula>$B$8*100</formula>
    </cfRule>
    <cfRule type="cellIs" dxfId="4950" priority="34" operator="greaterThan">
      <formula>$B$8*100</formula>
    </cfRule>
  </conditionalFormatting>
  <conditionalFormatting sqref="B38">
    <cfRule type="cellIs" dxfId="4949" priority="8" operator="equal">
      <formula>"YES"</formula>
    </cfRule>
    <cfRule type="cellIs" dxfId="4948" priority="9" operator="equal">
      <formula>"NO"</formula>
    </cfRule>
  </conditionalFormatting>
  <conditionalFormatting sqref="E23:E26">
    <cfRule type="cellIs" dxfId="4947" priority="4" operator="equal">
      <formula>"NO"</formula>
    </cfRule>
    <cfRule type="cellIs" dxfId="4946" priority="5" operator="equal">
      <formula>"YES"</formula>
    </cfRule>
  </conditionalFormatting>
  <conditionalFormatting sqref="E29">
    <cfRule type="cellIs" dxfId="4945" priority="1" operator="between">
      <formula>10%</formula>
      <formula>12%</formula>
    </cfRule>
    <cfRule type="cellIs" dxfId="4944" priority="2" operator="lessThan">
      <formula>0.1</formula>
    </cfRule>
    <cfRule type="cellIs" dxfId="4943" priority="3" operator="greaterThan">
      <formula>0.12</formula>
    </cfRule>
  </conditionalFormatting>
  <conditionalFormatting sqref="E28">
    <cfRule type="cellIs" dxfId="4942" priority="6" operator="lessThan">
      <formula>$B$8*100</formula>
    </cfRule>
    <cfRule type="cellIs" dxfId="4941" priority="7" operator="greaterThan">
      <formula>$B$8*100</formula>
    </cfRule>
  </conditionalFormatting>
  <hyperlinks>
    <hyperlink ref="A32" r:id="rId1" display="https://www.zillow.com/homes/recently_sold/" xr:uid="{DCE5DB4B-6DCA-46D0-94E9-9526E48A8E8E}"/>
    <hyperlink ref="A21" r:id="rId2" xr:uid="{73DECE55-F76E-4999-A14E-052EC88C1739}"/>
    <hyperlink ref="A25" r:id="rId3" display="www.mortgagecalculator.org" xr:uid="{9555484B-8145-4BDB-84E0-21C977DBD6DD}"/>
    <hyperlink ref="A12" r:id="rId4" xr:uid="{CDBD817B-025B-42DC-AFBB-376CA3865BC6}"/>
  </hyperlinks>
  <pageMargins left="0.7" right="0.7" top="0.75" bottom="0.75" header="0.3" footer="0.3"/>
  <legacyDrawing r:id="rId5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4241C-E23B-4C77-8AFE-270D9F13B60C}">
  <sheetPr codeName="Sheet96">
    <tabColor rgb="FF00B050"/>
  </sheetPr>
  <dimension ref="A1:P42"/>
  <sheetViews>
    <sheetView topLeftCell="A19" workbookViewId="0">
      <selection activeCell="B34" sqref="B3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169150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53760</v>
      </c>
      <c r="D15" s="2"/>
      <c r="E15" s="3"/>
    </row>
    <row r="16" spans="1:10" x14ac:dyDescent="0.25">
      <c r="A16" s="7" t="s">
        <v>20</v>
      </c>
      <c r="B16" s="17">
        <f>B15+B13</f>
        <v>222910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7801.85</v>
      </c>
      <c r="D17" s="19"/>
      <c r="E17" s="20"/>
      <c r="P17" s="21"/>
    </row>
    <row r="18" spans="1:16" x14ac:dyDescent="0.25">
      <c r="A18" s="7" t="s">
        <v>23</v>
      </c>
      <c r="B18" s="17">
        <f>B16-B17</f>
        <v>215108.15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1300*2</f>
        <v>2600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2229.1</v>
      </c>
      <c r="D22" s="7" t="s">
        <v>77</v>
      </c>
      <c r="E22" s="17">
        <f>B16*0.01</f>
        <v>2229.1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1662.66</v>
      </c>
      <c r="D25" s="7" t="s">
        <v>38</v>
      </c>
      <c r="E25" s="35">
        <f>B25</f>
        <v>1662.66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2312.66</v>
      </c>
      <c r="D26" s="7" t="s">
        <v>41</v>
      </c>
      <c r="E26" s="17">
        <f>E25+I25+I34</f>
        <v>2312.66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287.34000000000015</v>
      </c>
      <c r="D28" s="7" t="s">
        <v>43</v>
      </c>
      <c r="E28" s="44">
        <f>E21-E25-I25-I34+I24+I33</f>
        <v>-1002.6600000000001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0.44195671539442588</v>
      </c>
      <c r="D29" s="46" t="s">
        <v>44</v>
      </c>
      <c r="E29" s="47">
        <f>(E28*12)/B17</f>
        <v>-1.5421880707780848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130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130</v>
      </c>
    </row>
    <row r="32" spans="1:16" x14ac:dyDescent="0.25">
      <c r="A32" s="26" t="s">
        <v>49</v>
      </c>
      <c r="B32" s="8">
        <f>B16</f>
        <v>222910</v>
      </c>
      <c r="G32" s="27" t="s">
        <v>50</v>
      </c>
      <c r="H32" s="48">
        <v>0.05</v>
      </c>
      <c r="I32" s="49">
        <f>$B$21*H32</f>
        <v>130</v>
      </c>
    </row>
    <row r="33" spans="1:9" x14ac:dyDescent="0.25">
      <c r="A33" s="7" t="s">
        <v>51</v>
      </c>
      <c r="B33" s="17">
        <f>B32-B18</f>
        <v>7801.8500000000058</v>
      </c>
      <c r="G33" s="27" t="s">
        <v>52</v>
      </c>
      <c r="H33" s="48">
        <v>0.1</v>
      </c>
      <c r="I33" s="49">
        <f>$B$21*H33</f>
        <v>260</v>
      </c>
    </row>
    <row r="34" spans="1:9" ht="15.75" thickBot="1" x14ac:dyDescent="0.3">
      <c r="A34" s="7" t="s">
        <v>53</v>
      </c>
      <c r="B34" s="50">
        <f>B33/B17</f>
        <v>1.0000000000000007</v>
      </c>
      <c r="G34" s="36" t="s">
        <v>39</v>
      </c>
      <c r="H34" s="37"/>
      <c r="I34" s="51">
        <f>SUM(I30:I33)</f>
        <v>650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152.36827291666665</v>
      </c>
      <c r="D39" s="58"/>
      <c r="E39" s="61"/>
    </row>
    <row r="40" spans="1:9" x14ac:dyDescent="0.25">
      <c r="A40" s="7" t="s">
        <v>58</v>
      </c>
      <c r="B40" s="17">
        <f>B25-B39</f>
        <v>1510.2917270833334</v>
      </c>
      <c r="D40" s="58"/>
      <c r="E40" s="61"/>
    </row>
    <row r="41" spans="1:9" x14ac:dyDescent="0.25">
      <c r="A41" s="7" t="s">
        <v>59</v>
      </c>
      <c r="B41" s="43">
        <f>B21-B40-I25-I34</f>
        <v>439.7082729166666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0.67631385825156842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940" priority="28" operator="equal">
      <formula>"NO"</formula>
    </cfRule>
    <cfRule type="cellIs" dxfId="4939" priority="29" operator="equal">
      <formula>"YES"</formula>
    </cfRule>
  </conditionalFormatting>
  <conditionalFormatting sqref="E38">
    <cfRule type="cellIs" dxfId="4938" priority="26" operator="equal">
      <formula>"YES"</formula>
    </cfRule>
    <cfRule type="cellIs" dxfId="4937" priority="27" operator="equal">
      <formula>"NO"</formula>
    </cfRule>
  </conditionalFormatting>
  <conditionalFormatting sqref="B23">
    <cfRule type="cellIs" dxfId="4936" priority="24" operator="equal">
      <formula>"NO"</formula>
    </cfRule>
    <cfRule type="cellIs" dxfId="4935" priority="25" operator="equal">
      <formula>"YES"</formula>
    </cfRule>
  </conditionalFormatting>
  <conditionalFormatting sqref="B12">
    <cfRule type="containsText" dxfId="4934" priority="10" operator="containsText" text="Low">
      <formula>NOT(ISERROR(SEARCH("Low",B12)))</formula>
    </cfRule>
    <cfRule type="containsText" dxfId="4933" priority="11" operator="containsText" text="Medium">
      <formula>NOT(ISERROR(SEARCH("Medium",B12)))</formula>
    </cfRule>
    <cfRule type="containsText" dxfId="4932" priority="12" operator="containsText" text="High">
      <formula>NOT(ISERROR(SEARCH("High",B12)))</formula>
    </cfRule>
  </conditionalFormatting>
  <conditionalFormatting sqref="B29">
    <cfRule type="cellIs" dxfId="4931" priority="20" operator="between">
      <formula>10%</formula>
      <formula>11.9%</formula>
    </cfRule>
    <cfRule type="cellIs" dxfId="4930" priority="22" operator="lessThan">
      <formula>0.1</formula>
    </cfRule>
    <cfRule type="cellIs" dxfId="4929" priority="23" operator="greaterThanOrEqual">
      <formula>0.12</formula>
    </cfRule>
  </conditionalFormatting>
  <conditionalFormatting sqref="B42">
    <cfRule type="cellIs" dxfId="4928" priority="18" operator="between">
      <formula>0.1</formula>
      <formula>0.1199</formula>
    </cfRule>
    <cfRule type="cellIs" dxfId="4927" priority="19" operator="lessThan">
      <formula>0.1</formula>
    </cfRule>
    <cfRule type="cellIs" dxfId="4926" priority="21" operator="greaterThanOrEqual">
      <formula>0.12</formula>
    </cfRule>
  </conditionalFormatting>
  <conditionalFormatting sqref="B10">
    <cfRule type="containsText" dxfId="4925" priority="13" operator="containsText" text="Full">
      <formula>NOT(ISERROR(SEARCH("Full",B10)))</formula>
    </cfRule>
    <cfRule type="containsText" dxfId="4924" priority="14" operator="containsText" text="Heavy">
      <formula>NOT(ISERROR(SEARCH("Heavy",B10)))</formula>
    </cfRule>
    <cfRule type="containsText" dxfId="4923" priority="15" operator="containsText" text="Medium">
      <formula>NOT(ISERROR(SEARCH("Medium",B10)))</formula>
    </cfRule>
    <cfRule type="containsText" dxfId="4922" priority="16" operator="containsText" text="Light">
      <formula>NOT(ISERROR(SEARCH("Light",B10)))</formula>
    </cfRule>
    <cfRule type="containsText" dxfId="4921" priority="17" operator="containsText" text="None">
      <formula>NOT(ISERROR(SEARCH("None",B10)))</formula>
    </cfRule>
  </conditionalFormatting>
  <conditionalFormatting sqref="B28">
    <cfRule type="cellIs" dxfId="4920" priority="30" operator="lessThan">
      <formula>$B$8*100</formula>
    </cfRule>
    <cfRule type="cellIs" dxfId="4919" priority="31" operator="greaterThanOrEqual">
      <formula>$B$8*100</formula>
    </cfRule>
  </conditionalFormatting>
  <conditionalFormatting sqref="B41">
    <cfRule type="cellIs" dxfId="4918" priority="32" operator="lessThan">
      <formula>$B$8*100</formula>
    </cfRule>
    <cfRule type="cellIs" dxfId="4917" priority="33" operator="greaterThan">
      <formula>$B$8*100</formula>
    </cfRule>
    <cfRule type="cellIs" dxfId="4916" priority="34" operator="greaterThan">
      <formula>$B$8*100</formula>
    </cfRule>
  </conditionalFormatting>
  <conditionalFormatting sqref="B38">
    <cfRule type="cellIs" dxfId="4915" priority="8" operator="equal">
      <formula>"YES"</formula>
    </cfRule>
    <cfRule type="cellIs" dxfId="4914" priority="9" operator="equal">
      <formula>"NO"</formula>
    </cfRule>
  </conditionalFormatting>
  <conditionalFormatting sqref="E23:E26">
    <cfRule type="cellIs" dxfId="4913" priority="4" operator="equal">
      <formula>"NO"</formula>
    </cfRule>
    <cfRule type="cellIs" dxfId="4912" priority="5" operator="equal">
      <formula>"YES"</formula>
    </cfRule>
  </conditionalFormatting>
  <conditionalFormatting sqref="E29">
    <cfRule type="cellIs" dxfId="4911" priority="1" operator="between">
      <formula>10%</formula>
      <formula>12%</formula>
    </cfRule>
    <cfRule type="cellIs" dxfId="4910" priority="2" operator="lessThan">
      <formula>0.1</formula>
    </cfRule>
    <cfRule type="cellIs" dxfId="4909" priority="3" operator="greaterThan">
      <formula>0.12</formula>
    </cfRule>
  </conditionalFormatting>
  <conditionalFormatting sqref="E28">
    <cfRule type="cellIs" dxfId="4908" priority="6" operator="lessThan">
      <formula>$B$8*100</formula>
    </cfRule>
    <cfRule type="cellIs" dxfId="4907" priority="7" operator="greaterThan">
      <formula>$B$8*100</formula>
    </cfRule>
  </conditionalFormatting>
  <hyperlinks>
    <hyperlink ref="A32" r:id="rId1" display="https://www.zillow.com/homes/recently_sold/" xr:uid="{490FEF29-18D5-464C-9FA1-5741CA89849B}"/>
    <hyperlink ref="A21" r:id="rId2" xr:uid="{937DC30D-0434-437D-AE7B-A990BAF49423}"/>
    <hyperlink ref="A25" r:id="rId3" display="www.mortgagecalculator.org" xr:uid="{BBBE0236-CB53-41E1-8D71-84F730DCE3F2}"/>
    <hyperlink ref="A12" r:id="rId4" xr:uid="{566E5054-6586-4783-B74C-797C5FA7E340}"/>
  </hyperlinks>
  <pageMargins left="0.7" right="0.7" top="0.75" bottom="0.75" header="0.3" footer="0.3"/>
  <legacyDrawing r:id="rId5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FD4A-BD60-46ED-8152-B0A9294288AC}">
  <sheetPr codeName="Sheet97">
    <tabColor rgb="FF92D050"/>
  </sheetPr>
  <dimension ref="A1:P42"/>
  <sheetViews>
    <sheetView topLeftCell="A13" workbookViewId="0">
      <selection activeCell="B29" sqref="B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390000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6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5148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187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390000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390000</v>
      </c>
      <c r="D16" s="2"/>
      <c r="E16" s="18"/>
    </row>
    <row r="17" spans="1:16" ht="15.75" thickBot="1" x14ac:dyDescent="0.3">
      <c r="A17" s="7" t="s">
        <v>21</v>
      </c>
      <c r="B17" s="17">
        <f>B16*0.2</f>
        <v>78000</v>
      </c>
      <c r="D17" s="19"/>
      <c r="E17" s="20"/>
      <c r="P17" s="21"/>
    </row>
    <row r="18" spans="1:16" x14ac:dyDescent="0.25">
      <c r="A18" s="7" t="s">
        <v>23</v>
      </c>
      <c r="B18" s="17">
        <f>B16-B17</f>
        <v>312000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/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500*2+800*4</f>
        <v>4200</v>
      </c>
      <c r="D21" s="23"/>
      <c r="E21" s="8"/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3900</v>
      </c>
      <c r="D22" s="7"/>
      <c r="E22" s="17"/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/>
      <c r="E23" s="31"/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2358.2199999999998</v>
      </c>
      <c r="D25" s="7"/>
      <c r="E25" s="35"/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3548.22</v>
      </c>
      <c r="D26" s="7"/>
      <c r="E26" s="17"/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651.7800000000002</v>
      </c>
      <c r="D28" s="7"/>
      <c r="E28" s="44"/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0.10027384615384619</v>
      </c>
      <c r="D29" s="46"/>
      <c r="E29" s="47"/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210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210</v>
      </c>
    </row>
    <row r="32" spans="1:16" x14ac:dyDescent="0.25">
      <c r="A32" s="26" t="s">
        <v>49</v>
      </c>
      <c r="B32" s="8">
        <f>B16</f>
        <v>390000</v>
      </c>
      <c r="G32" s="27" t="s">
        <v>50</v>
      </c>
      <c r="H32" s="48">
        <v>0.05</v>
      </c>
      <c r="I32" s="49">
        <f>$B$21*H32</f>
        <v>210</v>
      </c>
    </row>
    <row r="33" spans="1:9" x14ac:dyDescent="0.25">
      <c r="A33" s="7" t="s">
        <v>51</v>
      </c>
      <c r="B33" s="17">
        <f>B32-B18</f>
        <v>78000</v>
      </c>
      <c r="G33" s="27" t="s">
        <v>52</v>
      </c>
      <c r="H33" s="48">
        <v>0.1</v>
      </c>
      <c r="I33" s="49">
        <f>$B$21*H33</f>
        <v>420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1050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221</v>
      </c>
      <c r="D39" s="58"/>
      <c r="E39" s="61"/>
    </row>
    <row r="40" spans="1:9" x14ac:dyDescent="0.25">
      <c r="A40" s="7" t="s">
        <v>58</v>
      </c>
      <c r="B40" s="17">
        <f>B25-B39</f>
        <v>2137.2199999999998</v>
      </c>
      <c r="D40" s="58"/>
      <c r="E40" s="61"/>
    </row>
    <row r="41" spans="1:9" x14ac:dyDescent="0.25">
      <c r="A41" s="7" t="s">
        <v>59</v>
      </c>
      <c r="B41" s="43">
        <f>B21-B40-I25-I34</f>
        <v>872.7800000000002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0.13427384615384619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906" priority="28" operator="equal">
      <formula>"NO"</formula>
    </cfRule>
    <cfRule type="cellIs" dxfId="4905" priority="29" operator="equal">
      <formula>"YES"</formula>
    </cfRule>
  </conditionalFormatting>
  <conditionalFormatting sqref="E38">
    <cfRule type="cellIs" dxfId="4904" priority="26" operator="equal">
      <formula>"YES"</formula>
    </cfRule>
    <cfRule type="cellIs" dxfId="4903" priority="27" operator="equal">
      <formula>"NO"</formula>
    </cfRule>
  </conditionalFormatting>
  <conditionalFormatting sqref="B23">
    <cfRule type="cellIs" dxfId="4902" priority="24" operator="equal">
      <formula>"NO"</formula>
    </cfRule>
    <cfRule type="cellIs" dxfId="4901" priority="25" operator="equal">
      <formula>"YES"</formula>
    </cfRule>
  </conditionalFormatting>
  <conditionalFormatting sqref="B12">
    <cfRule type="containsText" dxfId="4900" priority="10" operator="containsText" text="Low">
      <formula>NOT(ISERROR(SEARCH("Low",B12)))</formula>
    </cfRule>
    <cfRule type="containsText" dxfId="4899" priority="11" operator="containsText" text="Medium">
      <formula>NOT(ISERROR(SEARCH("Medium",B12)))</formula>
    </cfRule>
    <cfRule type="containsText" dxfId="4898" priority="12" operator="containsText" text="High">
      <formula>NOT(ISERROR(SEARCH("High",B12)))</formula>
    </cfRule>
  </conditionalFormatting>
  <conditionalFormatting sqref="B29">
    <cfRule type="cellIs" dxfId="4897" priority="20" operator="between">
      <formula>10%</formula>
      <formula>11.9%</formula>
    </cfRule>
    <cfRule type="cellIs" dxfId="4896" priority="22" operator="lessThan">
      <formula>0.1</formula>
    </cfRule>
    <cfRule type="cellIs" dxfId="4895" priority="23" operator="greaterThanOrEqual">
      <formula>0.12</formula>
    </cfRule>
  </conditionalFormatting>
  <conditionalFormatting sqref="B42">
    <cfRule type="cellIs" dxfId="4894" priority="18" operator="between">
      <formula>0.1</formula>
      <formula>0.1199</formula>
    </cfRule>
    <cfRule type="cellIs" dxfId="4893" priority="19" operator="lessThan">
      <formula>0.1</formula>
    </cfRule>
    <cfRule type="cellIs" dxfId="4892" priority="21" operator="greaterThanOrEqual">
      <formula>0.12</formula>
    </cfRule>
  </conditionalFormatting>
  <conditionalFormatting sqref="B10">
    <cfRule type="containsText" dxfId="4891" priority="13" operator="containsText" text="Full">
      <formula>NOT(ISERROR(SEARCH("Full",B10)))</formula>
    </cfRule>
    <cfRule type="containsText" dxfId="4890" priority="14" operator="containsText" text="Heavy">
      <formula>NOT(ISERROR(SEARCH("Heavy",B10)))</formula>
    </cfRule>
    <cfRule type="containsText" dxfId="4889" priority="15" operator="containsText" text="Medium">
      <formula>NOT(ISERROR(SEARCH("Medium",B10)))</formula>
    </cfRule>
    <cfRule type="containsText" dxfId="4888" priority="16" operator="containsText" text="Light">
      <formula>NOT(ISERROR(SEARCH("Light",B10)))</formula>
    </cfRule>
    <cfRule type="containsText" dxfId="4887" priority="17" operator="containsText" text="None">
      <formula>NOT(ISERROR(SEARCH("None",B10)))</formula>
    </cfRule>
  </conditionalFormatting>
  <conditionalFormatting sqref="B28">
    <cfRule type="cellIs" dxfId="4886" priority="30" operator="lessThan">
      <formula>$B$8*100</formula>
    </cfRule>
    <cfRule type="cellIs" dxfId="4885" priority="31" operator="greaterThanOrEqual">
      <formula>$B$8*100</formula>
    </cfRule>
  </conditionalFormatting>
  <conditionalFormatting sqref="B41">
    <cfRule type="cellIs" dxfId="4884" priority="32" operator="lessThan">
      <formula>$B$8*100</formula>
    </cfRule>
    <cfRule type="cellIs" dxfId="4883" priority="33" operator="greaterThan">
      <formula>$B$8*100</formula>
    </cfRule>
    <cfRule type="cellIs" dxfId="4882" priority="34" operator="greaterThan">
      <formula>$B$8*100</formula>
    </cfRule>
  </conditionalFormatting>
  <conditionalFormatting sqref="B38">
    <cfRule type="cellIs" dxfId="4881" priority="8" operator="equal">
      <formula>"YES"</formula>
    </cfRule>
    <cfRule type="cellIs" dxfId="4880" priority="9" operator="equal">
      <formula>"NO"</formula>
    </cfRule>
  </conditionalFormatting>
  <conditionalFormatting sqref="E23:E26">
    <cfRule type="cellIs" dxfId="4879" priority="4" operator="equal">
      <formula>"NO"</formula>
    </cfRule>
    <cfRule type="cellIs" dxfId="4878" priority="5" operator="equal">
      <formula>"YES"</formula>
    </cfRule>
  </conditionalFormatting>
  <conditionalFormatting sqref="E29">
    <cfRule type="cellIs" dxfId="4877" priority="1" operator="between">
      <formula>10%</formula>
      <formula>12%</formula>
    </cfRule>
    <cfRule type="cellIs" dxfId="4876" priority="2" operator="lessThan">
      <formula>0.1</formula>
    </cfRule>
    <cfRule type="cellIs" dxfId="4875" priority="3" operator="greaterThan">
      <formula>0.12</formula>
    </cfRule>
  </conditionalFormatting>
  <conditionalFormatting sqref="E28">
    <cfRule type="cellIs" dxfId="4874" priority="6" operator="lessThan">
      <formula>$B$8*100</formula>
    </cfRule>
    <cfRule type="cellIs" dxfId="4873" priority="7" operator="greaterThan">
      <formula>$B$8*100</formula>
    </cfRule>
  </conditionalFormatting>
  <hyperlinks>
    <hyperlink ref="A32" r:id="rId1" display="https://www.zillow.com/homes/recently_sold/" xr:uid="{6161FA75-E7E3-4D53-B269-C915CF1B1CDE}"/>
    <hyperlink ref="A21" r:id="rId2" xr:uid="{ABE5A894-8C68-4062-9E96-8490E706E582}"/>
    <hyperlink ref="A25" r:id="rId3" display="www.mortgagecalculator.org" xr:uid="{C75829B4-81DA-43C7-862B-DF77FB1AB11E}"/>
    <hyperlink ref="A12" r:id="rId4" xr:uid="{4D5FAEED-A6B8-4112-B885-D7DC0A5AB832}"/>
  </hyperlinks>
  <pageMargins left="0.7" right="0.7" top="0.75" bottom="0.75" header="0.3" footer="0.3"/>
  <legacyDrawing r:id="rId5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75E76-77A9-4121-A117-F590D87EBD91}">
  <sheetPr codeName="Sheet98">
    <tabColor rgb="FFFF0000"/>
  </sheetPr>
  <dimension ref="A1:P42"/>
  <sheetViews>
    <sheetView topLeftCell="A13" workbookViewId="0">
      <selection activeCell="A22" sqref="A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109900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1512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93415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93415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4670.75</v>
      </c>
      <c r="D17" s="19"/>
      <c r="E17" s="20"/>
      <c r="P17" s="21"/>
    </row>
    <row r="18" spans="1:16" x14ac:dyDescent="0.25">
      <c r="A18" s="7" t="s">
        <v>23</v>
      </c>
      <c r="B18" s="17">
        <f>B16-B17</f>
        <v>88744.25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785+653</f>
        <v>1438</v>
      </c>
      <c r="D21" s="23" t="s">
        <v>28</v>
      </c>
      <c r="E21" s="8">
        <f>785/2+653</f>
        <v>1045.5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934.15</v>
      </c>
      <c r="D22" s="7" t="s">
        <v>77</v>
      </c>
      <c r="E22" s="17">
        <f>B16*0.01</f>
        <v>934.15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850</v>
      </c>
      <c r="D25" s="7" t="s">
        <v>38</v>
      </c>
      <c r="E25" s="35">
        <f>B25</f>
        <v>850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1329.5</v>
      </c>
      <c r="D26" s="7" t="s">
        <v>41</v>
      </c>
      <c r="E26" s="17">
        <f>E25+I25+I34</f>
        <v>1329.5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108.5</v>
      </c>
      <c r="D28" s="7" t="s">
        <v>43</v>
      </c>
      <c r="E28" s="44">
        <f>E21-E25-I25-I34+I24+I33</f>
        <v>-20.199999999999989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0.27875608842263022</v>
      </c>
      <c r="D29" s="46" t="s">
        <v>44</v>
      </c>
      <c r="E29" s="47">
        <f>(E28*12)/B17</f>
        <v>-5.1897446876839878E-2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71.900000000000006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71.900000000000006</v>
      </c>
    </row>
    <row r="32" spans="1:16" x14ac:dyDescent="0.25">
      <c r="A32" s="26" t="s">
        <v>49</v>
      </c>
      <c r="B32" s="8">
        <f>B16</f>
        <v>93415</v>
      </c>
      <c r="G32" s="27" t="s">
        <v>50</v>
      </c>
      <c r="H32" s="48">
        <v>0.05</v>
      </c>
      <c r="I32" s="49">
        <f>$B$21*H32</f>
        <v>71.900000000000006</v>
      </c>
    </row>
    <row r="33" spans="1:9" x14ac:dyDescent="0.25">
      <c r="A33" s="7" t="s">
        <v>51</v>
      </c>
      <c r="B33" s="17">
        <f>B32-B18</f>
        <v>4670.75</v>
      </c>
      <c r="G33" s="27" t="s">
        <v>52</v>
      </c>
      <c r="H33" s="48">
        <v>0.1</v>
      </c>
      <c r="I33" s="49">
        <f>$B$21*H33</f>
        <v>143.80000000000001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359.5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62.860510416666671</v>
      </c>
      <c r="D39" s="58"/>
      <c r="E39" s="61"/>
    </row>
    <row r="40" spans="1:9" x14ac:dyDescent="0.25">
      <c r="A40" s="7" t="s">
        <v>58</v>
      </c>
      <c r="B40" s="17">
        <f>B25-B39</f>
        <v>787.13948958333333</v>
      </c>
      <c r="D40" s="58"/>
      <c r="E40" s="61"/>
    </row>
    <row r="41" spans="1:9" x14ac:dyDescent="0.25">
      <c r="A41" s="7" t="s">
        <v>59</v>
      </c>
      <c r="B41" s="43">
        <f>B21-B40-I25-I34</f>
        <v>171.36051041666667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0.4402560884226302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872" priority="28" operator="equal">
      <formula>"NO"</formula>
    </cfRule>
    <cfRule type="cellIs" dxfId="4871" priority="29" operator="equal">
      <formula>"YES"</formula>
    </cfRule>
  </conditionalFormatting>
  <conditionalFormatting sqref="E38">
    <cfRule type="cellIs" dxfId="4870" priority="26" operator="equal">
      <formula>"YES"</formula>
    </cfRule>
    <cfRule type="cellIs" dxfId="4869" priority="27" operator="equal">
      <formula>"NO"</formula>
    </cfRule>
  </conditionalFormatting>
  <conditionalFormatting sqref="B23">
    <cfRule type="cellIs" dxfId="4868" priority="24" operator="equal">
      <formula>"NO"</formula>
    </cfRule>
    <cfRule type="cellIs" dxfId="4867" priority="25" operator="equal">
      <formula>"YES"</formula>
    </cfRule>
  </conditionalFormatting>
  <conditionalFormatting sqref="B12">
    <cfRule type="containsText" dxfId="4866" priority="10" operator="containsText" text="Low">
      <formula>NOT(ISERROR(SEARCH("Low",B12)))</formula>
    </cfRule>
    <cfRule type="containsText" dxfId="4865" priority="11" operator="containsText" text="Medium">
      <formula>NOT(ISERROR(SEARCH("Medium",B12)))</formula>
    </cfRule>
    <cfRule type="containsText" dxfId="4864" priority="12" operator="containsText" text="High">
      <formula>NOT(ISERROR(SEARCH("High",B12)))</formula>
    </cfRule>
  </conditionalFormatting>
  <conditionalFormatting sqref="B29">
    <cfRule type="cellIs" dxfId="4863" priority="20" operator="between">
      <formula>10%</formula>
      <formula>11.9%</formula>
    </cfRule>
    <cfRule type="cellIs" dxfId="4862" priority="22" operator="lessThan">
      <formula>0.1</formula>
    </cfRule>
    <cfRule type="cellIs" dxfId="4861" priority="23" operator="greaterThanOrEqual">
      <formula>0.12</formula>
    </cfRule>
  </conditionalFormatting>
  <conditionalFormatting sqref="B42">
    <cfRule type="cellIs" dxfId="4860" priority="18" operator="between">
      <formula>0.1</formula>
      <formula>0.1199</formula>
    </cfRule>
    <cfRule type="cellIs" dxfId="4859" priority="19" operator="lessThan">
      <formula>0.1</formula>
    </cfRule>
    <cfRule type="cellIs" dxfId="4858" priority="21" operator="greaterThanOrEqual">
      <formula>0.12</formula>
    </cfRule>
  </conditionalFormatting>
  <conditionalFormatting sqref="B10">
    <cfRule type="containsText" dxfId="4857" priority="13" operator="containsText" text="Full">
      <formula>NOT(ISERROR(SEARCH("Full",B10)))</formula>
    </cfRule>
    <cfRule type="containsText" dxfId="4856" priority="14" operator="containsText" text="Heavy">
      <formula>NOT(ISERROR(SEARCH("Heavy",B10)))</formula>
    </cfRule>
    <cfRule type="containsText" dxfId="4855" priority="15" operator="containsText" text="Medium">
      <formula>NOT(ISERROR(SEARCH("Medium",B10)))</formula>
    </cfRule>
    <cfRule type="containsText" dxfId="4854" priority="16" operator="containsText" text="Light">
      <formula>NOT(ISERROR(SEARCH("Light",B10)))</formula>
    </cfRule>
    <cfRule type="containsText" dxfId="4853" priority="17" operator="containsText" text="None">
      <formula>NOT(ISERROR(SEARCH("None",B10)))</formula>
    </cfRule>
  </conditionalFormatting>
  <conditionalFormatting sqref="B28">
    <cfRule type="cellIs" dxfId="4852" priority="30" operator="lessThan">
      <formula>$B$8*100</formula>
    </cfRule>
    <cfRule type="cellIs" dxfId="4851" priority="31" operator="greaterThanOrEqual">
      <formula>$B$8*100</formula>
    </cfRule>
  </conditionalFormatting>
  <conditionalFormatting sqref="B41">
    <cfRule type="cellIs" dxfId="4850" priority="32" operator="lessThan">
      <formula>$B$8*100</formula>
    </cfRule>
    <cfRule type="cellIs" dxfId="4849" priority="33" operator="greaterThan">
      <formula>$B$8*100</formula>
    </cfRule>
    <cfRule type="cellIs" dxfId="4848" priority="34" operator="greaterThan">
      <formula>$B$8*100</formula>
    </cfRule>
  </conditionalFormatting>
  <conditionalFormatting sqref="B38">
    <cfRule type="cellIs" dxfId="4847" priority="8" operator="equal">
      <formula>"YES"</formula>
    </cfRule>
    <cfRule type="cellIs" dxfId="4846" priority="9" operator="equal">
      <formula>"NO"</formula>
    </cfRule>
  </conditionalFormatting>
  <conditionalFormatting sqref="E23:E26">
    <cfRule type="cellIs" dxfId="4845" priority="4" operator="equal">
      <formula>"NO"</formula>
    </cfRule>
    <cfRule type="cellIs" dxfId="4844" priority="5" operator="equal">
      <formula>"YES"</formula>
    </cfRule>
  </conditionalFormatting>
  <conditionalFormatting sqref="E29">
    <cfRule type="cellIs" dxfId="4843" priority="1" operator="between">
      <formula>10%</formula>
      <formula>12%</formula>
    </cfRule>
    <cfRule type="cellIs" dxfId="4842" priority="2" operator="lessThan">
      <formula>0.1</formula>
    </cfRule>
    <cfRule type="cellIs" dxfId="4841" priority="3" operator="greaterThan">
      <formula>0.12</formula>
    </cfRule>
  </conditionalFormatting>
  <conditionalFormatting sqref="E28">
    <cfRule type="cellIs" dxfId="4840" priority="6" operator="lessThan">
      <formula>$B$8*100</formula>
    </cfRule>
    <cfRule type="cellIs" dxfId="4839" priority="7" operator="greaterThan">
      <formula>$B$8*100</formula>
    </cfRule>
  </conditionalFormatting>
  <hyperlinks>
    <hyperlink ref="A32" r:id="rId1" display="https://www.zillow.com/homes/recently_sold/" xr:uid="{4DC22B57-9C31-4908-BEA4-ABE8C792BCF2}"/>
    <hyperlink ref="A21" r:id="rId2" xr:uid="{B2F73F7B-D006-4755-AED0-8CD83AB37AFE}"/>
    <hyperlink ref="A25" r:id="rId3" display="www.mortgagecalculator.org" xr:uid="{62155717-7530-495B-BE0A-26B1B1FEBE66}"/>
    <hyperlink ref="A12" r:id="rId4" xr:uid="{765AC374-9395-4A70-BF40-42E1890EF7FE}"/>
  </hyperlinks>
  <pageMargins left="0.7" right="0.7" top="0.75" bottom="0.75" header="0.3" footer="0.3"/>
  <legacyDrawing r:id="rId5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8D8F-77A5-4E3F-AB18-E53D9F92054E}">
  <sheetPr codeName="Sheet99">
    <tabColor rgb="FF92D050"/>
  </sheetPr>
  <dimension ref="A1:P42"/>
  <sheetViews>
    <sheetView workbookViewId="0">
      <selection activeCell="A33" sqref="A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1824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58650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45600</v>
      </c>
      <c r="D15" s="2"/>
      <c r="E15" s="3"/>
    </row>
    <row r="16" spans="1:10" x14ac:dyDescent="0.25">
      <c r="A16" s="7" t="s">
        <v>20</v>
      </c>
      <c r="B16" s="17">
        <f>B15+B13</f>
        <v>104250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3648.7500000000005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100601.25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800+700</f>
        <v>1500</v>
      </c>
      <c r="D21" s="23" t="s">
        <v>28</v>
      </c>
      <c r="E21" s="8">
        <f>800+700/2</f>
        <v>1150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1042.5</v>
      </c>
      <c r="D22" s="7" t="s">
        <v>77</v>
      </c>
      <c r="E22" s="17">
        <f>B16*0.01</f>
        <v>1042.5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826.54</v>
      </c>
      <c r="D25" s="7" t="s">
        <v>38</v>
      </c>
      <c r="E25" s="35">
        <f>B25</f>
        <v>826.54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1321.54</v>
      </c>
      <c r="D26" s="7" t="s">
        <v>41</v>
      </c>
      <c r="E26" s="17">
        <f>E25+I25+I34</f>
        <v>1321.54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178.46000000000004</v>
      </c>
      <c r="D28" s="7" t="s">
        <v>43</v>
      </c>
      <c r="E28" s="44">
        <f>E21-E25-I25-I34+I24+I33</f>
        <v>98.460000000000036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0.58691880781089423</v>
      </c>
      <c r="D29" s="46" t="s">
        <v>44</v>
      </c>
      <c r="E29" s="47">
        <f>(E28*12)/B17</f>
        <v>0.32381500513874623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75</v>
      </c>
    </row>
    <row r="32" spans="1:16" x14ac:dyDescent="0.25">
      <c r="A32" s="26" t="s">
        <v>49</v>
      </c>
      <c r="B32" s="8">
        <f>B16</f>
        <v>104250</v>
      </c>
      <c r="G32" s="27" t="s">
        <v>50</v>
      </c>
      <c r="H32" s="48">
        <v>0.05</v>
      </c>
      <c r="I32" s="49">
        <f>$B$21*H32</f>
        <v>75</v>
      </c>
    </row>
    <row r="33" spans="1:9" x14ac:dyDescent="0.25">
      <c r="A33" s="7" t="s">
        <v>51</v>
      </c>
      <c r="B33" s="17">
        <f>B32-B18</f>
        <v>3648.75</v>
      </c>
      <c r="G33" s="27" t="s">
        <v>52</v>
      </c>
      <c r="H33" s="48">
        <v>0.1</v>
      </c>
      <c r="I33" s="49">
        <f>$B$21*H33</f>
        <v>150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71.259218750000002</v>
      </c>
      <c r="D39" s="58"/>
      <c r="E39" s="61"/>
    </row>
    <row r="40" spans="1:9" x14ac:dyDescent="0.25">
      <c r="A40" s="7" t="s">
        <v>58</v>
      </c>
      <c r="B40" s="17">
        <f>B25-B39</f>
        <v>755.28078125000002</v>
      </c>
      <c r="D40" s="58"/>
      <c r="E40" s="61"/>
    </row>
    <row r="41" spans="1:9" x14ac:dyDescent="0.25">
      <c r="A41" s="7" t="s">
        <v>59</v>
      </c>
      <c r="B41" s="43">
        <f>B21-B40-I25-I34</f>
        <v>249.71921874999998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0.82127595066803682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838" priority="28" operator="equal">
      <formula>"NO"</formula>
    </cfRule>
    <cfRule type="cellIs" dxfId="4837" priority="29" operator="equal">
      <formula>"YES"</formula>
    </cfRule>
  </conditionalFormatting>
  <conditionalFormatting sqref="E38">
    <cfRule type="cellIs" dxfId="4836" priority="26" operator="equal">
      <formula>"YES"</formula>
    </cfRule>
    <cfRule type="cellIs" dxfId="4835" priority="27" operator="equal">
      <formula>"NO"</formula>
    </cfRule>
  </conditionalFormatting>
  <conditionalFormatting sqref="B23">
    <cfRule type="cellIs" dxfId="4834" priority="24" operator="equal">
      <formula>"NO"</formula>
    </cfRule>
    <cfRule type="cellIs" dxfId="4833" priority="25" operator="equal">
      <formula>"YES"</formula>
    </cfRule>
  </conditionalFormatting>
  <conditionalFormatting sqref="B12">
    <cfRule type="containsText" dxfId="4832" priority="10" operator="containsText" text="Low">
      <formula>NOT(ISERROR(SEARCH("Low",B12)))</formula>
    </cfRule>
    <cfRule type="containsText" dxfId="4831" priority="11" operator="containsText" text="Medium">
      <formula>NOT(ISERROR(SEARCH("Medium",B12)))</formula>
    </cfRule>
    <cfRule type="containsText" dxfId="4830" priority="12" operator="containsText" text="High">
      <formula>NOT(ISERROR(SEARCH("High",B12)))</formula>
    </cfRule>
  </conditionalFormatting>
  <conditionalFormatting sqref="B29">
    <cfRule type="cellIs" dxfId="4829" priority="20" operator="between">
      <formula>10%</formula>
      <formula>11.9%</formula>
    </cfRule>
    <cfRule type="cellIs" dxfId="4828" priority="22" operator="lessThan">
      <formula>0.1</formula>
    </cfRule>
    <cfRule type="cellIs" dxfId="4827" priority="23" operator="greaterThanOrEqual">
      <formula>0.12</formula>
    </cfRule>
  </conditionalFormatting>
  <conditionalFormatting sqref="B42">
    <cfRule type="cellIs" dxfId="4826" priority="18" operator="between">
      <formula>0.1</formula>
      <formula>0.1199</formula>
    </cfRule>
    <cfRule type="cellIs" dxfId="4825" priority="19" operator="lessThan">
      <formula>0.1</formula>
    </cfRule>
    <cfRule type="cellIs" dxfId="4824" priority="21" operator="greaterThanOrEqual">
      <formula>0.12</formula>
    </cfRule>
  </conditionalFormatting>
  <conditionalFormatting sqref="B10">
    <cfRule type="containsText" dxfId="4823" priority="13" operator="containsText" text="Full">
      <formula>NOT(ISERROR(SEARCH("Full",B10)))</formula>
    </cfRule>
    <cfRule type="containsText" dxfId="4822" priority="14" operator="containsText" text="Heavy">
      <formula>NOT(ISERROR(SEARCH("Heavy",B10)))</formula>
    </cfRule>
    <cfRule type="containsText" dxfId="4821" priority="15" operator="containsText" text="Medium">
      <formula>NOT(ISERROR(SEARCH("Medium",B10)))</formula>
    </cfRule>
    <cfRule type="containsText" dxfId="4820" priority="16" operator="containsText" text="Light">
      <formula>NOT(ISERROR(SEARCH("Light",B10)))</formula>
    </cfRule>
    <cfRule type="containsText" dxfId="4819" priority="17" operator="containsText" text="None">
      <formula>NOT(ISERROR(SEARCH("None",B10)))</formula>
    </cfRule>
  </conditionalFormatting>
  <conditionalFormatting sqref="B28">
    <cfRule type="cellIs" dxfId="4818" priority="30" operator="lessThan">
      <formula>$B$8*100</formula>
    </cfRule>
    <cfRule type="cellIs" dxfId="4817" priority="31" operator="greaterThanOrEqual">
      <formula>$B$8*100</formula>
    </cfRule>
  </conditionalFormatting>
  <conditionalFormatting sqref="B41">
    <cfRule type="cellIs" dxfId="4816" priority="32" operator="lessThan">
      <formula>$B$8*100</formula>
    </cfRule>
    <cfRule type="cellIs" dxfId="4815" priority="33" operator="greaterThan">
      <formula>$B$8*100</formula>
    </cfRule>
    <cfRule type="cellIs" dxfId="4814" priority="34" operator="greaterThan">
      <formula>$B$8*100</formula>
    </cfRule>
  </conditionalFormatting>
  <conditionalFormatting sqref="B38">
    <cfRule type="cellIs" dxfId="4813" priority="8" operator="equal">
      <formula>"YES"</formula>
    </cfRule>
    <cfRule type="cellIs" dxfId="4812" priority="9" operator="equal">
      <formula>"NO"</formula>
    </cfRule>
  </conditionalFormatting>
  <conditionalFormatting sqref="E23:E26">
    <cfRule type="cellIs" dxfId="4811" priority="4" operator="equal">
      <formula>"NO"</formula>
    </cfRule>
    <cfRule type="cellIs" dxfId="4810" priority="5" operator="equal">
      <formula>"YES"</formula>
    </cfRule>
  </conditionalFormatting>
  <conditionalFormatting sqref="E29">
    <cfRule type="cellIs" dxfId="4809" priority="1" operator="between">
      <formula>10%</formula>
      <formula>12%</formula>
    </cfRule>
    <cfRule type="cellIs" dxfId="4808" priority="2" operator="lessThan">
      <formula>0.1</formula>
    </cfRule>
    <cfRule type="cellIs" dxfId="4807" priority="3" operator="greaterThan">
      <formula>0.12</formula>
    </cfRule>
  </conditionalFormatting>
  <conditionalFormatting sqref="E28">
    <cfRule type="cellIs" dxfId="4806" priority="6" operator="lessThan">
      <formula>$B$8*100</formula>
    </cfRule>
    <cfRule type="cellIs" dxfId="4805" priority="7" operator="greaterThan">
      <formula>$B$8*100</formula>
    </cfRule>
  </conditionalFormatting>
  <hyperlinks>
    <hyperlink ref="A32" r:id="rId1" display="https://www.zillow.com/homes/recently_sold/" xr:uid="{B5DB6C76-2779-4FA9-894F-18EDA89E47BA}"/>
    <hyperlink ref="A21" r:id="rId2" xr:uid="{F5CAE358-C6A7-42EB-8DBD-6F709F0C5270}"/>
    <hyperlink ref="A25" r:id="rId3" display="www.mortgagecalculator.org" xr:uid="{8E448AC4-DCB6-404D-A8B0-286C8DCFBD03}"/>
    <hyperlink ref="A12" r:id="rId4" xr:uid="{7883DEBE-C7E3-4E35-B996-EDEDD5E643DA}"/>
  </hyperlinks>
  <pageMargins left="0.7" right="0.7" top="0.75" bottom="0.75" header="0.3" footer="0.3"/>
  <legacyDrawing r:id="rId5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974F-54A5-4285-BC7C-11B74ABB797A}">
  <sheetPr codeName="Sheet100">
    <tabColor rgb="FFFF0000"/>
  </sheetPr>
  <dimension ref="A1:P42"/>
  <sheetViews>
    <sheetView topLeftCell="A16" workbookViewId="0">
      <selection activeCell="B33" sqref="B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189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250000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1872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212500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46800</v>
      </c>
      <c r="D15" s="2"/>
      <c r="E15" s="3"/>
    </row>
    <row r="16" spans="1:10" x14ac:dyDescent="0.25">
      <c r="A16" s="7" t="s">
        <v>20</v>
      </c>
      <c r="B16" s="17">
        <f>B15+B13</f>
        <v>259300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9075.5</v>
      </c>
      <c r="D17" s="19"/>
      <c r="E17" s="20"/>
      <c r="P17" s="21"/>
    </row>
    <row r="18" spans="1:16" x14ac:dyDescent="0.25">
      <c r="A18" s="7" t="s">
        <v>23</v>
      </c>
      <c r="B18" s="17">
        <f>B16-B17</f>
        <v>250224.5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1068*2</f>
        <v>2136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2593</v>
      </c>
      <c r="D22" s="7" t="s">
        <v>77</v>
      </c>
      <c r="E22" s="17">
        <f>B16*0.01</f>
        <v>2593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1905.19</v>
      </c>
      <c r="D25" s="7" t="s">
        <v>38</v>
      </c>
      <c r="E25" s="35">
        <f>B25</f>
        <v>1905.19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2559.19</v>
      </c>
      <c r="D26" s="7" t="s">
        <v>41</v>
      </c>
      <c r="E26" s="17">
        <f>E25+I25+I34</f>
        <v>2559.19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-423.19000000000005</v>
      </c>
      <c r="D28" s="7" t="s">
        <v>43</v>
      </c>
      <c r="E28" s="44">
        <f>E21-E25-I25-I34+I24+I33</f>
        <v>-1175.5900000000001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-0.55955925293372277</v>
      </c>
      <c r="D29" s="46" t="s">
        <v>44</v>
      </c>
      <c r="E29" s="47">
        <f>(E28*12)/B17</f>
        <v>-1.554413530934935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106.80000000000001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106.80000000000001</v>
      </c>
    </row>
    <row r="32" spans="1:16" x14ac:dyDescent="0.25">
      <c r="A32" s="26" t="s">
        <v>49</v>
      </c>
      <c r="B32" s="8">
        <f>B16</f>
        <v>259300</v>
      </c>
      <c r="G32" s="27" t="s">
        <v>50</v>
      </c>
      <c r="H32" s="48">
        <v>0.05</v>
      </c>
      <c r="I32" s="49">
        <f>$B$21*H32</f>
        <v>106.80000000000001</v>
      </c>
    </row>
    <row r="33" spans="1:9" x14ac:dyDescent="0.25">
      <c r="A33" s="7" t="s">
        <v>51</v>
      </c>
      <c r="B33" s="17">
        <f>B32-B18</f>
        <v>9075.5</v>
      </c>
      <c r="G33" s="27" t="s">
        <v>52</v>
      </c>
      <c r="H33" s="48">
        <v>0.1</v>
      </c>
      <c r="I33" s="49">
        <f>$B$21*H33</f>
        <v>213.60000000000002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534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177.24235416666667</v>
      </c>
      <c r="D39" s="58"/>
      <c r="E39" s="61"/>
    </row>
    <row r="40" spans="1:9" x14ac:dyDescent="0.25">
      <c r="A40" s="7" t="s">
        <v>58</v>
      </c>
      <c r="B40" s="17">
        <f>B25-B39</f>
        <v>1727.9476458333334</v>
      </c>
      <c r="D40" s="58"/>
      <c r="E40" s="61"/>
    </row>
    <row r="41" spans="1:9" x14ac:dyDescent="0.25">
      <c r="A41" s="7" t="s">
        <v>59</v>
      </c>
      <c r="B41" s="43">
        <f>B21-B40-I25-I34</f>
        <v>-245.94764583333335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-0.32520211007657984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804" priority="28" operator="equal">
      <formula>"NO"</formula>
    </cfRule>
    <cfRule type="cellIs" dxfId="4803" priority="29" operator="equal">
      <formula>"YES"</formula>
    </cfRule>
  </conditionalFormatting>
  <conditionalFormatting sqref="E38">
    <cfRule type="cellIs" dxfId="4802" priority="26" operator="equal">
      <formula>"YES"</formula>
    </cfRule>
    <cfRule type="cellIs" dxfId="4801" priority="27" operator="equal">
      <formula>"NO"</formula>
    </cfRule>
  </conditionalFormatting>
  <conditionalFormatting sqref="B23">
    <cfRule type="cellIs" dxfId="4800" priority="24" operator="equal">
      <formula>"NO"</formula>
    </cfRule>
    <cfRule type="cellIs" dxfId="4799" priority="25" operator="equal">
      <formula>"YES"</formula>
    </cfRule>
  </conditionalFormatting>
  <conditionalFormatting sqref="B12">
    <cfRule type="containsText" dxfId="4798" priority="10" operator="containsText" text="Low">
      <formula>NOT(ISERROR(SEARCH("Low",B12)))</formula>
    </cfRule>
    <cfRule type="containsText" dxfId="4797" priority="11" operator="containsText" text="Medium">
      <formula>NOT(ISERROR(SEARCH("Medium",B12)))</formula>
    </cfRule>
    <cfRule type="containsText" dxfId="4796" priority="12" operator="containsText" text="High">
      <formula>NOT(ISERROR(SEARCH("High",B12)))</formula>
    </cfRule>
  </conditionalFormatting>
  <conditionalFormatting sqref="B29">
    <cfRule type="cellIs" dxfId="4795" priority="20" operator="between">
      <formula>10%</formula>
      <formula>11.9%</formula>
    </cfRule>
    <cfRule type="cellIs" dxfId="4794" priority="22" operator="lessThan">
      <formula>0.1</formula>
    </cfRule>
    <cfRule type="cellIs" dxfId="4793" priority="23" operator="greaterThanOrEqual">
      <formula>0.12</formula>
    </cfRule>
  </conditionalFormatting>
  <conditionalFormatting sqref="B42">
    <cfRule type="cellIs" dxfId="4792" priority="18" operator="between">
      <formula>0.1</formula>
      <formula>0.1199</formula>
    </cfRule>
    <cfRule type="cellIs" dxfId="4791" priority="19" operator="lessThan">
      <formula>0.1</formula>
    </cfRule>
    <cfRule type="cellIs" dxfId="4790" priority="21" operator="greaterThanOrEqual">
      <formula>0.12</formula>
    </cfRule>
  </conditionalFormatting>
  <conditionalFormatting sqref="B10">
    <cfRule type="containsText" dxfId="4789" priority="13" operator="containsText" text="Full">
      <formula>NOT(ISERROR(SEARCH("Full",B10)))</formula>
    </cfRule>
    <cfRule type="containsText" dxfId="4788" priority="14" operator="containsText" text="Heavy">
      <formula>NOT(ISERROR(SEARCH("Heavy",B10)))</formula>
    </cfRule>
    <cfRule type="containsText" dxfId="4787" priority="15" operator="containsText" text="Medium">
      <formula>NOT(ISERROR(SEARCH("Medium",B10)))</formula>
    </cfRule>
    <cfRule type="containsText" dxfId="4786" priority="16" operator="containsText" text="Light">
      <formula>NOT(ISERROR(SEARCH("Light",B10)))</formula>
    </cfRule>
    <cfRule type="containsText" dxfId="4785" priority="17" operator="containsText" text="None">
      <formula>NOT(ISERROR(SEARCH("None",B10)))</formula>
    </cfRule>
  </conditionalFormatting>
  <conditionalFormatting sqref="B28">
    <cfRule type="cellIs" dxfId="4784" priority="30" operator="lessThan">
      <formula>$B$8*100</formula>
    </cfRule>
    <cfRule type="cellIs" dxfId="4783" priority="31" operator="greaterThanOrEqual">
      <formula>$B$8*100</formula>
    </cfRule>
  </conditionalFormatting>
  <conditionalFormatting sqref="B41">
    <cfRule type="cellIs" dxfId="4782" priority="32" operator="lessThan">
      <formula>$B$8*100</formula>
    </cfRule>
    <cfRule type="cellIs" dxfId="4781" priority="33" operator="greaterThan">
      <formula>$B$8*100</formula>
    </cfRule>
    <cfRule type="cellIs" dxfId="4780" priority="34" operator="greaterThan">
      <formula>$B$8*100</formula>
    </cfRule>
  </conditionalFormatting>
  <conditionalFormatting sqref="B38">
    <cfRule type="cellIs" dxfId="4779" priority="8" operator="equal">
      <formula>"YES"</formula>
    </cfRule>
    <cfRule type="cellIs" dxfId="4778" priority="9" operator="equal">
      <formula>"NO"</formula>
    </cfRule>
  </conditionalFormatting>
  <conditionalFormatting sqref="E23:E26">
    <cfRule type="cellIs" dxfId="4777" priority="4" operator="equal">
      <formula>"NO"</formula>
    </cfRule>
    <cfRule type="cellIs" dxfId="4776" priority="5" operator="equal">
      <formula>"YES"</formula>
    </cfRule>
  </conditionalFormatting>
  <conditionalFormatting sqref="E29">
    <cfRule type="cellIs" dxfId="4775" priority="1" operator="between">
      <formula>10%</formula>
      <formula>12%</formula>
    </cfRule>
    <cfRule type="cellIs" dxfId="4774" priority="2" operator="lessThan">
      <formula>0.1</formula>
    </cfRule>
    <cfRule type="cellIs" dxfId="4773" priority="3" operator="greaterThan">
      <formula>0.12</formula>
    </cfRule>
  </conditionalFormatting>
  <conditionalFormatting sqref="E28">
    <cfRule type="cellIs" dxfId="4772" priority="6" operator="lessThan">
      <formula>$B$8*100</formula>
    </cfRule>
    <cfRule type="cellIs" dxfId="4771" priority="7" operator="greaterThan">
      <formula>$B$8*100</formula>
    </cfRule>
  </conditionalFormatting>
  <hyperlinks>
    <hyperlink ref="A32" r:id="rId1" display="https://www.zillow.com/homes/recently_sold/" xr:uid="{6D2DAB6F-880C-4CBF-8895-D2FFA9A2C46D}"/>
    <hyperlink ref="A21" r:id="rId2" xr:uid="{D4EE51EC-0FF8-4E02-B261-0A649C01BB54}"/>
    <hyperlink ref="A25" r:id="rId3" display="www.mortgagecalculator.org" xr:uid="{E376220C-8502-4369-9397-B9F14CE4F7D8}"/>
    <hyperlink ref="A12" r:id="rId4" xr:uid="{264C5AF6-C4FA-4275-AA96-2CCA25737ED0}"/>
  </hyperlinks>
  <pageMargins left="0.7" right="0.7" top="0.75" bottom="0.75" header="0.3" footer="0.3"/>
  <legacyDrawing r:id="rId5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0084-70CF-4C07-83C6-BE817471A16D}">
  <sheetPr codeName="Sheet101">
    <tabColor rgb="FFFF0000"/>
  </sheetPr>
  <dimension ref="A1:P42"/>
  <sheetViews>
    <sheetView topLeftCell="A25" workbookViewId="0">
      <selection activeCell="B17" sqref="B1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369900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165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B7*0.95</f>
        <v>351405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351405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17570.25</v>
      </c>
      <c r="D17" s="19"/>
      <c r="E17" s="20"/>
      <c r="P17" s="21"/>
    </row>
    <row r="18" spans="1:16" x14ac:dyDescent="0.25">
      <c r="A18" s="7" t="s">
        <v>23</v>
      </c>
      <c r="B18" s="17">
        <f>B16-B17</f>
        <v>333834.75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2007+1480</f>
        <v>3487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3514.05</v>
      </c>
      <c r="D22" s="7" t="s">
        <v>77</v>
      </c>
      <c r="E22" s="17">
        <f>B16*0.01</f>
        <v>3514.05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2441.0500000000002</v>
      </c>
      <c r="D25" s="7" t="s">
        <v>38</v>
      </c>
      <c r="E25" s="35">
        <f>B25</f>
        <v>2441.0500000000002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3452.8</v>
      </c>
      <c r="D26" s="7" t="s">
        <v>41</v>
      </c>
      <c r="E26" s="17">
        <f>E25+I25+I34</f>
        <v>3452.8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34.199999999999818</v>
      </c>
      <c r="D28" s="7" t="s">
        <v>43</v>
      </c>
      <c r="E28" s="44">
        <f>E21-E25-I25-I34+I24+I33</f>
        <v>-1914.1000000000001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2.3357664233576519E-2</v>
      </c>
      <c r="D29" s="46" t="s">
        <v>44</v>
      </c>
      <c r="E29" s="47">
        <f>(E28*12)/B17</f>
        <v>-1.3072779271780424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174.35000000000002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174.35000000000002</v>
      </c>
    </row>
    <row r="32" spans="1:16" x14ac:dyDescent="0.25">
      <c r="A32" s="26" t="s">
        <v>49</v>
      </c>
      <c r="B32" s="8">
        <f>B16</f>
        <v>351405</v>
      </c>
      <c r="G32" s="27" t="s">
        <v>50</v>
      </c>
      <c r="H32" s="48">
        <v>0.05</v>
      </c>
      <c r="I32" s="49">
        <f>$B$21*H32</f>
        <v>174.35000000000002</v>
      </c>
    </row>
    <row r="33" spans="1:9" x14ac:dyDescent="0.25">
      <c r="A33" s="7" t="s">
        <v>51</v>
      </c>
      <c r="B33" s="17">
        <f>B32-B18</f>
        <v>17570.25</v>
      </c>
      <c r="G33" s="27" t="s">
        <v>52</v>
      </c>
      <c r="H33" s="48">
        <v>0.1</v>
      </c>
      <c r="I33" s="49">
        <f>$B$21*H33</f>
        <v>348.70000000000005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871.75000000000011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236.46628125000004</v>
      </c>
      <c r="D39" s="58"/>
      <c r="E39" s="61"/>
    </row>
    <row r="40" spans="1:9" x14ac:dyDescent="0.25">
      <c r="A40" s="7" t="s">
        <v>58</v>
      </c>
      <c r="B40" s="17">
        <f>B25-B39</f>
        <v>2204.5837187500001</v>
      </c>
      <c r="D40" s="58"/>
      <c r="E40" s="61"/>
    </row>
    <row r="41" spans="1:9" x14ac:dyDescent="0.25">
      <c r="A41" s="7" t="s">
        <v>59</v>
      </c>
      <c r="B41" s="43">
        <f>B21-B40-I25-I34</f>
        <v>270.66628124999977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0.1848576642335765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770" priority="28" operator="equal">
      <formula>"NO"</formula>
    </cfRule>
    <cfRule type="cellIs" dxfId="4769" priority="29" operator="equal">
      <formula>"YES"</formula>
    </cfRule>
  </conditionalFormatting>
  <conditionalFormatting sqref="E38">
    <cfRule type="cellIs" dxfId="4768" priority="26" operator="equal">
      <formula>"YES"</formula>
    </cfRule>
    <cfRule type="cellIs" dxfId="4767" priority="27" operator="equal">
      <formula>"NO"</formula>
    </cfRule>
  </conditionalFormatting>
  <conditionalFormatting sqref="B23">
    <cfRule type="cellIs" dxfId="4766" priority="24" operator="equal">
      <formula>"NO"</formula>
    </cfRule>
    <cfRule type="cellIs" dxfId="4765" priority="25" operator="equal">
      <formula>"YES"</formula>
    </cfRule>
  </conditionalFormatting>
  <conditionalFormatting sqref="B12">
    <cfRule type="containsText" dxfId="4764" priority="10" operator="containsText" text="Low">
      <formula>NOT(ISERROR(SEARCH("Low",B12)))</formula>
    </cfRule>
    <cfRule type="containsText" dxfId="4763" priority="11" operator="containsText" text="Medium">
      <formula>NOT(ISERROR(SEARCH("Medium",B12)))</formula>
    </cfRule>
    <cfRule type="containsText" dxfId="4762" priority="12" operator="containsText" text="High">
      <formula>NOT(ISERROR(SEARCH("High",B12)))</formula>
    </cfRule>
  </conditionalFormatting>
  <conditionalFormatting sqref="B29">
    <cfRule type="cellIs" dxfId="4761" priority="20" operator="between">
      <formula>10%</formula>
      <formula>11.9%</formula>
    </cfRule>
    <cfRule type="cellIs" dxfId="4760" priority="22" operator="lessThan">
      <formula>0.1</formula>
    </cfRule>
    <cfRule type="cellIs" dxfId="4759" priority="23" operator="greaterThanOrEqual">
      <formula>0.12</formula>
    </cfRule>
  </conditionalFormatting>
  <conditionalFormatting sqref="B42">
    <cfRule type="cellIs" dxfId="4758" priority="18" operator="between">
      <formula>0.1</formula>
      <formula>0.1199</formula>
    </cfRule>
    <cfRule type="cellIs" dxfId="4757" priority="19" operator="lessThan">
      <formula>0.1</formula>
    </cfRule>
    <cfRule type="cellIs" dxfId="4756" priority="21" operator="greaterThanOrEqual">
      <formula>0.12</formula>
    </cfRule>
  </conditionalFormatting>
  <conditionalFormatting sqref="B10">
    <cfRule type="containsText" dxfId="4755" priority="13" operator="containsText" text="Full">
      <formula>NOT(ISERROR(SEARCH("Full",B10)))</formula>
    </cfRule>
    <cfRule type="containsText" dxfId="4754" priority="14" operator="containsText" text="Heavy">
      <formula>NOT(ISERROR(SEARCH("Heavy",B10)))</formula>
    </cfRule>
    <cfRule type="containsText" dxfId="4753" priority="15" operator="containsText" text="Medium">
      <formula>NOT(ISERROR(SEARCH("Medium",B10)))</formula>
    </cfRule>
    <cfRule type="containsText" dxfId="4752" priority="16" operator="containsText" text="Light">
      <formula>NOT(ISERROR(SEARCH("Light",B10)))</formula>
    </cfRule>
    <cfRule type="containsText" dxfId="4751" priority="17" operator="containsText" text="None">
      <formula>NOT(ISERROR(SEARCH("None",B10)))</formula>
    </cfRule>
  </conditionalFormatting>
  <conditionalFormatting sqref="B28">
    <cfRule type="cellIs" dxfId="4750" priority="30" operator="lessThan">
      <formula>$B$8*100</formula>
    </cfRule>
    <cfRule type="cellIs" dxfId="4749" priority="31" operator="greaterThanOrEqual">
      <formula>$B$8*100</formula>
    </cfRule>
  </conditionalFormatting>
  <conditionalFormatting sqref="B41">
    <cfRule type="cellIs" dxfId="4748" priority="32" operator="lessThan">
      <formula>$B$8*100</formula>
    </cfRule>
    <cfRule type="cellIs" dxfId="4747" priority="33" operator="greaterThan">
      <formula>$B$8*100</formula>
    </cfRule>
    <cfRule type="cellIs" dxfId="4746" priority="34" operator="greaterThan">
      <formula>$B$8*100</formula>
    </cfRule>
  </conditionalFormatting>
  <conditionalFormatting sqref="B38">
    <cfRule type="cellIs" dxfId="4745" priority="8" operator="equal">
      <formula>"YES"</formula>
    </cfRule>
    <cfRule type="cellIs" dxfId="4744" priority="9" operator="equal">
      <formula>"NO"</formula>
    </cfRule>
  </conditionalFormatting>
  <conditionalFormatting sqref="E23:E26">
    <cfRule type="cellIs" dxfId="4743" priority="4" operator="equal">
      <formula>"NO"</formula>
    </cfRule>
    <cfRule type="cellIs" dxfId="4742" priority="5" operator="equal">
      <formula>"YES"</formula>
    </cfRule>
  </conditionalFormatting>
  <conditionalFormatting sqref="E29">
    <cfRule type="cellIs" dxfId="4741" priority="1" operator="between">
      <formula>10%</formula>
      <formula>12%</formula>
    </cfRule>
    <cfRule type="cellIs" dxfId="4740" priority="2" operator="lessThan">
      <formula>0.1</formula>
    </cfRule>
    <cfRule type="cellIs" dxfId="4739" priority="3" operator="greaterThan">
      <formula>0.12</formula>
    </cfRule>
  </conditionalFormatting>
  <conditionalFormatting sqref="E28">
    <cfRule type="cellIs" dxfId="4738" priority="6" operator="lessThan">
      <formula>$B$8*100</formula>
    </cfRule>
    <cfRule type="cellIs" dxfId="4737" priority="7" operator="greaterThan">
      <formula>$B$8*100</formula>
    </cfRule>
  </conditionalFormatting>
  <hyperlinks>
    <hyperlink ref="A32" r:id="rId1" display="https://www.zillow.com/homes/recently_sold/" xr:uid="{997CD714-7B1F-493C-9EC2-2EB0159DDA60}"/>
    <hyperlink ref="A21" r:id="rId2" xr:uid="{89762BC1-554B-488A-AD84-77A835A3B64F}"/>
    <hyperlink ref="A25" r:id="rId3" display="www.mortgagecalculator.org" xr:uid="{6F229886-94F0-44F7-9E8A-54192BCA0C90}"/>
    <hyperlink ref="A12" r:id="rId4" xr:uid="{CFCB6E4F-407B-40BD-A510-7A3C6D251A10}"/>
  </hyperlinks>
  <pageMargins left="0.7" right="0.7" top="0.75" bottom="0.75" header="0.3" footer="0.3"/>
  <pageSetup orientation="portrait" r:id="rId5"/>
  <legacyDrawing r:id="rId6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E233-8E7E-4027-B83E-10ED2F908751}">
  <sheetPr codeName="Sheet102">
    <tabColor rgb="FFFF0000"/>
  </sheetPr>
  <dimension ref="A1:P42"/>
  <sheetViews>
    <sheetView topLeftCell="A12" workbookViewId="0">
      <selection activeCell="B32" sqref="B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300000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1802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270000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270000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13500</v>
      </c>
      <c r="D17" s="19"/>
      <c r="E17" s="20"/>
      <c r="P17" s="21"/>
    </row>
    <row r="18" spans="1:16" x14ac:dyDescent="0.25">
      <c r="A18" s="7" t="s">
        <v>23</v>
      </c>
      <c r="B18" s="17">
        <f>B16-B17</f>
        <v>256500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1062*2</f>
        <v>2124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2700</v>
      </c>
      <c r="D22" s="7" t="s">
        <v>77</v>
      </c>
      <c r="E22" s="17">
        <f>B16*0.01</f>
        <v>2700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1862.11</v>
      </c>
      <c r="D25" s="7" t="s">
        <v>38</v>
      </c>
      <c r="E25" s="35">
        <f>B25</f>
        <v>1862.11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2513.1099999999997</v>
      </c>
      <c r="D26" s="7" t="s">
        <v>41</v>
      </c>
      <c r="E26" s="17">
        <f>E25+I25+I34</f>
        <v>2513.1099999999997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-389.10999999999967</v>
      </c>
      <c r="D28" s="7" t="s">
        <v>43</v>
      </c>
      <c r="E28" s="44">
        <f>E21-E25-I25-I34+I24+I33</f>
        <v>-1130.7099999999998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-0.34587555555555527</v>
      </c>
      <c r="D29" s="46" t="s">
        <v>44</v>
      </c>
      <c r="E29" s="47">
        <f>(E28*12)/B17</f>
        <v>-1.0050755555555553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106.2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106.2</v>
      </c>
    </row>
    <row r="32" spans="1:16" x14ac:dyDescent="0.25">
      <c r="A32" s="26" t="s">
        <v>49</v>
      </c>
      <c r="B32" s="8">
        <f>B16</f>
        <v>270000</v>
      </c>
      <c r="G32" s="27" t="s">
        <v>50</v>
      </c>
      <c r="H32" s="48">
        <v>0.05</v>
      </c>
      <c r="I32" s="49">
        <f>$B$21*H32</f>
        <v>106.2</v>
      </c>
    </row>
    <row r="33" spans="1:9" x14ac:dyDescent="0.25">
      <c r="A33" s="7" t="s">
        <v>51</v>
      </c>
      <c r="B33" s="17">
        <f>B32-B18</f>
        <v>13500</v>
      </c>
      <c r="G33" s="27" t="s">
        <v>52</v>
      </c>
      <c r="H33" s="48">
        <v>0.1</v>
      </c>
      <c r="I33" s="49">
        <f>$B$21*H33</f>
        <v>212.4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531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181.6875</v>
      </c>
      <c r="D39" s="58"/>
      <c r="E39" s="61"/>
    </row>
    <row r="40" spans="1:9" x14ac:dyDescent="0.25">
      <c r="A40" s="7" t="s">
        <v>58</v>
      </c>
      <c r="B40" s="17">
        <f>B25-B39</f>
        <v>1680.4224999999999</v>
      </c>
      <c r="D40" s="58"/>
      <c r="E40" s="61"/>
    </row>
    <row r="41" spans="1:9" x14ac:dyDescent="0.25">
      <c r="A41" s="7" t="s">
        <v>59</v>
      </c>
      <c r="B41" s="43">
        <f>B21-B40-I25-I34</f>
        <v>-207.4224999999999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-0.18437555555555546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736" priority="28" operator="equal">
      <formula>"NO"</formula>
    </cfRule>
    <cfRule type="cellIs" dxfId="4735" priority="29" operator="equal">
      <formula>"YES"</formula>
    </cfRule>
  </conditionalFormatting>
  <conditionalFormatting sqref="E38">
    <cfRule type="cellIs" dxfId="4734" priority="26" operator="equal">
      <formula>"YES"</formula>
    </cfRule>
    <cfRule type="cellIs" dxfId="4733" priority="27" operator="equal">
      <formula>"NO"</formula>
    </cfRule>
  </conditionalFormatting>
  <conditionalFormatting sqref="B23">
    <cfRule type="cellIs" dxfId="4732" priority="24" operator="equal">
      <formula>"NO"</formula>
    </cfRule>
    <cfRule type="cellIs" dxfId="4731" priority="25" operator="equal">
      <formula>"YES"</formula>
    </cfRule>
  </conditionalFormatting>
  <conditionalFormatting sqref="B12">
    <cfRule type="containsText" dxfId="4730" priority="10" operator="containsText" text="Low">
      <formula>NOT(ISERROR(SEARCH("Low",B12)))</formula>
    </cfRule>
    <cfRule type="containsText" dxfId="4729" priority="11" operator="containsText" text="Medium">
      <formula>NOT(ISERROR(SEARCH("Medium",B12)))</formula>
    </cfRule>
    <cfRule type="containsText" dxfId="4728" priority="12" operator="containsText" text="High">
      <formula>NOT(ISERROR(SEARCH("High",B12)))</formula>
    </cfRule>
  </conditionalFormatting>
  <conditionalFormatting sqref="B29">
    <cfRule type="cellIs" dxfId="4727" priority="20" operator="between">
      <formula>10%</formula>
      <formula>11.9%</formula>
    </cfRule>
    <cfRule type="cellIs" dxfId="4726" priority="22" operator="lessThan">
      <formula>0.1</formula>
    </cfRule>
    <cfRule type="cellIs" dxfId="4725" priority="23" operator="greaterThanOrEqual">
      <formula>0.12</formula>
    </cfRule>
  </conditionalFormatting>
  <conditionalFormatting sqref="B42">
    <cfRule type="cellIs" dxfId="4724" priority="18" operator="between">
      <formula>0.1</formula>
      <formula>0.1199</formula>
    </cfRule>
    <cfRule type="cellIs" dxfId="4723" priority="19" operator="lessThan">
      <formula>0.1</formula>
    </cfRule>
    <cfRule type="cellIs" dxfId="4722" priority="21" operator="greaterThanOrEqual">
      <formula>0.12</formula>
    </cfRule>
  </conditionalFormatting>
  <conditionalFormatting sqref="B10">
    <cfRule type="containsText" dxfId="4721" priority="13" operator="containsText" text="Full">
      <formula>NOT(ISERROR(SEARCH("Full",B10)))</formula>
    </cfRule>
    <cfRule type="containsText" dxfId="4720" priority="14" operator="containsText" text="Heavy">
      <formula>NOT(ISERROR(SEARCH("Heavy",B10)))</formula>
    </cfRule>
    <cfRule type="containsText" dxfId="4719" priority="15" operator="containsText" text="Medium">
      <formula>NOT(ISERROR(SEARCH("Medium",B10)))</formula>
    </cfRule>
    <cfRule type="containsText" dxfId="4718" priority="16" operator="containsText" text="Light">
      <formula>NOT(ISERROR(SEARCH("Light",B10)))</formula>
    </cfRule>
    <cfRule type="containsText" dxfId="4717" priority="17" operator="containsText" text="None">
      <formula>NOT(ISERROR(SEARCH("None",B10)))</formula>
    </cfRule>
  </conditionalFormatting>
  <conditionalFormatting sqref="B28">
    <cfRule type="cellIs" dxfId="4716" priority="30" operator="lessThan">
      <formula>$B$8*100</formula>
    </cfRule>
    <cfRule type="cellIs" dxfId="4715" priority="31" operator="greaterThanOrEqual">
      <formula>$B$8*100</formula>
    </cfRule>
  </conditionalFormatting>
  <conditionalFormatting sqref="B41">
    <cfRule type="cellIs" dxfId="4714" priority="32" operator="lessThan">
      <formula>$B$8*100</formula>
    </cfRule>
    <cfRule type="cellIs" dxfId="4713" priority="33" operator="greaterThan">
      <formula>$B$8*100</formula>
    </cfRule>
    <cfRule type="cellIs" dxfId="4712" priority="34" operator="greaterThan">
      <formula>$B$8*100</formula>
    </cfRule>
  </conditionalFormatting>
  <conditionalFormatting sqref="B38">
    <cfRule type="cellIs" dxfId="4711" priority="8" operator="equal">
      <formula>"YES"</formula>
    </cfRule>
    <cfRule type="cellIs" dxfId="4710" priority="9" operator="equal">
      <formula>"NO"</formula>
    </cfRule>
  </conditionalFormatting>
  <conditionalFormatting sqref="E23:E26">
    <cfRule type="cellIs" dxfId="4709" priority="4" operator="equal">
      <formula>"NO"</formula>
    </cfRule>
    <cfRule type="cellIs" dxfId="4708" priority="5" operator="equal">
      <formula>"YES"</formula>
    </cfRule>
  </conditionalFormatting>
  <conditionalFormatting sqref="E29">
    <cfRule type="cellIs" dxfId="4707" priority="1" operator="between">
      <formula>10%</formula>
      <formula>12%</formula>
    </cfRule>
    <cfRule type="cellIs" dxfId="4706" priority="2" operator="lessThan">
      <formula>0.1</formula>
    </cfRule>
    <cfRule type="cellIs" dxfId="4705" priority="3" operator="greaterThan">
      <formula>0.12</formula>
    </cfRule>
  </conditionalFormatting>
  <conditionalFormatting sqref="E28">
    <cfRule type="cellIs" dxfId="4704" priority="6" operator="lessThan">
      <formula>$B$8*100</formula>
    </cfRule>
    <cfRule type="cellIs" dxfId="4703" priority="7" operator="greaterThan">
      <formula>$B$8*100</formula>
    </cfRule>
  </conditionalFormatting>
  <hyperlinks>
    <hyperlink ref="A32" r:id="rId1" display="https://www.zillow.com/homes/recently_sold/" xr:uid="{D6B14C8D-81A6-4745-A457-445EBD467538}"/>
    <hyperlink ref="A21" r:id="rId2" xr:uid="{15D3D66D-1DA8-4A56-8E0F-DE5DF02311B4}"/>
    <hyperlink ref="A25" r:id="rId3" display="www.mortgagecalculator.org" xr:uid="{93BA857C-EBDF-4066-9FA9-34CDAA2B6000}"/>
    <hyperlink ref="A12" r:id="rId4" xr:uid="{78C97D3B-5CED-42F8-9D5B-4CD6F478FCC6}"/>
  </hyperlinks>
  <pageMargins left="0.7" right="0.7" top="0.75" bottom="0.75" header="0.3" footer="0.3"/>
  <legacyDrawing r:id="rId5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43BE1-273F-4E1A-BE80-E52BEF2BAA79}">
  <sheetPr codeName="Sheet103">
    <tabColor rgb="FFFF0000"/>
  </sheetPr>
  <dimension ref="A1:P42"/>
  <sheetViews>
    <sheetView topLeftCell="A12" workbookViewId="0">
      <selection activeCell="A27" sqref="A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499000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4256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424150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424150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21207.5</v>
      </c>
      <c r="D17" s="19"/>
      <c r="E17" s="20"/>
      <c r="P17" s="21"/>
    </row>
    <row r="18" spans="1:16" x14ac:dyDescent="0.25">
      <c r="A18" s="7" t="s">
        <v>23</v>
      </c>
      <c r="B18" s="17">
        <f>B16-B17</f>
        <v>402942.5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60000/12</f>
        <v>5000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4241.5</v>
      </c>
      <c r="D22" s="7" t="s">
        <v>77</v>
      </c>
      <c r="E22" s="17">
        <f>B16*0.01</f>
        <v>4241.5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>
        <f>2500/12</f>
        <v>208.33333333333334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300</v>
      </c>
    </row>
    <row r="25" spans="1:16" ht="15.75" thickBot="1" x14ac:dyDescent="0.3">
      <c r="A25" s="26" t="s">
        <v>37</v>
      </c>
      <c r="B25" s="8">
        <v>3311.23</v>
      </c>
      <c r="D25" s="7" t="s">
        <v>38</v>
      </c>
      <c r="E25" s="35">
        <f>B25</f>
        <v>3311.23</v>
      </c>
      <c r="G25" s="36" t="s">
        <v>39</v>
      </c>
      <c r="H25" s="37"/>
      <c r="I25" s="38">
        <f>SUM(I21:I24)</f>
        <v>508.33333333333337</v>
      </c>
    </row>
    <row r="26" spans="1:16" x14ac:dyDescent="0.25">
      <c r="A26" s="7" t="s">
        <v>40</v>
      </c>
      <c r="B26" s="17">
        <f>B25+I25+I34</f>
        <v>5069.5633333333335</v>
      </c>
      <c r="D26" s="7" t="s">
        <v>41</v>
      </c>
      <c r="E26" s="17">
        <f>E25+I25+I34</f>
        <v>5069.5633333333335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-69.563333333333503</v>
      </c>
      <c r="D28" s="7" t="s">
        <v>43</v>
      </c>
      <c r="E28" s="44">
        <f>E21-E25-I25-I34+I24+I33</f>
        <v>-3219.5633333333335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-3.9361546622657173E-2</v>
      </c>
      <c r="D29" s="46" t="s">
        <v>44</v>
      </c>
      <c r="E29" s="47">
        <f>(E28*12)/B17</f>
        <v>-1.8217498526464695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250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250</v>
      </c>
    </row>
    <row r="32" spans="1:16" x14ac:dyDescent="0.25">
      <c r="A32" s="26" t="s">
        <v>49</v>
      </c>
      <c r="B32" s="8">
        <f>B16</f>
        <v>424150</v>
      </c>
      <c r="G32" s="27" t="s">
        <v>50</v>
      </c>
      <c r="H32" s="48">
        <v>0.05</v>
      </c>
      <c r="I32" s="49">
        <f>$B$21*H32</f>
        <v>250</v>
      </c>
    </row>
    <row r="33" spans="1:9" x14ac:dyDescent="0.25">
      <c r="A33" s="7" t="s">
        <v>51</v>
      </c>
      <c r="B33" s="17">
        <f>B32-B18</f>
        <v>21207.5</v>
      </c>
      <c r="G33" s="27" t="s">
        <v>52</v>
      </c>
      <c r="H33" s="48">
        <v>0.1</v>
      </c>
      <c r="I33" s="49">
        <f>$B$21*H33</f>
        <v>500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1250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285.41760416666671</v>
      </c>
      <c r="D39" s="58"/>
      <c r="E39" s="61"/>
    </row>
    <row r="40" spans="1:9" x14ac:dyDescent="0.25">
      <c r="A40" s="7" t="s">
        <v>58</v>
      </c>
      <c r="B40" s="17">
        <f>B25-B39</f>
        <v>3025.8123958333335</v>
      </c>
      <c r="D40" s="58"/>
      <c r="E40" s="61"/>
    </row>
    <row r="41" spans="1:9" x14ac:dyDescent="0.25">
      <c r="A41" s="7" t="s">
        <v>59</v>
      </c>
      <c r="B41" s="43">
        <f>B21-B40-I25-I34</f>
        <v>215.85427083333298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0.12213845337734272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702" priority="28" operator="equal">
      <formula>"NO"</formula>
    </cfRule>
    <cfRule type="cellIs" dxfId="4701" priority="29" operator="equal">
      <formula>"YES"</formula>
    </cfRule>
  </conditionalFormatting>
  <conditionalFormatting sqref="E38">
    <cfRule type="cellIs" dxfId="4700" priority="26" operator="equal">
      <formula>"YES"</formula>
    </cfRule>
    <cfRule type="cellIs" dxfId="4699" priority="27" operator="equal">
      <formula>"NO"</formula>
    </cfRule>
  </conditionalFormatting>
  <conditionalFormatting sqref="B23">
    <cfRule type="cellIs" dxfId="4698" priority="24" operator="equal">
      <formula>"NO"</formula>
    </cfRule>
    <cfRule type="cellIs" dxfId="4697" priority="25" operator="equal">
      <formula>"YES"</formula>
    </cfRule>
  </conditionalFormatting>
  <conditionalFormatting sqref="B12">
    <cfRule type="containsText" dxfId="4696" priority="10" operator="containsText" text="Low">
      <formula>NOT(ISERROR(SEARCH("Low",B12)))</formula>
    </cfRule>
    <cfRule type="containsText" dxfId="4695" priority="11" operator="containsText" text="Medium">
      <formula>NOT(ISERROR(SEARCH("Medium",B12)))</formula>
    </cfRule>
    <cfRule type="containsText" dxfId="4694" priority="12" operator="containsText" text="High">
      <formula>NOT(ISERROR(SEARCH("High",B12)))</formula>
    </cfRule>
  </conditionalFormatting>
  <conditionalFormatting sqref="B29">
    <cfRule type="cellIs" dxfId="4693" priority="20" operator="between">
      <formula>10%</formula>
      <formula>11.9%</formula>
    </cfRule>
    <cfRule type="cellIs" dxfId="4692" priority="22" operator="lessThan">
      <formula>0.1</formula>
    </cfRule>
    <cfRule type="cellIs" dxfId="4691" priority="23" operator="greaterThanOrEqual">
      <formula>0.12</formula>
    </cfRule>
  </conditionalFormatting>
  <conditionalFormatting sqref="B42">
    <cfRule type="cellIs" dxfId="4690" priority="18" operator="between">
      <formula>0.1</formula>
      <formula>0.1199</formula>
    </cfRule>
    <cfRule type="cellIs" dxfId="4689" priority="19" operator="lessThan">
      <formula>0.1</formula>
    </cfRule>
    <cfRule type="cellIs" dxfId="4688" priority="21" operator="greaterThanOrEqual">
      <formula>0.12</formula>
    </cfRule>
  </conditionalFormatting>
  <conditionalFormatting sqref="B10">
    <cfRule type="containsText" dxfId="4687" priority="13" operator="containsText" text="Full">
      <formula>NOT(ISERROR(SEARCH("Full",B10)))</formula>
    </cfRule>
    <cfRule type="containsText" dxfId="4686" priority="14" operator="containsText" text="Heavy">
      <formula>NOT(ISERROR(SEARCH("Heavy",B10)))</formula>
    </cfRule>
    <cfRule type="containsText" dxfId="4685" priority="15" operator="containsText" text="Medium">
      <formula>NOT(ISERROR(SEARCH("Medium",B10)))</formula>
    </cfRule>
    <cfRule type="containsText" dxfId="4684" priority="16" operator="containsText" text="Light">
      <formula>NOT(ISERROR(SEARCH("Light",B10)))</formula>
    </cfRule>
    <cfRule type="containsText" dxfId="4683" priority="17" operator="containsText" text="None">
      <formula>NOT(ISERROR(SEARCH("None",B10)))</formula>
    </cfRule>
  </conditionalFormatting>
  <conditionalFormatting sqref="B28">
    <cfRule type="cellIs" dxfId="4682" priority="30" operator="lessThan">
      <formula>$B$8*100</formula>
    </cfRule>
    <cfRule type="cellIs" dxfId="4681" priority="31" operator="greaterThanOrEqual">
      <formula>$B$8*100</formula>
    </cfRule>
  </conditionalFormatting>
  <conditionalFormatting sqref="B41">
    <cfRule type="cellIs" dxfId="4680" priority="32" operator="lessThan">
      <formula>$B$8*100</formula>
    </cfRule>
    <cfRule type="cellIs" dxfId="4679" priority="33" operator="greaterThan">
      <formula>$B$8*100</formula>
    </cfRule>
    <cfRule type="cellIs" dxfId="4678" priority="34" operator="greaterThan">
      <formula>$B$8*100</formula>
    </cfRule>
  </conditionalFormatting>
  <conditionalFormatting sqref="B38">
    <cfRule type="cellIs" dxfId="4677" priority="8" operator="equal">
      <formula>"YES"</formula>
    </cfRule>
    <cfRule type="cellIs" dxfId="4676" priority="9" operator="equal">
      <formula>"NO"</formula>
    </cfRule>
  </conditionalFormatting>
  <conditionalFormatting sqref="E23:E26">
    <cfRule type="cellIs" dxfId="4675" priority="4" operator="equal">
      <formula>"NO"</formula>
    </cfRule>
    <cfRule type="cellIs" dxfId="4674" priority="5" operator="equal">
      <formula>"YES"</formula>
    </cfRule>
  </conditionalFormatting>
  <conditionalFormatting sqref="E29">
    <cfRule type="cellIs" dxfId="4673" priority="1" operator="between">
      <formula>10%</formula>
      <formula>12%</formula>
    </cfRule>
    <cfRule type="cellIs" dxfId="4672" priority="2" operator="lessThan">
      <formula>0.1</formula>
    </cfRule>
    <cfRule type="cellIs" dxfId="4671" priority="3" operator="greaterThan">
      <formula>0.12</formula>
    </cfRule>
  </conditionalFormatting>
  <conditionalFormatting sqref="E28">
    <cfRule type="cellIs" dxfId="4670" priority="6" operator="lessThan">
      <formula>$B$8*100</formula>
    </cfRule>
    <cfRule type="cellIs" dxfId="4669" priority="7" operator="greaterThan">
      <formula>$B$8*100</formula>
    </cfRule>
  </conditionalFormatting>
  <hyperlinks>
    <hyperlink ref="A32" r:id="rId1" display="https://www.zillow.com/homes/recently_sold/" xr:uid="{68D6BA20-8E1B-4DA2-8267-98AFA6DCAF2F}"/>
    <hyperlink ref="A21" r:id="rId2" xr:uid="{0043D31E-6F1F-47BD-998F-9423776DBF29}"/>
    <hyperlink ref="A25" r:id="rId3" display="www.mortgagecalculator.org" xr:uid="{1DA85EB4-0D7C-4929-B06F-9E464078C4E3}"/>
    <hyperlink ref="A12" r:id="rId4" xr:uid="{F77E4185-46CB-45C9-B7FB-EA0726271A91}"/>
  </hyperlinks>
  <pageMargins left="0.7" right="0.7" top="0.75" bottom="0.75" header="0.3" footer="0.3"/>
  <legacyDrawing r:id="rId5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7B27A-069B-4461-9C39-DCBA1213278C}">
  <sheetPr codeName="Sheet104">
    <tabColor rgb="FF00B050"/>
  </sheetPr>
  <dimension ref="A1:P42"/>
  <sheetViews>
    <sheetView topLeftCell="A7" workbookViewId="0">
      <selection activeCell="B27" sqref="B2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2246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97750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33690</v>
      </c>
      <c r="D15" s="2"/>
      <c r="E15" s="3"/>
    </row>
    <row r="16" spans="1:10" x14ac:dyDescent="0.25">
      <c r="A16" s="7" t="s">
        <v>20</v>
      </c>
      <c r="B16" s="17">
        <f>B15+B13</f>
        <v>131440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4600.4000000000005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126839.6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920+1000</f>
        <v>1920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1314.4</v>
      </c>
      <c r="D22" s="7" t="s">
        <v>77</v>
      </c>
      <c r="E22" s="17">
        <f>B16*0.01</f>
        <v>1314.4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1101.49</v>
      </c>
      <c r="D25" s="7" t="s">
        <v>38</v>
      </c>
      <c r="E25" s="35">
        <f>B25</f>
        <v>1101.49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1721.49</v>
      </c>
      <c r="D26" s="7" t="s">
        <v>41</v>
      </c>
      <c r="E26" s="17">
        <f>E25+I25+I34</f>
        <v>1721.49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198.51</v>
      </c>
      <c r="D28" s="7" t="s">
        <v>43</v>
      </c>
      <c r="E28" s="44">
        <f>E21-E25-I25-I34+I24+I33</f>
        <v>-339.49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0.51780714720459087</v>
      </c>
      <c r="D29" s="46" t="s">
        <v>44</v>
      </c>
      <c r="E29" s="47">
        <f>(E28*12)/B17</f>
        <v>-0.88554908268846177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96</v>
      </c>
    </row>
    <row r="32" spans="1:16" x14ac:dyDescent="0.25">
      <c r="A32" s="26" t="s">
        <v>49</v>
      </c>
      <c r="B32" s="8">
        <f>B16</f>
        <v>131440</v>
      </c>
      <c r="G32" s="27" t="s">
        <v>50</v>
      </c>
      <c r="H32" s="48">
        <v>0.05</v>
      </c>
      <c r="I32" s="49">
        <f>$B$21*H32</f>
        <v>96</v>
      </c>
    </row>
    <row r="33" spans="1:9" x14ac:dyDescent="0.25">
      <c r="A33" s="7" t="s">
        <v>51</v>
      </c>
      <c r="B33" s="17">
        <f>B32-B18</f>
        <v>4600.3999999999942</v>
      </c>
      <c r="G33" s="27" t="s">
        <v>52</v>
      </c>
      <c r="H33" s="48">
        <v>0.1</v>
      </c>
      <c r="I33" s="49">
        <f>$B$21*H33</f>
        <v>192</v>
      </c>
    </row>
    <row r="34" spans="1:9" ht="15.75" thickBot="1" x14ac:dyDescent="0.3">
      <c r="A34" s="7" t="s">
        <v>53</v>
      </c>
      <c r="B34" s="50">
        <f>B33/B17</f>
        <v>0.99999999999999867</v>
      </c>
      <c r="G34" s="36" t="s">
        <v>39</v>
      </c>
      <c r="H34" s="37"/>
      <c r="I34" s="51">
        <f>SUM(I30:I33)</f>
        <v>480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89.84471666666667</v>
      </c>
      <c r="D39" s="58"/>
      <c r="E39" s="61"/>
    </row>
    <row r="40" spans="1:9" x14ac:dyDescent="0.25">
      <c r="A40" s="7" t="s">
        <v>58</v>
      </c>
      <c r="B40" s="17">
        <f>B25-B39</f>
        <v>1011.6452833333333</v>
      </c>
      <c r="D40" s="58"/>
      <c r="E40" s="61"/>
    </row>
    <row r="41" spans="1:9" x14ac:dyDescent="0.25">
      <c r="A41" s="7" t="s">
        <v>59</v>
      </c>
      <c r="B41" s="43">
        <f>B21-B40-I25-I34</f>
        <v>288.35471666666672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0.7521642900617338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668" priority="28" operator="equal">
      <formula>"NO"</formula>
    </cfRule>
    <cfRule type="cellIs" dxfId="4667" priority="29" operator="equal">
      <formula>"YES"</formula>
    </cfRule>
  </conditionalFormatting>
  <conditionalFormatting sqref="E38">
    <cfRule type="cellIs" dxfId="4666" priority="26" operator="equal">
      <formula>"YES"</formula>
    </cfRule>
    <cfRule type="cellIs" dxfId="4665" priority="27" operator="equal">
      <formula>"NO"</formula>
    </cfRule>
  </conditionalFormatting>
  <conditionalFormatting sqref="B23">
    <cfRule type="cellIs" dxfId="4664" priority="24" operator="equal">
      <formula>"NO"</formula>
    </cfRule>
    <cfRule type="cellIs" dxfId="4663" priority="25" operator="equal">
      <formula>"YES"</formula>
    </cfRule>
  </conditionalFormatting>
  <conditionalFormatting sqref="B12">
    <cfRule type="containsText" dxfId="4662" priority="10" operator="containsText" text="Low">
      <formula>NOT(ISERROR(SEARCH("Low",B12)))</formula>
    </cfRule>
    <cfRule type="containsText" dxfId="4661" priority="11" operator="containsText" text="Medium">
      <formula>NOT(ISERROR(SEARCH("Medium",B12)))</formula>
    </cfRule>
    <cfRule type="containsText" dxfId="4660" priority="12" operator="containsText" text="High">
      <formula>NOT(ISERROR(SEARCH("High",B12)))</formula>
    </cfRule>
  </conditionalFormatting>
  <conditionalFormatting sqref="B29">
    <cfRule type="cellIs" dxfId="4659" priority="20" operator="between">
      <formula>10%</formula>
      <formula>11.9%</formula>
    </cfRule>
    <cfRule type="cellIs" dxfId="4658" priority="22" operator="lessThan">
      <formula>0.1</formula>
    </cfRule>
    <cfRule type="cellIs" dxfId="4657" priority="23" operator="greaterThanOrEqual">
      <formula>0.12</formula>
    </cfRule>
  </conditionalFormatting>
  <conditionalFormatting sqref="B42">
    <cfRule type="cellIs" dxfId="4656" priority="18" operator="between">
      <formula>0.1</formula>
      <formula>0.1199</formula>
    </cfRule>
    <cfRule type="cellIs" dxfId="4655" priority="19" operator="lessThan">
      <formula>0.1</formula>
    </cfRule>
    <cfRule type="cellIs" dxfId="4654" priority="21" operator="greaterThanOrEqual">
      <formula>0.12</formula>
    </cfRule>
  </conditionalFormatting>
  <conditionalFormatting sqref="B10">
    <cfRule type="containsText" dxfId="4653" priority="13" operator="containsText" text="Full">
      <formula>NOT(ISERROR(SEARCH("Full",B10)))</formula>
    </cfRule>
    <cfRule type="containsText" dxfId="4652" priority="14" operator="containsText" text="Heavy">
      <formula>NOT(ISERROR(SEARCH("Heavy",B10)))</formula>
    </cfRule>
    <cfRule type="containsText" dxfId="4651" priority="15" operator="containsText" text="Medium">
      <formula>NOT(ISERROR(SEARCH("Medium",B10)))</formula>
    </cfRule>
    <cfRule type="containsText" dxfId="4650" priority="16" operator="containsText" text="Light">
      <formula>NOT(ISERROR(SEARCH("Light",B10)))</formula>
    </cfRule>
    <cfRule type="containsText" dxfId="4649" priority="17" operator="containsText" text="None">
      <formula>NOT(ISERROR(SEARCH("None",B10)))</formula>
    </cfRule>
  </conditionalFormatting>
  <conditionalFormatting sqref="B28">
    <cfRule type="cellIs" dxfId="4648" priority="30" operator="lessThan">
      <formula>$B$8*100</formula>
    </cfRule>
    <cfRule type="cellIs" dxfId="4647" priority="31" operator="greaterThanOrEqual">
      <formula>$B$8*100</formula>
    </cfRule>
  </conditionalFormatting>
  <conditionalFormatting sqref="B41">
    <cfRule type="cellIs" dxfId="4646" priority="32" operator="lessThan">
      <formula>$B$8*100</formula>
    </cfRule>
    <cfRule type="cellIs" dxfId="4645" priority="33" operator="greaterThan">
      <formula>$B$8*100</formula>
    </cfRule>
    <cfRule type="cellIs" dxfId="4644" priority="34" operator="greaterThan">
      <formula>$B$8*100</formula>
    </cfRule>
  </conditionalFormatting>
  <conditionalFormatting sqref="B38">
    <cfRule type="cellIs" dxfId="4643" priority="8" operator="equal">
      <formula>"YES"</formula>
    </cfRule>
    <cfRule type="cellIs" dxfId="4642" priority="9" operator="equal">
      <formula>"NO"</formula>
    </cfRule>
  </conditionalFormatting>
  <conditionalFormatting sqref="E23:E26">
    <cfRule type="cellIs" dxfId="4641" priority="4" operator="equal">
      <formula>"NO"</formula>
    </cfRule>
    <cfRule type="cellIs" dxfId="4640" priority="5" operator="equal">
      <formula>"YES"</formula>
    </cfRule>
  </conditionalFormatting>
  <conditionalFormatting sqref="E29">
    <cfRule type="cellIs" dxfId="4639" priority="1" operator="between">
      <formula>10%</formula>
      <formula>12%</formula>
    </cfRule>
    <cfRule type="cellIs" dxfId="4638" priority="2" operator="lessThan">
      <formula>0.1</formula>
    </cfRule>
    <cfRule type="cellIs" dxfId="4637" priority="3" operator="greaterThan">
      <formula>0.12</formula>
    </cfRule>
  </conditionalFormatting>
  <conditionalFormatting sqref="E28">
    <cfRule type="cellIs" dxfId="4636" priority="6" operator="lessThan">
      <formula>$B$8*100</formula>
    </cfRule>
    <cfRule type="cellIs" dxfId="4635" priority="7" operator="greaterThan">
      <formula>$B$8*100</formula>
    </cfRule>
  </conditionalFormatting>
  <hyperlinks>
    <hyperlink ref="A32" r:id="rId1" display="https://www.zillow.com/homes/recently_sold/" xr:uid="{71512DA6-6B72-48D2-99BC-4CAF63EDE262}"/>
    <hyperlink ref="A21" r:id="rId2" xr:uid="{F041B652-B95A-4C5E-B2D0-B4C3E9004F42}"/>
    <hyperlink ref="A25" r:id="rId3" display="www.mortgagecalculator.org" xr:uid="{689C91DE-B926-4937-B816-045095804022}"/>
    <hyperlink ref="A12" r:id="rId4" xr:uid="{D1215B22-2F18-43B0-8BB1-A07C529A7A8E}"/>
  </hyperlinks>
  <pageMargins left="0.7" right="0.7" top="0.75" bottom="0.75" header="0.3" footer="0.3"/>
  <legacyDrawing r:id="rId5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CD74D-0951-4E44-8EB6-DF5B17DC6E47}">
  <sheetPr codeName="Sheet105">
    <tabColor rgb="FF00B050"/>
  </sheetPr>
  <dimension ref="A1:P42"/>
  <sheetViews>
    <sheetView topLeftCell="A13" workbookViewId="0">
      <selection activeCell="A26" sqref="A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1429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41650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21435</v>
      </c>
      <c r="D15" s="2"/>
      <c r="E15" s="3"/>
    </row>
    <row r="16" spans="1:10" x14ac:dyDescent="0.25">
      <c r="A16" s="7" t="s">
        <v>20</v>
      </c>
      <c r="B16" s="17">
        <f>B15+B13</f>
        <v>63085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2207.9750000000004</v>
      </c>
      <c r="D17" s="19"/>
      <c r="E17" s="20"/>
      <c r="P17" s="21"/>
    </row>
    <row r="18" spans="1:16" x14ac:dyDescent="0.25">
      <c r="A18" s="7" t="s">
        <v>23</v>
      </c>
      <c r="B18" s="17">
        <f>B16-B17</f>
        <v>60877.025000000001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550*2</f>
        <v>1100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630.85</v>
      </c>
      <c r="D22" s="7" t="s">
        <v>77</v>
      </c>
      <c r="E22" s="17">
        <f>B16*0.01</f>
        <v>630.85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553.67999999999995</v>
      </c>
      <c r="D25" s="7" t="s">
        <v>38</v>
      </c>
      <c r="E25" s="35">
        <f>B25</f>
        <v>553.67999999999995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968.68</v>
      </c>
      <c r="D26" s="7" t="s">
        <v>41</v>
      </c>
      <c r="E26" s="17">
        <f>E25+I25+I34</f>
        <v>968.68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131.32000000000005</v>
      </c>
      <c r="D28" s="7" t="s">
        <v>43</v>
      </c>
      <c r="E28" s="44">
        <f>E21-E25-I25-I34+I24+I33</f>
        <v>331.32000000000005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0.71370373305857193</v>
      </c>
      <c r="D29" s="46" t="s">
        <v>44</v>
      </c>
      <c r="E29" s="47">
        <f>(E28*12)/B17</f>
        <v>1.8006725619628845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55</v>
      </c>
    </row>
    <row r="32" spans="1:16" x14ac:dyDescent="0.25">
      <c r="A32" s="26" t="s">
        <v>49</v>
      </c>
      <c r="B32" s="8">
        <f>B16</f>
        <v>63085</v>
      </c>
      <c r="G32" s="27" t="s">
        <v>50</v>
      </c>
      <c r="H32" s="48">
        <v>0.05</v>
      </c>
      <c r="I32" s="49">
        <f>$B$21*H32</f>
        <v>55</v>
      </c>
    </row>
    <row r="33" spans="1:9" x14ac:dyDescent="0.25">
      <c r="A33" s="7" t="s">
        <v>51</v>
      </c>
      <c r="B33" s="17">
        <f>B32-B18</f>
        <v>2207.9749999999985</v>
      </c>
      <c r="G33" s="27" t="s">
        <v>52</v>
      </c>
      <c r="H33" s="48">
        <v>0.1</v>
      </c>
      <c r="I33" s="49">
        <f>$B$21*H33</f>
        <v>110</v>
      </c>
    </row>
    <row r="34" spans="1:9" ht="15.75" thickBot="1" x14ac:dyDescent="0.3">
      <c r="A34" s="7" t="s">
        <v>53</v>
      </c>
      <c r="B34" s="50">
        <f>B33/B17</f>
        <v>0.99999999999999922</v>
      </c>
      <c r="G34" s="36" t="s">
        <v>39</v>
      </c>
      <c r="H34" s="37"/>
      <c r="I34" s="51">
        <f>SUM(I30:I33)</f>
        <v>275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43.121226041666667</v>
      </c>
      <c r="D39" s="58"/>
      <c r="E39" s="61"/>
    </row>
    <row r="40" spans="1:9" x14ac:dyDescent="0.25">
      <c r="A40" s="7" t="s">
        <v>58</v>
      </c>
      <c r="B40" s="17">
        <f>B25-B39</f>
        <v>510.55877395833329</v>
      </c>
      <c r="D40" s="58"/>
      <c r="E40" s="61"/>
    </row>
    <row r="41" spans="1:9" x14ac:dyDescent="0.25">
      <c r="A41" s="7" t="s">
        <v>59</v>
      </c>
      <c r="B41" s="43">
        <f>B21-B40-I25-I34</f>
        <v>174.44122604166671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0.94806087591571475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634" priority="28" operator="equal">
      <formula>"NO"</formula>
    </cfRule>
    <cfRule type="cellIs" dxfId="4633" priority="29" operator="equal">
      <formula>"YES"</formula>
    </cfRule>
  </conditionalFormatting>
  <conditionalFormatting sqref="E38">
    <cfRule type="cellIs" dxfId="4632" priority="26" operator="equal">
      <formula>"YES"</formula>
    </cfRule>
    <cfRule type="cellIs" dxfId="4631" priority="27" operator="equal">
      <formula>"NO"</formula>
    </cfRule>
  </conditionalFormatting>
  <conditionalFormatting sqref="B23">
    <cfRule type="cellIs" dxfId="4630" priority="24" operator="equal">
      <formula>"NO"</formula>
    </cfRule>
    <cfRule type="cellIs" dxfId="4629" priority="25" operator="equal">
      <formula>"YES"</formula>
    </cfRule>
  </conditionalFormatting>
  <conditionalFormatting sqref="B12">
    <cfRule type="containsText" dxfId="4628" priority="10" operator="containsText" text="Low">
      <formula>NOT(ISERROR(SEARCH("Low",B12)))</formula>
    </cfRule>
    <cfRule type="containsText" dxfId="4627" priority="11" operator="containsText" text="Medium">
      <formula>NOT(ISERROR(SEARCH("Medium",B12)))</formula>
    </cfRule>
    <cfRule type="containsText" dxfId="4626" priority="12" operator="containsText" text="High">
      <formula>NOT(ISERROR(SEARCH("High",B12)))</formula>
    </cfRule>
  </conditionalFormatting>
  <conditionalFormatting sqref="B29">
    <cfRule type="cellIs" dxfId="4625" priority="20" operator="between">
      <formula>10%</formula>
      <formula>11.9%</formula>
    </cfRule>
    <cfRule type="cellIs" dxfId="4624" priority="22" operator="lessThan">
      <formula>0.1</formula>
    </cfRule>
    <cfRule type="cellIs" dxfId="4623" priority="23" operator="greaterThanOrEqual">
      <formula>0.12</formula>
    </cfRule>
  </conditionalFormatting>
  <conditionalFormatting sqref="B42">
    <cfRule type="cellIs" dxfId="4622" priority="18" operator="between">
      <formula>0.1</formula>
      <formula>0.1199</formula>
    </cfRule>
    <cfRule type="cellIs" dxfId="4621" priority="19" operator="lessThan">
      <formula>0.1</formula>
    </cfRule>
    <cfRule type="cellIs" dxfId="4620" priority="21" operator="greaterThanOrEqual">
      <formula>0.12</formula>
    </cfRule>
  </conditionalFormatting>
  <conditionalFormatting sqref="B10">
    <cfRule type="containsText" dxfId="4619" priority="13" operator="containsText" text="Full">
      <formula>NOT(ISERROR(SEARCH("Full",B10)))</formula>
    </cfRule>
    <cfRule type="containsText" dxfId="4618" priority="14" operator="containsText" text="Heavy">
      <formula>NOT(ISERROR(SEARCH("Heavy",B10)))</formula>
    </cfRule>
    <cfRule type="containsText" dxfId="4617" priority="15" operator="containsText" text="Medium">
      <formula>NOT(ISERROR(SEARCH("Medium",B10)))</formula>
    </cfRule>
    <cfRule type="containsText" dxfId="4616" priority="16" operator="containsText" text="Light">
      <formula>NOT(ISERROR(SEARCH("Light",B10)))</formula>
    </cfRule>
    <cfRule type="containsText" dxfId="4615" priority="17" operator="containsText" text="None">
      <formula>NOT(ISERROR(SEARCH("None",B10)))</formula>
    </cfRule>
  </conditionalFormatting>
  <conditionalFormatting sqref="B28">
    <cfRule type="cellIs" dxfId="4614" priority="30" operator="lessThan">
      <formula>$B$8*100</formula>
    </cfRule>
    <cfRule type="cellIs" dxfId="4613" priority="31" operator="greaterThanOrEqual">
      <formula>$B$8*100</formula>
    </cfRule>
  </conditionalFormatting>
  <conditionalFormatting sqref="B41">
    <cfRule type="cellIs" dxfId="4612" priority="32" operator="lessThan">
      <formula>$B$8*100</formula>
    </cfRule>
    <cfRule type="cellIs" dxfId="4611" priority="33" operator="greaterThan">
      <formula>$B$8*100</formula>
    </cfRule>
    <cfRule type="cellIs" dxfId="4610" priority="34" operator="greaterThan">
      <formula>$B$8*100</formula>
    </cfRule>
  </conditionalFormatting>
  <conditionalFormatting sqref="B38">
    <cfRule type="cellIs" dxfId="4609" priority="8" operator="equal">
      <formula>"YES"</formula>
    </cfRule>
    <cfRule type="cellIs" dxfId="4608" priority="9" operator="equal">
      <formula>"NO"</formula>
    </cfRule>
  </conditionalFormatting>
  <conditionalFormatting sqref="E23:E26">
    <cfRule type="cellIs" dxfId="4607" priority="4" operator="equal">
      <formula>"NO"</formula>
    </cfRule>
    <cfRule type="cellIs" dxfId="4606" priority="5" operator="equal">
      <formula>"YES"</formula>
    </cfRule>
  </conditionalFormatting>
  <conditionalFormatting sqref="E29">
    <cfRule type="cellIs" dxfId="4605" priority="1" operator="between">
      <formula>10%</formula>
      <formula>12%</formula>
    </cfRule>
    <cfRule type="cellIs" dxfId="4604" priority="2" operator="lessThan">
      <formula>0.1</formula>
    </cfRule>
    <cfRule type="cellIs" dxfId="4603" priority="3" operator="greaterThan">
      <formula>0.12</formula>
    </cfRule>
  </conditionalFormatting>
  <conditionalFormatting sqref="E28">
    <cfRule type="cellIs" dxfId="4602" priority="6" operator="lessThan">
      <formula>$B$8*100</formula>
    </cfRule>
    <cfRule type="cellIs" dxfId="4601" priority="7" operator="greaterThan">
      <formula>$B$8*100</formula>
    </cfRule>
  </conditionalFormatting>
  <hyperlinks>
    <hyperlink ref="A32" r:id="rId1" display="https://www.zillow.com/homes/recently_sold/" xr:uid="{6667976A-F3F2-49AF-9022-80250C265FC8}"/>
    <hyperlink ref="A21" r:id="rId2" xr:uid="{AFBFC124-8959-4253-8C22-02CB83A47A7F}"/>
    <hyperlink ref="A25" r:id="rId3" display="www.mortgagecalculator.org" xr:uid="{C4826A88-98DC-4C61-A75F-77F53CF2BEEB}"/>
    <hyperlink ref="A12" r:id="rId4" xr:uid="{7944B34F-61A1-4A0C-8F4A-39E24051950F}"/>
  </hyperlinks>
  <pageMargins left="0.7" right="0.7" top="0.75" bottom="0.75" header="0.3" footer="0.3"/>
  <legacyDrawing r:id="rId5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9859-EE21-4C13-ADF0-2328ABAFFC35}">
  <sheetPr codeName="Sheet106">
    <tabColor rgb="FF00B050"/>
  </sheetPr>
  <dimension ref="A1:P42"/>
  <sheetViews>
    <sheetView topLeftCell="A12" workbookViewId="0">
      <selection activeCell="A22" sqref="A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38250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50400</v>
      </c>
      <c r="D15" s="2"/>
      <c r="E15" s="3"/>
    </row>
    <row r="16" spans="1:10" x14ac:dyDescent="0.25">
      <c r="A16" s="7" t="s">
        <v>20</v>
      </c>
      <c r="B16" s="17">
        <f>B15+B13</f>
        <v>88650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3102.7500000000005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85547.25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679*2</f>
        <v>1358</v>
      </c>
      <c r="D21" s="23" t="s">
        <v>28</v>
      </c>
      <c r="E21" s="8">
        <f>679*2*3/4</f>
        <v>1018.5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886.5</v>
      </c>
      <c r="D22" s="7" t="s">
        <v>77</v>
      </c>
      <c r="E22" s="17">
        <f>B16*0.01</f>
        <v>886.5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702.34</v>
      </c>
      <c r="D25" s="7" t="s">
        <v>38</v>
      </c>
      <c r="E25" s="35">
        <f>B25</f>
        <v>702.34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1161.8400000000001</v>
      </c>
      <c r="D26" s="7" t="s">
        <v>41</v>
      </c>
      <c r="E26" s="17">
        <f>E25+I25+I34</f>
        <v>1161.8400000000001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196.15999999999985</v>
      </c>
      <c r="D28" s="7" t="s">
        <v>43</v>
      </c>
      <c r="E28" s="44">
        <f>E21-E25-I25-I34+I24+I33</f>
        <v>112.45999999999998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0.75865603094029421</v>
      </c>
      <c r="D29" s="46" t="s">
        <v>44</v>
      </c>
      <c r="E29" s="47">
        <f>(E28*12)/B17</f>
        <v>0.43494319555233246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67.900000000000006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67.900000000000006</v>
      </c>
    </row>
    <row r="32" spans="1:16" x14ac:dyDescent="0.25">
      <c r="A32" s="26" t="s">
        <v>49</v>
      </c>
      <c r="B32" s="8">
        <f>B16</f>
        <v>88650</v>
      </c>
      <c r="G32" s="27" t="s">
        <v>50</v>
      </c>
      <c r="H32" s="48">
        <v>0.05</v>
      </c>
      <c r="I32" s="49">
        <f>$B$21*H32</f>
        <v>67.900000000000006</v>
      </c>
    </row>
    <row r="33" spans="1:9" x14ac:dyDescent="0.25">
      <c r="A33" s="7" t="s">
        <v>51</v>
      </c>
      <c r="B33" s="17">
        <f>B32-B18</f>
        <v>3102.75</v>
      </c>
      <c r="G33" s="27" t="s">
        <v>52</v>
      </c>
      <c r="H33" s="48">
        <v>0.1</v>
      </c>
      <c r="I33" s="49">
        <f>$B$21*H33</f>
        <v>135.80000000000001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339.5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60.595968750000004</v>
      </c>
      <c r="D39" s="58"/>
      <c r="E39" s="61"/>
    </row>
    <row r="40" spans="1:9" x14ac:dyDescent="0.25">
      <c r="A40" s="7" t="s">
        <v>58</v>
      </c>
      <c r="B40" s="17">
        <f>B25-B39</f>
        <v>641.74403125000003</v>
      </c>
      <c r="D40" s="58"/>
      <c r="E40" s="61"/>
    </row>
    <row r="41" spans="1:9" x14ac:dyDescent="0.25">
      <c r="A41" s="7" t="s">
        <v>59</v>
      </c>
      <c r="B41" s="43">
        <f>B21-B40-I25-I34</f>
        <v>256.75596874999997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0.99301317379743748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600" priority="28" operator="equal">
      <formula>"NO"</formula>
    </cfRule>
    <cfRule type="cellIs" dxfId="4599" priority="29" operator="equal">
      <formula>"YES"</formula>
    </cfRule>
  </conditionalFormatting>
  <conditionalFormatting sqref="E38">
    <cfRule type="cellIs" dxfId="4598" priority="26" operator="equal">
      <formula>"YES"</formula>
    </cfRule>
    <cfRule type="cellIs" dxfId="4597" priority="27" operator="equal">
      <formula>"NO"</formula>
    </cfRule>
  </conditionalFormatting>
  <conditionalFormatting sqref="B23">
    <cfRule type="cellIs" dxfId="4596" priority="24" operator="equal">
      <formula>"NO"</formula>
    </cfRule>
    <cfRule type="cellIs" dxfId="4595" priority="25" operator="equal">
      <formula>"YES"</formula>
    </cfRule>
  </conditionalFormatting>
  <conditionalFormatting sqref="B12">
    <cfRule type="containsText" dxfId="4594" priority="10" operator="containsText" text="Low">
      <formula>NOT(ISERROR(SEARCH("Low",B12)))</formula>
    </cfRule>
    <cfRule type="containsText" dxfId="4593" priority="11" operator="containsText" text="Medium">
      <formula>NOT(ISERROR(SEARCH("Medium",B12)))</formula>
    </cfRule>
    <cfRule type="containsText" dxfId="4592" priority="12" operator="containsText" text="High">
      <formula>NOT(ISERROR(SEARCH("High",B12)))</formula>
    </cfRule>
  </conditionalFormatting>
  <conditionalFormatting sqref="B29">
    <cfRule type="cellIs" dxfId="4591" priority="20" operator="between">
      <formula>10%</formula>
      <formula>11.9%</formula>
    </cfRule>
    <cfRule type="cellIs" dxfId="4590" priority="22" operator="lessThan">
      <formula>0.1</formula>
    </cfRule>
    <cfRule type="cellIs" dxfId="4589" priority="23" operator="greaterThanOrEqual">
      <formula>0.12</formula>
    </cfRule>
  </conditionalFormatting>
  <conditionalFormatting sqref="B42">
    <cfRule type="cellIs" dxfId="4588" priority="18" operator="between">
      <formula>0.1</formula>
      <formula>0.1199</formula>
    </cfRule>
    <cfRule type="cellIs" dxfId="4587" priority="19" operator="lessThan">
      <formula>0.1</formula>
    </cfRule>
    <cfRule type="cellIs" dxfId="4586" priority="21" operator="greaterThanOrEqual">
      <formula>0.12</formula>
    </cfRule>
  </conditionalFormatting>
  <conditionalFormatting sqref="B10">
    <cfRule type="containsText" dxfId="4585" priority="13" operator="containsText" text="Full">
      <formula>NOT(ISERROR(SEARCH("Full",B10)))</formula>
    </cfRule>
    <cfRule type="containsText" dxfId="4584" priority="14" operator="containsText" text="Heavy">
      <formula>NOT(ISERROR(SEARCH("Heavy",B10)))</formula>
    </cfRule>
    <cfRule type="containsText" dxfId="4583" priority="15" operator="containsText" text="Medium">
      <formula>NOT(ISERROR(SEARCH("Medium",B10)))</formula>
    </cfRule>
    <cfRule type="containsText" dxfId="4582" priority="16" operator="containsText" text="Light">
      <formula>NOT(ISERROR(SEARCH("Light",B10)))</formula>
    </cfRule>
    <cfRule type="containsText" dxfId="4581" priority="17" operator="containsText" text="None">
      <formula>NOT(ISERROR(SEARCH("None",B10)))</formula>
    </cfRule>
  </conditionalFormatting>
  <conditionalFormatting sqref="B28">
    <cfRule type="cellIs" dxfId="4580" priority="30" operator="lessThan">
      <formula>$B$8*100</formula>
    </cfRule>
    <cfRule type="cellIs" dxfId="4579" priority="31" operator="greaterThanOrEqual">
      <formula>$B$8*100</formula>
    </cfRule>
  </conditionalFormatting>
  <conditionalFormatting sqref="B41">
    <cfRule type="cellIs" dxfId="4578" priority="32" operator="lessThan">
      <formula>$B$8*100</formula>
    </cfRule>
    <cfRule type="cellIs" dxfId="4577" priority="33" operator="greaterThan">
      <formula>$B$8*100</formula>
    </cfRule>
    <cfRule type="cellIs" dxfId="4576" priority="34" operator="greaterThan">
      <formula>$B$8*100</formula>
    </cfRule>
  </conditionalFormatting>
  <conditionalFormatting sqref="B38">
    <cfRule type="cellIs" dxfId="4575" priority="8" operator="equal">
      <formula>"YES"</formula>
    </cfRule>
    <cfRule type="cellIs" dxfId="4574" priority="9" operator="equal">
      <formula>"NO"</formula>
    </cfRule>
  </conditionalFormatting>
  <conditionalFormatting sqref="E23:E26">
    <cfRule type="cellIs" dxfId="4573" priority="4" operator="equal">
      <formula>"NO"</formula>
    </cfRule>
    <cfRule type="cellIs" dxfId="4572" priority="5" operator="equal">
      <formula>"YES"</formula>
    </cfRule>
  </conditionalFormatting>
  <conditionalFormatting sqref="E29">
    <cfRule type="cellIs" dxfId="4571" priority="1" operator="between">
      <formula>10%</formula>
      <formula>12%</formula>
    </cfRule>
    <cfRule type="cellIs" dxfId="4570" priority="2" operator="lessThan">
      <formula>0.1</formula>
    </cfRule>
    <cfRule type="cellIs" dxfId="4569" priority="3" operator="greaterThan">
      <formula>0.12</formula>
    </cfRule>
  </conditionalFormatting>
  <conditionalFormatting sqref="E28">
    <cfRule type="cellIs" dxfId="4568" priority="6" operator="lessThan">
      <formula>$B$8*100</formula>
    </cfRule>
    <cfRule type="cellIs" dxfId="4567" priority="7" operator="greaterThan">
      <formula>$B$8*100</formula>
    </cfRule>
  </conditionalFormatting>
  <hyperlinks>
    <hyperlink ref="A32" r:id="rId1" display="https://www.zillow.com/homes/recently_sold/" xr:uid="{AA3A5421-2838-4595-BB43-66C7B31A79BB}"/>
    <hyperlink ref="A21" r:id="rId2" xr:uid="{E832609D-528D-4A05-9AFA-C32365A5600A}"/>
    <hyperlink ref="A25" r:id="rId3" display="www.mortgagecalculator.org" xr:uid="{F1270660-DA2F-47BC-BC67-CE85DF298BBB}"/>
    <hyperlink ref="A12" r:id="rId4" xr:uid="{98636A35-FB08-4B31-8F22-7CD7D794D307}"/>
  </hyperlinks>
  <pageMargins left="0.7" right="0.7" top="0.75" bottom="0.75" header="0.3" footer="0.3"/>
  <legacyDrawing r:id="rId5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2F0B-4688-48FD-8A03-6CFDDFF46ECF}">
  <sheetPr codeName="Sheet107">
    <tabColor rgb="FFFF0000"/>
  </sheetPr>
  <dimension ref="A1:P42"/>
  <sheetViews>
    <sheetView topLeftCell="A12" workbookViewId="0">
      <selection activeCell="A33" sqref="A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94700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80495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80495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4024.75</v>
      </c>
      <c r="D17" s="19"/>
      <c r="E17" s="20"/>
      <c r="P17" s="21"/>
    </row>
    <row r="18" spans="1:16" x14ac:dyDescent="0.25">
      <c r="A18" s="7" t="s">
        <v>23</v>
      </c>
      <c r="B18" s="17">
        <f>B16-B17</f>
        <v>76470.25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679+400</f>
        <v>1079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804.95</v>
      </c>
      <c r="D22" s="7" t="s">
        <v>77</v>
      </c>
      <c r="E22" s="17">
        <f>B16*0.01</f>
        <v>804.95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741.18</v>
      </c>
      <c r="D25" s="7" t="s">
        <v>38</v>
      </c>
      <c r="E25" s="35">
        <f>B25</f>
        <v>741.18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1150.9299999999998</v>
      </c>
      <c r="D26" s="7" t="s">
        <v>41</v>
      </c>
      <c r="E26" s="17">
        <f>E25+I25+I34</f>
        <v>1150.9299999999998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-71.929999999999836</v>
      </c>
      <c r="D28" s="7" t="s">
        <v>43</v>
      </c>
      <c r="E28" s="44">
        <f>E21-E25-I25-I34+I24+I33</f>
        <v>146.97000000000006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-0.214463010124852</v>
      </c>
      <c r="D29" s="46" t="s">
        <v>44</v>
      </c>
      <c r="E29" s="47">
        <f>(E28*12)/B17</f>
        <v>0.43819864587862617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53.95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53.95</v>
      </c>
    </row>
    <row r="32" spans="1:16" x14ac:dyDescent="0.25">
      <c r="A32" s="26" t="s">
        <v>49</v>
      </c>
      <c r="B32" s="8">
        <f>B16</f>
        <v>80495</v>
      </c>
      <c r="G32" s="27" t="s">
        <v>50</v>
      </c>
      <c r="H32" s="48">
        <v>0.05</v>
      </c>
      <c r="I32" s="49">
        <f>$B$21*H32</f>
        <v>53.95</v>
      </c>
    </row>
    <row r="33" spans="1:9" x14ac:dyDescent="0.25">
      <c r="A33" s="7" t="s">
        <v>51</v>
      </c>
      <c r="B33" s="17">
        <f>B32-B18</f>
        <v>4024.75</v>
      </c>
      <c r="G33" s="27" t="s">
        <v>52</v>
      </c>
      <c r="H33" s="48">
        <v>0.1</v>
      </c>
      <c r="I33" s="49">
        <f>$B$21*H33</f>
        <v>107.9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269.75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54.166427083333339</v>
      </c>
      <c r="D39" s="58"/>
      <c r="E39" s="61"/>
    </row>
    <row r="40" spans="1:9" x14ac:dyDescent="0.25">
      <c r="A40" s="7" t="s">
        <v>58</v>
      </c>
      <c r="B40" s="17">
        <f>B25-B39</f>
        <v>687.01357291666659</v>
      </c>
      <c r="D40" s="58"/>
      <c r="E40" s="61"/>
    </row>
    <row r="41" spans="1:9" x14ac:dyDescent="0.25">
      <c r="A41" s="7" t="s">
        <v>59</v>
      </c>
      <c r="B41" s="43">
        <f>B21-B40-I25-I34</f>
        <v>-17.76357291666659</v>
      </c>
      <c r="D41" s="58"/>
      <c r="E41" s="61"/>
    </row>
    <row r="42" spans="1:9" ht="15.75" thickBot="1" x14ac:dyDescent="0.3">
      <c r="A42" s="46" t="s">
        <v>44</v>
      </c>
      <c r="B42" s="47">
        <f>(B41*12)/B17</f>
        <v>-5.2963010124852244E-2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566" priority="28" operator="equal">
      <formula>"NO"</formula>
    </cfRule>
    <cfRule type="cellIs" dxfId="4565" priority="29" operator="equal">
      <formula>"YES"</formula>
    </cfRule>
  </conditionalFormatting>
  <conditionalFormatting sqref="E38">
    <cfRule type="cellIs" dxfId="4564" priority="26" operator="equal">
      <formula>"YES"</formula>
    </cfRule>
    <cfRule type="cellIs" dxfId="4563" priority="27" operator="equal">
      <formula>"NO"</formula>
    </cfRule>
  </conditionalFormatting>
  <conditionalFormatting sqref="B23">
    <cfRule type="cellIs" dxfId="4562" priority="24" operator="equal">
      <formula>"NO"</formula>
    </cfRule>
    <cfRule type="cellIs" dxfId="4561" priority="25" operator="equal">
      <formula>"YES"</formula>
    </cfRule>
  </conditionalFormatting>
  <conditionalFormatting sqref="B12">
    <cfRule type="containsText" dxfId="4560" priority="10" operator="containsText" text="Low">
      <formula>NOT(ISERROR(SEARCH("Low",B12)))</formula>
    </cfRule>
    <cfRule type="containsText" dxfId="4559" priority="11" operator="containsText" text="Medium">
      <formula>NOT(ISERROR(SEARCH("Medium",B12)))</formula>
    </cfRule>
    <cfRule type="containsText" dxfId="4558" priority="12" operator="containsText" text="High">
      <formula>NOT(ISERROR(SEARCH("High",B12)))</formula>
    </cfRule>
  </conditionalFormatting>
  <conditionalFormatting sqref="B29">
    <cfRule type="cellIs" dxfId="4557" priority="20" operator="between">
      <formula>10%</formula>
      <formula>11.9%</formula>
    </cfRule>
    <cfRule type="cellIs" dxfId="4556" priority="22" operator="lessThan">
      <formula>0.1</formula>
    </cfRule>
    <cfRule type="cellIs" dxfId="4555" priority="23" operator="greaterThanOrEqual">
      <formula>0.12</formula>
    </cfRule>
  </conditionalFormatting>
  <conditionalFormatting sqref="B42">
    <cfRule type="cellIs" dxfId="4554" priority="18" operator="between">
      <formula>0.1</formula>
      <formula>0.1199</formula>
    </cfRule>
    <cfRule type="cellIs" dxfId="4553" priority="19" operator="lessThan">
      <formula>0.1</formula>
    </cfRule>
    <cfRule type="cellIs" dxfId="4552" priority="21" operator="greaterThanOrEqual">
      <formula>0.12</formula>
    </cfRule>
  </conditionalFormatting>
  <conditionalFormatting sqref="B10">
    <cfRule type="containsText" dxfId="4551" priority="13" operator="containsText" text="Full">
      <formula>NOT(ISERROR(SEARCH("Full",B10)))</formula>
    </cfRule>
    <cfRule type="containsText" dxfId="4550" priority="14" operator="containsText" text="Heavy">
      <formula>NOT(ISERROR(SEARCH("Heavy",B10)))</formula>
    </cfRule>
    <cfRule type="containsText" dxfId="4549" priority="15" operator="containsText" text="Medium">
      <formula>NOT(ISERROR(SEARCH("Medium",B10)))</formula>
    </cfRule>
    <cfRule type="containsText" dxfId="4548" priority="16" operator="containsText" text="Light">
      <formula>NOT(ISERROR(SEARCH("Light",B10)))</formula>
    </cfRule>
    <cfRule type="containsText" dxfId="4547" priority="17" operator="containsText" text="None">
      <formula>NOT(ISERROR(SEARCH("None",B10)))</formula>
    </cfRule>
  </conditionalFormatting>
  <conditionalFormatting sqref="B28">
    <cfRule type="cellIs" dxfId="4546" priority="30" operator="lessThan">
      <formula>$B$8*100</formula>
    </cfRule>
    <cfRule type="cellIs" dxfId="4545" priority="31" operator="greaterThanOrEqual">
      <formula>$B$8*100</formula>
    </cfRule>
  </conditionalFormatting>
  <conditionalFormatting sqref="B41">
    <cfRule type="cellIs" dxfId="4544" priority="32" operator="lessThan">
      <formula>$B$8*100</formula>
    </cfRule>
    <cfRule type="cellIs" dxfId="4543" priority="33" operator="greaterThan">
      <formula>$B$8*100</formula>
    </cfRule>
    <cfRule type="cellIs" dxfId="4542" priority="34" operator="greaterThan">
      <formula>$B$8*100</formula>
    </cfRule>
  </conditionalFormatting>
  <conditionalFormatting sqref="B38">
    <cfRule type="cellIs" dxfId="4541" priority="8" operator="equal">
      <formula>"YES"</formula>
    </cfRule>
    <cfRule type="cellIs" dxfId="4540" priority="9" operator="equal">
      <formula>"NO"</formula>
    </cfRule>
  </conditionalFormatting>
  <conditionalFormatting sqref="E23:E26">
    <cfRule type="cellIs" dxfId="4539" priority="4" operator="equal">
      <formula>"NO"</formula>
    </cfRule>
    <cfRule type="cellIs" dxfId="4538" priority="5" operator="equal">
      <formula>"YES"</formula>
    </cfRule>
  </conditionalFormatting>
  <conditionalFormatting sqref="E29">
    <cfRule type="cellIs" dxfId="4537" priority="1" operator="between">
      <formula>10%</formula>
      <formula>12%</formula>
    </cfRule>
    <cfRule type="cellIs" dxfId="4536" priority="2" operator="lessThan">
      <formula>0.1</formula>
    </cfRule>
    <cfRule type="cellIs" dxfId="4535" priority="3" operator="greaterThan">
      <formula>0.12</formula>
    </cfRule>
  </conditionalFormatting>
  <conditionalFormatting sqref="E28">
    <cfRule type="cellIs" dxfId="4534" priority="6" operator="lessThan">
      <formula>$B$8*100</formula>
    </cfRule>
    <cfRule type="cellIs" dxfId="4533" priority="7" operator="greaterThan">
      <formula>$B$8*100</formula>
    </cfRule>
  </conditionalFormatting>
  <hyperlinks>
    <hyperlink ref="A32" r:id="rId1" display="https://www.zillow.com/homes/recently_sold/" xr:uid="{97E59FB1-CCCF-4EBD-A18F-F818E41A08E0}"/>
    <hyperlink ref="A21" r:id="rId2" xr:uid="{8049BB24-E6D5-44FD-9386-44E50B8B8B9B}"/>
    <hyperlink ref="A25" r:id="rId3" display="www.mortgagecalculator.org" xr:uid="{F0480116-1706-405B-8F56-55B7919D7C00}"/>
    <hyperlink ref="A12" r:id="rId4" xr:uid="{6ED9B4E1-25D9-4A13-B0F0-B294C932C709}"/>
  </hyperlinks>
  <pageMargins left="0.7" right="0.7" top="0.75" bottom="0.75" header="0.3" footer="0.3"/>
  <legacyDrawing r:id="rId5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8B4B-9824-4E38-A195-ADF520650EBB}">
  <sheetPr codeName="Sheet108">
    <tabColor rgb="FF92D050"/>
  </sheetPr>
  <dimension ref="A1:P42"/>
  <sheetViews>
    <sheetView workbookViewId="0">
      <selection activeCell="D32" sqref="D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8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34000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36000</v>
      </c>
      <c r="D15" s="2"/>
      <c r="E15" s="3"/>
    </row>
    <row r="16" spans="1:10" x14ac:dyDescent="0.25">
      <c r="A16" s="7" t="s">
        <v>20</v>
      </c>
      <c r="B16" s="17">
        <f>B15+B13</f>
        <v>70000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2450.0000000000005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67550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650*2</f>
        <v>1300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700</v>
      </c>
      <c r="D22" s="7" t="s">
        <v>77</v>
      </c>
      <c r="E22" s="17">
        <f>B16*0.01</f>
        <v>700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720.34</v>
      </c>
      <c r="D25" s="7" t="s">
        <v>38</v>
      </c>
      <c r="E25" s="35">
        <f>B25</f>
        <v>720.34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1165.3400000000001</v>
      </c>
      <c r="D26" s="7" t="s">
        <v>41</v>
      </c>
      <c r="E26" s="17">
        <f>E25+I25+I34</f>
        <v>1165.3400000000001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134.65999999999985</v>
      </c>
      <c r="D28" s="7" t="s">
        <v>43</v>
      </c>
      <c r="E28" s="44">
        <f>E21-E25-I25-I34+I24+I33</f>
        <v>134.65999999999997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0.65955918367346855</v>
      </c>
      <c r="D29" s="46" t="s">
        <v>44</v>
      </c>
      <c r="E29" s="47">
        <f>(E28*12)/B17</f>
        <v>0.65955918367346911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65</v>
      </c>
    </row>
    <row r="32" spans="1:16" x14ac:dyDescent="0.25">
      <c r="A32" s="26" t="s">
        <v>49</v>
      </c>
      <c r="B32" s="8">
        <f>B16</f>
        <v>70000</v>
      </c>
      <c r="G32" s="27" t="s">
        <v>50</v>
      </c>
      <c r="H32" s="48">
        <v>0.05</v>
      </c>
      <c r="I32" s="49">
        <f>$B$21*H32</f>
        <v>65</v>
      </c>
    </row>
    <row r="33" spans="1:9" x14ac:dyDescent="0.25">
      <c r="A33" s="7" t="s">
        <v>51</v>
      </c>
      <c r="B33" s="17">
        <f>B32-B18</f>
        <v>2450</v>
      </c>
      <c r="G33" s="27" t="s">
        <v>52</v>
      </c>
      <c r="H33" s="48">
        <v>0.1</v>
      </c>
      <c r="I33" s="49">
        <f>$B$21*H33</f>
        <v>130</v>
      </c>
    </row>
    <row r="34" spans="1:9" ht="15.75" thickBot="1" x14ac:dyDescent="0.3">
      <c r="A34" s="7" t="s">
        <v>53</v>
      </c>
      <c r="B34" s="50">
        <f>B33/B17</f>
        <v>0.99999999999999978</v>
      </c>
      <c r="G34" s="36" t="s">
        <v>39</v>
      </c>
      <c r="H34" s="37"/>
      <c r="I34" s="51">
        <f>SUM(I30:I33)</f>
        <v>325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47.84791666666667</v>
      </c>
      <c r="D39" s="58"/>
      <c r="E39" s="61"/>
    </row>
    <row r="40" spans="1:9" x14ac:dyDescent="0.25">
      <c r="A40" s="7" t="s">
        <v>58</v>
      </c>
      <c r="B40" s="17">
        <f>B25-B39</f>
        <v>672.49208333333331</v>
      </c>
      <c r="D40" s="58"/>
      <c r="E40" s="61"/>
    </row>
    <row r="41" spans="1:9" x14ac:dyDescent="0.25">
      <c r="A41" s="7" t="s">
        <v>59</v>
      </c>
      <c r="B41" s="43">
        <f>B21-B40-I25-I34</f>
        <v>182.50791666666669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0.89391632653061215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532" priority="28" operator="equal">
      <formula>"NO"</formula>
    </cfRule>
    <cfRule type="cellIs" dxfId="4531" priority="29" operator="equal">
      <formula>"YES"</formula>
    </cfRule>
  </conditionalFormatting>
  <conditionalFormatting sqref="E38">
    <cfRule type="cellIs" dxfId="4530" priority="26" operator="equal">
      <formula>"YES"</formula>
    </cfRule>
    <cfRule type="cellIs" dxfId="4529" priority="27" operator="equal">
      <formula>"NO"</formula>
    </cfRule>
  </conditionalFormatting>
  <conditionalFormatting sqref="B23">
    <cfRule type="cellIs" dxfId="4528" priority="24" operator="equal">
      <formula>"NO"</formula>
    </cfRule>
    <cfRule type="cellIs" dxfId="4527" priority="25" operator="equal">
      <formula>"YES"</formula>
    </cfRule>
  </conditionalFormatting>
  <conditionalFormatting sqref="B12">
    <cfRule type="containsText" dxfId="4526" priority="10" operator="containsText" text="Low">
      <formula>NOT(ISERROR(SEARCH("Low",B12)))</formula>
    </cfRule>
    <cfRule type="containsText" dxfId="4525" priority="11" operator="containsText" text="Medium">
      <formula>NOT(ISERROR(SEARCH("Medium",B12)))</formula>
    </cfRule>
    <cfRule type="containsText" dxfId="4524" priority="12" operator="containsText" text="High">
      <formula>NOT(ISERROR(SEARCH("High",B12)))</formula>
    </cfRule>
  </conditionalFormatting>
  <conditionalFormatting sqref="B29">
    <cfRule type="cellIs" dxfId="4523" priority="20" operator="between">
      <formula>10%</formula>
      <formula>11.9%</formula>
    </cfRule>
    <cfRule type="cellIs" dxfId="4522" priority="22" operator="lessThan">
      <formula>0.1</formula>
    </cfRule>
    <cfRule type="cellIs" dxfId="4521" priority="23" operator="greaterThanOrEqual">
      <formula>0.12</formula>
    </cfRule>
  </conditionalFormatting>
  <conditionalFormatting sqref="B42">
    <cfRule type="cellIs" dxfId="4520" priority="18" operator="between">
      <formula>0.1</formula>
      <formula>0.1199</formula>
    </cfRule>
    <cfRule type="cellIs" dxfId="4519" priority="19" operator="lessThan">
      <formula>0.1</formula>
    </cfRule>
    <cfRule type="cellIs" dxfId="4518" priority="21" operator="greaterThanOrEqual">
      <formula>0.12</formula>
    </cfRule>
  </conditionalFormatting>
  <conditionalFormatting sqref="B10">
    <cfRule type="containsText" dxfId="4517" priority="13" operator="containsText" text="Full">
      <formula>NOT(ISERROR(SEARCH("Full",B10)))</formula>
    </cfRule>
    <cfRule type="containsText" dxfId="4516" priority="14" operator="containsText" text="Heavy">
      <formula>NOT(ISERROR(SEARCH("Heavy",B10)))</formula>
    </cfRule>
    <cfRule type="containsText" dxfId="4515" priority="15" operator="containsText" text="Medium">
      <formula>NOT(ISERROR(SEARCH("Medium",B10)))</formula>
    </cfRule>
    <cfRule type="containsText" dxfId="4514" priority="16" operator="containsText" text="Light">
      <formula>NOT(ISERROR(SEARCH("Light",B10)))</formula>
    </cfRule>
    <cfRule type="containsText" dxfId="4513" priority="17" operator="containsText" text="None">
      <formula>NOT(ISERROR(SEARCH("None",B10)))</formula>
    </cfRule>
  </conditionalFormatting>
  <conditionalFormatting sqref="B28">
    <cfRule type="cellIs" dxfId="4512" priority="30" operator="lessThan">
      <formula>$B$8*100</formula>
    </cfRule>
    <cfRule type="cellIs" dxfId="4511" priority="31" operator="greaterThanOrEqual">
      <formula>$B$8*100</formula>
    </cfRule>
  </conditionalFormatting>
  <conditionalFormatting sqref="B41">
    <cfRule type="cellIs" dxfId="4510" priority="32" operator="lessThan">
      <formula>$B$8*100</formula>
    </cfRule>
    <cfRule type="cellIs" dxfId="4509" priority="33" operator="greaterThan">
      <formula>$B$8*100</formula>
    </cfRule>
    <cfRule type="cellIs" dxfId="4508" priority="34" operator="greaterThan">
      <formula>$B$8*100</formula>
    </cfRule>
  </conditionalFormatting>
  <conditionalFormatting sqref="B38">
    <cfRule type="cellIs" dxfId="4507" priority="8" operator="equal">
      <formula>"YES"</formula>
    </cfRule>
    <cfRule type="cellIs" dxfId="4506" priority="9" operator="equal">
      <formula>"NO"</formula>
    </cfRule>
  </conditionalFormatting>
  <conditionalFormatting sqref="E23:E26">
    <cfRule type="cellIs" dxfId="4505" priority="4" operator="equal">
      <formula>"NO"</formula>
    </cfRule>
    <cfRule type="cellIs" dxfId="4504" priority="5" operator="equal">
      <formula>"YES"</formula>
    </cfRule>
  </conditionalFormatting>
  <conditionalFormatting sqref="E29">
    <cfRule type="cellIs" dxfId="4503" priority="1" operator="between">
      <formula>10%</formula>
      <formula>12%</formula>
    </cfRule>
    <cfRule type="cellIs" dxfId="4502" priority="2" operator="lessThan">
      <formula>0.1</formula>
    </cfRule>
    <cfRule type="cellIs" dxfId="4501" priority="3" operator="greaterThan">
      <formula>0.12</formula>
    </cfRule>
  </conditionalFormatting>
  <conditionalFormatting sqref="E28">
    <cfRule type="cellIs" dxfId="4500" priority="6" operator="lessThan">
      <formula>$B$8*100</formula>
    </cfRule>
    <cfRule type="cellIs" dxfId="4499" priority="7" operator="greaterThan">
      <formula>$B$8*100</formula>
    </cfRule>
  </conditionalFormatting>
  <hyperlinks>
    <hyperlink ref="A32" r:id="rId1" display="https://www.zillow.com/homes/recently_sold/" xr:uid="{E751BD4D-CAFA-4D24-8E1B-944F79F75C43}"/>
    <hyperlink ref="A21" r:id="rId2" xr:uid="{E4517564-3847-4396-B6FC-3F5E7D27BB58}"/>
    <hyperlink ref="A25" r:id="rId3" display="www.mortgagecalculator.org" xr:uid="{E7E9C092-16F6-4631-8397-93B1642CF416}"/>
    <hyperlink ref="A12" r:id="rId4" xr:uid="{0C879F95-1F0D-4C7F-A8A4-C76D4608DC0C}"/>
  </hyperlinks>
  <pageMargins left="0.7" right="0.7" top="0.75" bottom="0.75" header="0.3" footer="0.3"/>
  <legacyDrawing r:id="rId5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F40F-1160-43CF-90F5-7507A6C0EA82}">
  <sheetPr codeName="Sheet109">
    <tabColor rgb="FF00B050"/>
  </sheetPr>
  <dimension ref="A1:P42"/>
  <sheetViews>
    <sheetView topLeftCell="A14" workbookViewId="0">
      <selection activeCell="A29" sqref="A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199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325000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4000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276250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100000</v>
      </c>
      <c r="D15" s="2"/>
      <c r="E15" s="3"/>
    </row>
    <row r="16" spans="1:10" x14ac:dyDescent="0.25">
      <c r="A16" s="7" t="s">
        <v>20</v>
      </c>
      <c r="B16" s="17">
        <f>B15+B13</f>
        <v>376250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13168.750000000002</v>
      </c>
      <c r="D17" s="19"/>
      <c r="E17" s="20"/>
      <c r="P17" s="21"/>
    </row>
    <row r="18" spans="1:16" x14ac:dyDescent="0.25">
      <c r="A18" s="7" t="s">
        <v>23</v>
      </c>
      <c r="B18" s="17">
        <f>B16-B17</f>
        <v>363081.25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1080*4</f>
        <v>4320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3762.5</v>
      </c>
      <c r="D22" s="7" t="s">
        <v>77</v>
      </c>
      <c r="E22" s="17">
        <f>B16*0.01</f>
        <v>3762.5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2698.92</v>
      </c>
      <c r="D25" s="7" t="s">
        <v>38</v>
      </c>
      <c r="E25" s="35">
        <f>B25</f>
        <v>2698.92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3918.92</v>
      </c>
      <c r="D26" s="7" t="s">
        <v>41</v>
      </c>
      <c r="E26" s="17">
        <f>E25+I25+I34</f>
        <v>3918.92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401.07999999999993</v>
      </c>
      <c r="D28" s="7" t="s">
        <v>43</v>
      </c>
      <c r="E28" s="44">
        <f>E21-E25-I25-I34+I24+I33</f>
        <v>-2296.92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0.3654834361651636</v>
      </c>
      <c r="D29" s="46" t="s">
        <v>44</v>
      </c>
      <c r="E29" s="47">
        <f>(E28*12)/B17</f>
        <v>-2.0930642619838631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216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216</v>
      </c>
    </row>
    <row r="32" spans="1:16" x14ac:dyDescent="0.25">
      <c r="A32" s="26" t="s">
        <v>49</v>
      </c>
      <c r="B32" s="8">
        <f>B16</f>
        <v>376250</v>
      </c>
      <c r="G32" s="27" t="s">
        <v>50</v>
      </c>
      <c r="H32" s="48">
        <v>0.05</v>
      </c>
      <c r="I32" s="49">
        <f>$B$21*H32</f>
        <v>216</v>
      </c>
    </row>
    <row r="33" spans="1:9" x14ac:dyDescent="0.25">
      <c r="A33" s="7" t="s">
        <v>51</v>
      </c>
      <c r="B33" s="17">
        <f>B32-B18</f>
        <v>13168.75</v>
      </c>
      <c r="G33" s="27" t="s">
        <v>52</v>
      </c>
      <c r="H33" s="48">
        <v>0.1</v>
      </c>
      <c r="I33" s="49">
        <f>$B$21*H33</f>
        <v>432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1080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257.18255208333335</v>
      </c>
      <c r="D39" s="58"/>
      <c r="E39" s="61"/>
    </row>
    <row r="40" spans="1:9" x14ac:dyDescent="0.25">
      <c r="A40" s="7" t="s">
        <v>58</v>
      </c>
      <c r="B40" s="17">
        <f>B25-B39</f>
        <v>2441.7374479166665</v>
      </c>
      <c r="D40" s="58"/>
      <c r="E40" s="61"/>
    </row>
    <row r="41" spans="1:9" x14ac:dyDescent="0.25">
      <c r="A41" s="7" t="s">
        <v>59</v>
      </c>
      <c r="B41" s="43">
        <f>B21-B40-I25-I34</f>
        <v>658.2625520833335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0.5998405790223067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498" priority="28" operator="equal">
      <formula>"NO"</formula>
    </cfRule>
    <cfRule type="cellIs" dxfId="4497" priority="29" operator="equal">
      <formula>"YES"</formula>
    </cfRule>
  </conditionalFormatting>
  <conditionalFormatting sqref="E38">
    <cfRule type="cellIs" dxfId="4496" priority="26" operator="equal">
      <formula>"YES"</formula>
    </cfRule>
    <cfRule type="cellIs" dxfId="4495" priority="27" operator="equal">
      <formula>"NO"</formula>
    </cfRule>
  </conditionalFormatting>
  <conditionalFormatting sqref="B23">
    <cfRule type="cellIs" dxfId="4494" priority="24" operator="equal">
      <formula>"NO"</formula>
    </cfRule>
    <cfRule type="cellIs" dxfId="4493" priority="25" operator="equal">
      <formula>"YES"</formula>
    </cfRule>
  </conditionalFormatting>
  <conditionalFormatting sqref="B12">
    <cfRule type="containsText" dxfId="4492" priority="10" operator="containsText" text="Low">
      <formula>NOT(ISERROR(SEARCH("Low",B12)))</formula>
    </cfRule>
    <cfRule type="containsText" dxfId="4491" priority="11" operator="containsText" text="Medium">
      <formula>NOT(ISERROR(SEARCH("Medium",B12)))</formula>
    </cfRule>
    <cfRule type="containsText" dxfId="4490" priority="12" operator="containsText" text="High">
      <formula>NOT(ISERROR(SEARCH("High",B12)))</formula>
    </cfRule>
  </conditionalFormatting>
  <conditionalFormatting sqref="B29">
    <cfRule type="cellIs" dxfId="4489" priority="20" operator="between">
      <formula>10%</formula>
      <formula>11.9%</formula>
    </cfRule>
    <cfRule type="cellIs" dxfId="4488" priority="22" operator="lessThan">
      <formula>0.1</formula>
    </cfRule>
    <cfRule type="cellIs" dxfId="4487" priority="23" operator="greaterThanOrEqual">
      <formula>0.12</formula>
    </cfRule>
  </conditionalFormatting>
  <conditionalFormatting sqref="B42">
    <cfRule type="cellIs" dxfId="4486" priority="18" operator="between">
      <formula>0.1</formula>
      <formula>0.1199</formula>
    </cfRule>
    <cfRule type="cellIs" dxfId="4485" priority="19" operator="lessThan">
      <formula>0.1</formula>
    </cfRule>
    <cfRule type="cellIs" dxfId="4484" priority="21" operator="greaterThanOrEqual">
      <formula>0.12</formula>
    </cfRule>
  </conditionalFormatting>
  <conditionalFormatting sqref="B10">
    <cfRule type="containsText" dxfId="4483" priority="13" operator="containsText" text="Full">
      <formula>NOT(ISERROR(SEARCH("Full",B10)))</formula>
    </cfRule>
    <cfRule type="containsText" dxfId="4482" priority="14" operator="containsText" text="Heavy">
      <formula>NOT(ISERROR(SEARCH("Heavy",B10)))</formula>
    </cfRule>
    <cfRule type="containsText" dxfId="4481" priority="15" operator="containsText" text="Medium">
      <formula>NOT(ISERROR(SEARCH("Medium",B10)))</formula>
    </cfRule>
    <cfRule type="containsText" dxfId="4480" priority="16" operator="containsText" text="Light">
      <formula>NOT(ISERROR(SEARCH("Light",B10)))</formula>
    </cfRule>
    <cfRule type="containsText" dxfId="4479" priority="17" operator="containsText" text="None">
      <formula>NOT(ISERROR(SEARCH("None",B10)))</formula>
    </cfRule>
  </conditionalFormatting>
  <conditionalFormatting sqref="B28">
    <cfRule type="cellIs" dxfId="4478" priority="30" operator="lessThan">
      <formula>$B$8*100</formula>
    </cfRule>
    <cfRule type="cellIs" dxfId="4477" priority="31" operator="greaterThanOrEqual">
      <formula>$B$8*100</formula>
    </cfRule>
  </conditionalFormatting>
  <conditionalFormatting sqref="B41">
    <cfRule type="cellIs" dxfId="4476" priority="32" operator="lessThan">
      <formula>$B$8*100</formula>
    </cfRule>
    <cfRule type="cellIs" dxfId="4475" priority="33" operator="greaterThan">
      <formula>$B$8*100</formula>
    </cfRule>
    <cfRule type="cellIs" dxfId="4474" priority="34" operator="greaterThan">
      <formula>$B$8*100</formula>
    </cfRule>
  </conditionalFormatting>
  <conditionalFormatting sqref="B38">
    <cfRule type="cellIs" dxfId="4473" priority="8" operator="equal">
      <formula>"YES"</formula>
    </cfRule>
    <cfRule type="cellIs" dxfId="4472" priority="9" operator="equal">
      <formula>"NO"</formula>
    </cfRule>
  </conditionalFormatting>
  <conditionalFormatting sqref="E23:E26">
    <cfRule type="cellIs" dxfId="4471" priority="4" operator="equal">
      <formula>"NO"</formula>
    </cfRule>
    <cfRule type="cellIs" dxfId="4470" priority="5" operator="equal">
      <formula>"YES"</formula>
    </cfRule>
  </conditionalFormatting>
  <conditionalFormatting sqref="E29">
    <cfRule type="cellIs" dxfId="4469" priority="1" operator="between">
      <formula>10%</formula>
      <formula>12%</formula>
    </cfRule>
    <cfRule type="cellIs" dxfId="4468" priority="2" operator="lessThan">
      <formula>0.1</formula>
    </cfRule>
    <cfRule type="cellIs" dxfId="4467" priority="3" operator="greaterThan">
      <formula>0.12</formula>
    </cfRule>
  </conditionalFormatting>
  <conditionalFormatting sqref="E28">
    <cfRule type="cellIs" dxfId="4466" priority="6" operator="lessThan">
      <formula>$B$8*100</formula>
    </cfRule>
    <cfRule type="cellIs" dxfId="4465" priority="7" operator="greaterThan">
      <formula>$B$8*100</formula>
    </cfRule>
  </conditionalFormatting>
  <hyperlinks>
    <hyperlink ref="A32" r:id="rId1" display="https://www.zillow.com/homes/recently_sold/" xr:uid="{4E171F15-539E-45E4-AA86-A8A49B543947}"/>
    <hyperlink ref="A21" r:id="rId2" xr:uid="{D15CEA7C-C0F3-4AFD-866C-E1D33CC991F9}"/>
    <hyperlink ref="A25" r:id="rId3" display="www.mortgagecalculator.org" xr:uid="{DD7DE2F2-D6D0-44A9-B426-4DA0F786EABE}"/>
    <hyperlink ref="A12" r:id="rId4" xr:uid="{06F6795B-1579-4BC5-AD53-7E7321A757C0}"/>
  </hyperlinks>
  <pageMargins left="0.7" right="0.7" top="0.75" bottom="0.75" header="0.3" footer="0.3"/>
  <legacyDrawing r:id="rId5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E0AF-CCDF-4B68-B723-A59AB668169A}">
  <sheetPr codeName="Sheet110">
    <tabColor rgb="FF92D050"/>
  </sheetPr>
  <dimension ref="A1:P42"/>
  <sheetViews>
    <sheetView topLeftCell="A12" workbookViewId="0">
      <selection activeCell="A29" sqref="A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1704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127500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59640</v>
      </c>
      <c r="D15" s="2"/>
      <c r="E15" s="3"/>
    </row>
    <row r="16" spans="1:10" x14ac:dyDescent="0.25">
      <c r="A16" s="7" t="s">
        <v>20</v>
      </c>
      <c r="B16" s="17">
        <f>B15+B13</f>
        <v>187140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6549.9000000000005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180590.1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1150*2</f>
        <v>2300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1871.4</v>
      </c>
      <c r="D22" s="7" t="s">
        <v>77</v>
      </c>
      <c r="E22" s="17">
        <f>B16*0.01</f>
        <v>1871.4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1323.42</v>
      </c>
      <c r="D25" s="7" t="s">
        <v>38</v>
      </c>
      <c r="E25" s="35">
        <f>B25</f>
        <v>1323.42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2038.42</v>
      </c>
      <c r="D26" s="7" t="s">
        <v>41</v>
      </c>
      <c r="E26" s="17">
        <f>E25+I25+I34</f>
        <v>2038.42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261.57999999999993</v>
      </c>
      <c r="D28" s="7" t="s">
        <v>43</v>
      </c>
      <c r="E28" s="44">
        <f>E21-E25-I25-I34+I24+I33</f>
        <v>-618.42000000000007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0.47923785095955646</v>
      </c>
      <c r="D29" s="46" t="s">
        <v>44</v>
      </c>
      <c r="E29" s="47">
        <f>(E28*12)/B17</f>
        <v>-1.1330005038244859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115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115</v>
      </c>
    </row>
    <row r="32" spans="1:16" x14ac:dyDescent="0.25">
      <c r="A32" s="26" t="s">
        <v>49</v>
      </c>
      <c r="B32" s="8">
        <f>B16</f>
        <v>187140</v>
      </c>
      <c r="G32" s="27" t="s">
        <v>50</v>
      </c>
      <c r="H32" s="48">
        <v>0.05</v>
      </c>
      <c r="I32" s="49">
        <f>$B$21*H32</f>
        <v>115</v>
      </c>
    </row>
    <row r="33" spans="1:9" x14ac:dyDescent="0.25">
      <c r="A33" s="7" t="s">
        <v>51</v>
      </c>
      <c r="B33" s="17">
        <f>B32-B18</f>
        <v>6549.8999999999942</v>
      </c>
      <c r="G33" s="27" t="s">
        <v>52</v>
      </c>
      <c r="H33" s="48">
        <v>0.1</v>
      </c>
      <c r="I33" s="49">
        <f>$B$21*H33</f>
        <v>230</v>
      </c>
    </row>
    <row r="34" spans="1:9" ht="15.75" thickBot="1" x14ac:dyDescent="0.3">
      <c r="A34" s="7" t="s">
        <v>53</v>
      </c>
      <c r="B34" s="50">
        <f>B33/B17</f>
        <v>0.999999999999999</v>
      </c>
      <c r="G34" s="36" t="s">
        <v>39</v>
      </c>
      <c r="H34" s="37"/>
      <c r="I34" s="51">
        <f>SUM(I30:I33)</f>
        <v>575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127.91798750000002</v>
      </c>
      <c r="D39" s="58"/>
      <c r="E39" s="61"/>
    </row>
    <row r="40" spans="1:9" x14ac:dyDescent="0.25">
      <c r="A40" s="7" t="s">
        <v>58</v>
      </c>
      <c r="B40" s="17">
        <f>B25-B39</f>
        <v>1195.5020125000001</v>
      </c>
      <c r="D40" s="58"/>
      <c r="E40" s="61"/>
    </row>
    <row r="41" spans="1:9" x14ac:dyDescent="0.25">
      <c r="A41" s="7" t="s">
        <v>59</v>
      </c>
      <c r="B41" s="43">
        <f>B21-B40-I25-I34</f>
        <v>389.49798749999991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0.71359499381669922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464" priority="28" operator="equal">
      <formula>"NO"</formula>
    </cfRule>
    <cfRule type="cellIs" dxfId="4463" priority="29" operator="equal">
      <formula>"YES"</formula>
    </cfRule>
  </conditionalFormatting>
  <conditionalFormatting sqref="E38">
    <cfRule type="cellIs" dxfId="4462" priority="26" operator="equal">
      <formula>"YES"</formula>
    </cfRule>
    <cfRule type="cellIs" dxfId="4461" priority="27" operator="equal">
      <formula>"NO"</formula>
    </cfRule>
  </conditionalFormatting>
  <conditionalFormatting sqref="B23">
    <cfRule type="cellIs" dxfId="4460" priority="24" operator="equal">
      <formula>"NO"</formula>
    </cfRule>
    <cfRule type="cellIs" dxfId="4459" priority="25" operator="equal">
      <formula>"YES"</formula>
    </cfRule>
  </conditionalFormatting>
  <conditionalFormatting sqref="B12">
    <cfRule type="containsText" dxfId="4458" priority="10" operator="containsText" text="Low">
      <formula>NOT(ISERROR(SEARCH("Low",B12)))</formula>
    </cfRule>
    <cfRule type="containsText" dxfId="4457" priority="11" operator="containsText" text="Medium">
      <formula>NOT(ISERROR(SEARCH("Medium",B12)))</formula>
    </cfRule>
    <cfRule type="containsText" dxfId="4456" priority="12" operator="containsText" text="High">
      <formula>NOT(ISERROR(SEARCH("High",B12)))</formula>
    </cfRule>
  </conditionalFormatting>
  <conditionalFormatting sqref="B29">
    <cfRule type="cellIs" dxfId="4455" priority="20" operator="between">
      <formula>10%</formula>
      <formula>11.9%</formula>
    </cfRule>
    <cfRule type="cellIs" dxfId="4454" priority="22" operator="lessThan">
      <formula>0.1</formula>
    </cfRule>
    <cfRule type="cellIs" dxfId="4453" priority="23" operator="greaterThanOrEqual">
      <formula>0.12</formula>
    </cfRule>
  </conditionalFormatting>
  <conditionalFormatting sqref="B42">
    <cfRule type="cellIs" dxfId="4452" priority="18" operator="between">
      <formula>0.1</formula>
      <formula>0.1199</formula>
    </cfRule>
    <cfRule type="cellIs" dxfId="4451" priority="19" operator="lessThan">
      <formula>0.1</formula>
    </cfRule>
    <cfRule type="cellIs" dxfId="4450" priority="21" operator="greaterThanOrEqual">
      <formula>0.12</formula>
    </cfRule>
  </conditionalFormatting>
  <conditionalFormatting sqref="B10">
    <cfRule type="containsText" dxfId="4449" priority="13" operator="containsText" text="Full">
      <formula>NOT(ISERROR(SEARCH("Full",B10)))</formula>
    </cfRule>
    <cfRule type="containsText" dxfId="4448" priority="14" operator="containsText" text="Heavy">
      <formula>NOT(ISERROR(SEARCH("Heavy",B10)))</formula>
    </cfRule>
    <cfRule type="containsText" dxfId="4447" priority="15" operator="containsText" text="Medium">
      <formula>NOT(ISERROR(SEARCH("Medium",B10)))</formula>
    </cfRule>
    <cfRule type="containsText" dxfId="4446" priority="16" operator="containsText" text="Light">
      <formula>NOT(ISERROR(SEARCH("Light",B10)))</formula>
    </cfRule>
    <cfRule type="containsText" dxfId="4445" priority="17" operator="containsText" text="None">
      <formula>NOT(ISERROR(SEARCH("None",B10)))</formula>
    </cfRule>
  </conditionalFormatting>
  <conditionalFormatting sqref="B28">
    <cfRule type="cellIs" dxfId="4444" priority="30" operator="lessThan">
      <formula>$B$8*100</formula>
    </cfRule>
    <cfRule type="cellIs" dxfId="4443" priority="31" operator="greaterThanOrEqual">
      <formula>$B$8*100</formula>
    </cfRule>
  </conditionalFormatting>
  <conditionalFormatting sqref="B41">
    <cfRule type="cellIs" dxfId="4442" priority="32" operator="lessThan">
      <formula>$B$8*100</formula>
    </cfRule>
    <cfRule type="cellIs" dxfId="4441" priority="33" operator="greaterThan">
      <formula>$B$8*100</formula>
    </cfRule>
    <cfRule type="cellIs" dxfId="4440" priority="34" operator="greaterThan">
      <formula>$B$8*100</formula>
    </cfRule>
  </conditionalFormatting>
  <conditionalFormatting sqref="B38">
    <cfRule type="cellIs" dxfId="4439" priority="8" operator="equal">
      <formula>"YES"</formula>
    </cfRule>
    <cfRule type="cellIs" dxfId="4438" priority="9" operator="equal">
      <formula>"NO"</formula>
    </cfRule>
  </conditionalFormatting>
  <conditionalFormatting sqref="E23:E26">
    <cfRule type="cellIs" dxfId="4437" priority="4" operator="equal">
      <formula>"NO"</formula>
    </cfRule>
    <cfRule type="cellIs" dxfId="4436" priority="5" operator="equal">
      <formula>"YES"</formula>
    </cfRule>
  </conditionalFormatting>
  <conditionalFormatting sqref="E29">
    <cfRule type="cellIs" dxfId="4435" priority="1" operator="between">
      <formula>10%</formula>
      <formula>12%</formula>
    </cfRule>
    <cfRule type="cellIs" dxfId="4434" priority="2" operator="lessThan">
      <formula>0.1</formula>
    </cfRule>
    <cfRule type="cellIs" dxfId="4433" priority="3" operator="greaterThan">
      <formula>0.12</formula>
    </cfRule>
  </conditionalFormatting>
  <conditionalFormatting sqref="E28">
    <cfRule type="cellIs" dxfId="4432" priority="6" operator="lessThan">
      <formula>$B$8*100</formula>
    </cfRule>
    <cfRule type="cellIs" dxfId="4431" priority="7" operator="greaterThan">
      <formula>$B$8*100</formula>
    </cfRule>
  </conditionalFormatting>
  <hyperlinks>
    <hyperlink ref="A32" r:id="rId1" display="https://www.zillow.com/homes/recently_sold/" xr:uid="{958C569E-8A9C-4006-A8DF-114355FA36C2}"/>
    <hyperlink ref="A21" r:id="rId2" xr:uid="{16C4F39A-D24F-4942-9CC5-6A0DCAFEA8E5}"/>
    <hyperlink ref="A25" r:id="rId3" display="www.mortgagecalculator.org" xr:uid="{45095D14-A7D3-4C01-9D0A-C5136B83A7A4}"/>
    <hyperlink ref="A12" r:id="rId4" xr:uid="{8BC52D93-2436-4E86-B2FE-AFE320D38492}"/>
  </hyperlinks>
  <pageMargins left="0.7" right="0.7" top="0.75" bottom="0.75" header="0.3" footer="0.3"/>
  <legacyDrawing r:id="rId5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65EDB-17A7-4E7A-90AD-D76C1AEC66D9}">
  <sheetPr codeName="Sheet111">
    <tabColor rgb="FF92D050"/>
  </sheetPr>
  <dimension ref="A1:P42"/>
  <sheetViews>
    <sheetView topLeftCell="A11" workbookViewId="0">
      <selection activeCell="B13" sqref="B1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350000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5000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201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315000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75000</v>
      </c>
      <c r="D15" s="2"/>
      <c r="E15" s="3"/>
    </row>
    <row r="16" spans="1:10" x14ac:dyDescent="0.25">
      <c r="A16" s="7" t="s">
        <v>20</v>
      </c>
      <c r="B16" s="17">
        <f>B15+B13</f>
        <v>390000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13650.000000000002</v>
      </c>
      <c r="D17" s="19"/>
      <c r="E17" s="20"/>
      <c r="P17" s="21"/>
    </row>
    <row r="18" spans="1:16" x14ac:dyDescent="0.25">
      <c r="A18" s="7" t="s">
        <v>23</v>
      </c>
      <c r="B18" s="17">
        <f>B16-B17</f>
        <v>376350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1350+1050+1050+1000</f>
        <v>4450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3900</v>
      </c>
      <c r="D22" s="7" t="s">
        <v>77</v>
      </c>
      <c r="E22" s="17">
        <f>B16*0.01</f>
        <v>3900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2855</v>
      </c>
      <c r="D25" s="7" t="s">
        <v>38</v>
      </c>
      <c r="E25" s="35">
        <f>B25</f>
        <v>2855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4107.5</v>
      </c>
      <c r="D26" s="7" t="s">
        <v>41</v>
      </c>
      <c r="E26" s="17">
        <f>E25+I25+I34</f>
        <v>4107.5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342.5</v>
      </c>
      <c r="D28" s="7" t="s">
        <v>43</v>
      </c>
      <c r="E28" s="44">
        <f>E21-E25-I25-I34+I24+I33</f>
        <v>-2472.5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0.30109890109890108</v>
      </c>
      <c r="D29" s="46" t="s">
        <v>44</v>
      </c>
      <c r="E29" s="47">
        <f>(E28*12)/B17</f>
        <v>-2.1736263736263735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222.5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222.5</v>
      </c>
    </row>
    <row r="32" spans="1:16" x14ac:dyDescent="0.25">
      <c r="A32" s="26" t="s">
        <v>49</v>
      </c>
      <c r="B32" s="8">
        <f>B16</f>
        <v>390000</v>
      </c>
      <c r="G32" s="27" t="s">
        <v>50</v>
      </c>
      <c r="H32" s="48">
        <v>0.05</v>
      </c>
      <c r="I32" s="49">
        <f>$B$21*H32</f>
        <v>222.5</v>
      </c>
    </row>
    <row r="33" spans="1:9" x14ac:dyDescent="0.25">
      <c r="A33" s="7" t="s">
        <v>51</v>
      </c>
      <c r="B33" s="17">
        <f>B32-B18</f>
        <v>13650</v>
      </c>
      <c r="G33" s="27" t="s">
        <v>52</v>
      </c>
      <c r="H33" s="48">
        <v>0.1</v>
      </c>
      <c r="I33" s="49">
        <f>$B$21*H33</f>
        <v>445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1112.5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266.58125000000001</v>
      </c>
      <c r="D39" s="58"/>
      <c r="E39" s="61"/>
    </row>
    <row r="40" spans="1:9" x14ac:dyDescent="0.25">
      <c r="A40" s="7" t="s">
        <v>58</v>
      </c>
      <c r="B40" s="17">
        <f>B25-B39</f>
        <v>2588.4187499999998</v>
      </c>
      <c r="D40" s="58"/>
      <c r="E40" s="61"/>
    </row>
    <row r="41" spans="1:9" x14ac:dyDescent="0.25">
      <c r="A41" s="7" t="s">
        <v>59</v>
      </c>
      <c r="B41" s="43">
        <f>B21-B40-I25-I34</f>
        <v>609.08125000000018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0.53545604395604407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430" priority="28" operator="equal">
      <formula>"NO"</formula>
    </cfRule>
    <cfRule type="cellIs" dxfId="4429" priority="29" operator="equal">
      <formula>"YES"</formula>
    </cfRule>
  </conditionalFormatting>
  <conditionalFormatting sqref="E38">
    <cfRule type="cellIs" dxfId="4428" priority="26" operator="equal">
      <formula>"YES"</formula>
    </cfRule>
    <cfRule type="cellIs" dxfId="4427" priority="27" operator="equal">
      <formula>"NO"</formula>
    </cfRule>
  </conditionalFormatting>
  <conditionalFormatting sqref="B23">
    <cfRule type="cellIs" dxfId="4426" priority="24" operator="equal">
      <formula>"NO"</formula>
    </cfRule>
    <cfRule type="cellIs" dxfId="4425" priority="25" operator="equal">
      <formula>"YES"</formula>
    </cfRule>
  </conditionalFormatting>
  <conditionalFormatting sqref="B12">
    <cfRule type="containsText" dxfId="4424" priority="10" operator="containsText" text="Low">
      <formula>NOT(ISERROR(SEARCH("Low",B12)))</formula>
    </cfRule>
    <cfRule type="containsText" dxfId="4423" priority="11" operator="containsText" text="Medium">
      <formula>NOT(ISERROR(SEARCH("Medium",B12)))</formula>
    </cfRule>
    <cfRule type="containsText" dxfId="4422" priority="12" operator="containsText" text="High">
      <formula>NOT(ISERROR(SEARCH("High",B12)))</formula>
    </cfRule>
  </conditionalFormatting>
  <conditionalFormatting sqref="B29">
    <cfRule type="cellIs" dxfId="4421" priority="20" operator="between">
      <formula>10%</formula>
      <formula>11.9%</formula>
    </cfRule>
    <cfRule type="cellIs" dxfId="4420" priority="22" operator="lessThan">
      <formula>0.1</formula>
    </cfRule>
    <cfRule type="cellIs" dxfId="4419" priority="23" operator="greaterThanOrEqual">
      <formula>0.12</formula>
    </cfRule>
  </conditionalFormatting>
  <conditionalFormatting sqref="B42">
    <cfRule type="cellIs" dxfId="4418" priority="18" operator="between">
      <formula>0.1</formula>
      <formula>0.1199</formula>
    </cfRule>
    <cfRule type="cellIs" dxfId="4417" priority="19" operator="lessThan">
      <formula>0.1</formula>
    </cfRule>
    <cfRule type="cellIs" dxfId="4416" priority="21" operator="greaterThanOrEqual">
      <formula>0.12</formula>
    </cfRule>
  </conditionalFormatting>
  <conditionalFormatting sqref="B10">
    <cfRule type="containsText" dxfId="4415" priority="13" operator="containsText" text="Full">
      <formula>NOT(ISERROR(SEARCH("Full",B10)))</formula>
    </cfRule>
    <cfRule type="containsText" dxfId="4414" priority="14" operator="containsText" text="Heavy">
      <formula>NOT(ISERROR(SEARCH("Heavy",B10)))</formula>
    </cfRule>
    <cfRule type="containsText" dxfId="4413" priority="15" operator="containsText" text="Medium">
      <formula>NOT(ISERROR(SEARCH("Medium",B10)))</formula>
    </cfRule>
    <cfRule type="containsText" dxfId="4412" priority="16" operator="containsText" text="Light">
      <formula>NOT(ISERROR(SEARCH("Light",B10)))</formula>
    </cfRule>
    <cfRule type="containsText" dxfId="4411" priority="17" operator="containsText" text="None">
      <formula>NOT(ISERROR(SEARCH("None",B10)))</formula>
    </cfRule>
  </conditionalFormatting>
  <conditionalFormatting sqref="B28">
    <cfRule type="cellIs" dxfId="4410" priority="30" operator="lessThan">
      <formula>$B$8*100</formula>
    </cfRule>
    <cfRule type="cellIs" dxfId="4409" priority="31" operator="greaterThanOrEqual">
      <formula>$B$8*100</formula>
    </cfRule>
  </conditionalFormatting>
  <conditionalFormatting sqref="B41">
    <cfRule type="cellIs" dxfId="4408" priority="32" operator="lessThan">
      <formula>$B$8*100</formula>
    </cfRule>
    <cfRule type="cellIs" dxfId="4407" priority="33" operator="greaterThan">
      <formula>$B$8*100</formula>
    </cfRule>
    <cfRule type="cellIs" dxfId="4406" priority="34" operator="greaterThan">
      <formula>$B$8*100</formula>
    </cfRule>
  </conditionalFormatting>
  <conditionalFormatting sqref="B38">
    <cfRule type="cellIs" dxfId="4405" priority="8" operator="equal">
      <formula>"YES"</formula>
    </cfRule>
    <cfRule type="cellIs" dxfId="4404" priority="9" operator="equal">
      <formula>"NO"</formula>
    </cfRule>
  </conditionalFormatting>
  <conditionalFormatting sqref="E23:E26">
    <cfRule type="cellIs" dxfId="4403" priority="4" operator="equal">
      <formula>"NO"</formula>
    </cfRule>
    <cfRule type="cellIs" dxfId="4402" priority="5" operator="equal">
      <formula>"YES"</formula>
    </cfRule>
  </conditionalFormatting>
  <conditionalFormatting sqref="E29">
    <cfRule type="cellIs" dxfId="4401" priority="1" operator="between">
      <formula>10%</formula>
      <formula>12%</formula>
    </cfRule>
    <cfRule type="cellIs" dxfId="4400" priority="2" operator="lessThan">
      <formula>0.1</formula>
    </cfRule>
    <cfRule type="cellIs" dxfId="4399" priority="3" operator="greaterThan">
      <formula>0.12</formula>
    </cfRule>
  </conditionalFormatting>
  <conditionalFormatting sqref="E28">
    <cfRule type="cellIs" dxfId="4398" priority="6" operator="lessThan">
      <formula>$B$8*100</formula>
    </cfRule>
    <cfRule type="cellIs" dxfId="4397" priority="7" operator="greaterThan">
      <formula>$B$8*100</formula>
    </cfRule>
  </conditionalFormatting>
  <hyperlinks>
    <hyperlink ref="A32" r:id="rId1" display="https://www.zillow.com/homes/recently_sold/" xr:uid="{AADAA2B8-C67E-482A-88C4-70F69DD9D487}"/>
    <hyperlink ref="A21" r:id="rId2" xr:uid="{7D166BAA-AD78-4EEB-8D41-CAE6B0983C6B}"/>
    <hyperlink ref="A25" r:id="rId3" display="www.mortgagecalculator.org" xr:uid="{896150ED-B9A5-4496-A28B-DDFBE7060345}"/>
    <hyperlink ref="A12" r:id="rId4" xr:uid="{7BDFD6C0-E197-4DF7-BCBA-0DCF1F50A3CB}"/>
  </hyperlinks>
  <pageMargins left="0.7" right="0.7" top="0.75" bottom="0.75" header="0.3" footer="0.3"/>
  <legacyDrawing r:id="rId5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0982-4FB5-4641-B99F-424AD560AD04}">
  <sheetPr codeName="Sheet112">
    <tabColor rgb="FF00B050"/>
  </sheetPr>
  <dimension ref="A1:P42"/>
  <sheetViews>
    <sheetView topLeftCell="A20" workbookViewId="0">
      <selection activeCell="B23" sqref="B2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5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2703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194900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194900</v>
      </c>
      <c r="D16" s="2"/>
      <c r="E16" s="18"/>
    </row>
    <row r="17" spans="1:16" ht="15.75" thickBot="1" x14ac:dyDescent="0.3">
      <c r="A17" s="7" t="s">
        <v>21</v>
      </c>
      <c r="B17" s="17">
        <f>B16*0.2</f>
        <v>38980</v>
      </c>
      <c r="D17" s="19"/>
      <c r="E17" s="20"/>
      <c r="P17" s="21"/>
    </row>
    <row r="18" spans="1:16" x14ac:dyDescent="0.25">
      <c r="A18" s="7" t="s">
        <v>23</v>
      </c>
      <c r="B18" s="17">
        <f>B16-B17</f>
        <v>155920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/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500*4+700</f>
        <v>2700</v>
      </c>
      <c r="D21" s="23"/>
      <c r="E21" s="8"/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1949</v>
      </c>
      <c r="D22" s="7"/>
      <c r="E22" s="17"/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/>
      <c r="E23" s="31"/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1320.35</v>
      </c>
      <c r="D25" s="7"/>
      <c r="E25" s="35"/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2135.35</v>
      </c>
      <c r="D26" s="7"/>
      <c r="E26" s="17"/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564.65000000000009</v>
      </c>
      <c r="D28" s="7"/>
      <c r="E28" s="44"/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0.17382760389943563</v>
      </c>
      <c r="D29" s="46"/>
      <c r="E29" s="47"/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135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135</v>
      </c>
    </row>
    <row r="32" spans="1:16" x14ac:dyDescent="0.25">
      <c r="A32" s="26" t="s">
        <v>49</v>
      </c>
      <c r="B32" s="8">
        <f>B16</f>
        <v>194900</v>
      </c>
      <c r="G32" s="27" t="s">
        <v>50</v>
      </c>
      <c r="H32" s="48">
        <v>0.05</v>
      </c>
      <c r="I32" s="49">
        <f>$B$21*H32</f>
        <v>135</v>
      </c>
    </row>
    <row r="33" spans="1:9" x14ac:dyDescent="0.25">
      <c r="A33" s="7" t="s">
        <v>51</v>
      </c>
      <c r="B33" s="17">
        <f>B32-B18</f>
        <v>38980</v>
      </c>
      <c r="G33" s="27" t="s">
        <v>52</v>
      </c>
      <c r="H33" s="48">
        <v>0.1</v>
      </c>
      <c r="I33" s="49">
        <f>$B$21*H33</f>
        <v>270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675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110.44333333333334</v>
      </c>
      <c r="D39" s="58"/>
      <c r="E39" s="61"/>
    </row>
    <row r="40" spans="1:9" x14ac:dyDescent="0.25">
      <c r="A40" s="7" t="s">
        <v>58</v>
      </c>
      <c r="B40" s="17">
        <f>B25-B39</f>
        <v>1209.9066666666665</v>
      </c>
      <c r="D40" s="58"/>
      <c r="E40" s="61"/>
    </row>
    <row r="41" spans="1:9" x14ac:dyDescent="0.25">
      <c r="A41" s="7" t="s">
        <v>59</v>
      </c>
      <c r="B41" s="43">
        <f>B21-B40-I25-I34</f>
        <v>675.09333333333348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0.20782760389943566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396" priority="28" operator="equal">
      <formula>"NO"</formula>
    </cfRule>
    <cfRule type="cellIs" dxfId="4395" priority="29" operator="equal">
      <formula>"YES"</formula>
    </cfRule>
  </conditionalFormatting>
  <conditionalFormatting sqref="E38">
    <cfRule type="cellIs" dxfId="4394" priority="26" operator="equal">
      <formula>"YES"</formula>
    </cfRule>
    <cfRule type="cellIs" dxfId="4393" priority="27" operator="equal">
      <formula>"NO"</formula>
    </cfRule>
  </conditionalFormatting>
  <conditionalFormatting sqref="B23">
    <cfRule type="cellIs" dxfId="4392" priority="24" operator="equal">
      <formula>"NO"</formula>
    </cfRule>
    <cfRule type="cellIs" dxfId="4391" priority="25" operator="equal">
      <formula>"YES"</formula>
    </cfRule>
  </conditionalFormatting>
  <conditionalFormatting sqref="B12">
    <cfRule type="containsText" dxfId="4390" priority="10" operator="containsText" text="Low">
      <formula>NOT(ISERROR(SEARCH("Low",B12)))</formula>
    </cfRule>
    <cfRule type="containsText" dxfId="4389" priority="11" operator="containsText" text="Medium">
      <formula>NOT(ISERROR(SEARCH("Medium",B12)))</formula>
    </cfRule>
    <cfRule type="containsText" dxfId="4388" priority="12" operator="containsText" text="High">
      <formula>NOT(ISERROR(SEARCH("High",B12)))</formula>
    </cfRule>
  </conditionalFormatting>
  <conditionalFormatting sqref="B29">
    <cfRule type="cellIs" dxfId="4387" priority="20" operator="between">
      <formula>10%</formula>
      <formula>11.9%</formula>
    </cfRule>
    <cfRule type="cellIs" dxfId="4386" priority="22" operator="lessThan">
      <formula>0.1</formula>
    </cfRule>
    <cfRule type="cellIs" dxfId="4385" priority="23" operator="greaterThanOrEqual">
      <formula>0.12</formula>
    </cfRule>
  </conditionalFormatting>
  <conditionalFormatting sqref="B42">
    <cfRule type="cellIs" dxfId="4384" priority="18" operator="between">
      <formula>0.1</formula>
      <formula>0.1199</formula>
    </cfRule>
    <cfRule type="cellIs" dxfId="4383" priority="19" operator="lessThan">
      <formula>0.1</formula>
    </cfRule>
    <cfRule type="cellIs" dxfId="4382" priority="21" operator="greaterThanOrEqual">
      <formula>0.12</formula>
    </cfRule>
  </conditionalFormatting>
  <conditionalFormatting sqref="B10">
    <cfRule type="containsText" dxfId="4381" priority="13" operator="containsText" text="Full">
      <formula>NOT(ISERROR(SEARCH("Full",B10)))</formula>
    </cfRule>
    <cfRule type="containsText" dxfId="4380" priority="14" operator="containsText" text="Heavy">
      <formula>NOT(ISERROR(SEARCH("Heavy",B10)))</formula>
    </cfRule>
    <cfRule type="containsText" dxfId="4379" priority="15" operator="containsText" text="Medium">
      <formula>NOT(ISERROR(SEARCH("Medium",B10)))</formula>
    </cfRule>
    <cfRule type="containsText" dxfId="4378" priority="16" operator="containsText" text="Light">
      <formula>NOT(ISERROR(SEARCH("Light",B10)))</formula>
    </cfRule>
    <cfRule type="containsText" dxfId="4377" priority="17" operator="containsText" text="None">
      <formula>NOT(ISERROR(SEARCH("None",B10)))</formula>
    </cfRule>
  </conditionalFormatting>
  <conditionalFormatting sqref="B28">
    <cfRule type="cellIs" dxfId="4376" priority="30" operator="lessThan">
      <formula>$B$8*100</formula>
    </cfRule>
    <cfRule type="cellIs" dxfId="4375" priority="31" operator="greaterThanOrEqual">
      <formula>$B$8*100</formula>
    </cfRule>
  </conditionalFormatting>
  <conditionalFormatting sqref="B41">
    <cfRule type="cellIs" dxfId="4374" priority="32" operator="lessThan">
      <formula>$B$8*100</formula>
    </cfRule>
    <cfRule type="cellIs" dxfId="4373" priority="33" operator="greaterThan">
      <formula>$B$8*100</formula>
    </cfRule>
    <cfRule type="cellIs" dxfId="4372" priority="34" operator="greaterThan">
      <formula>$B$8*100</formula>
    </cfRule>
  </conditionalFormatting>
  <conditionalFormatting sqref="B38">
    <cfRule type="cellIs" dxfId="4371" priority="8" operator="equal">
      <formula>"YES"</formula>
    </cfRule>
    <cfRule type="cellIs" dxfId="4370" priority="9" operator="equal">
      <formula>"NO"</formula>
    </cfRule>
  </conditionalFormatting>
  <conditionalFormatting sqref="E23:E26">
    <cfRule type="cellIs" dxfId="4369" priority="4" operator="equal">
      <formula>"NO"</formula>
    </cfRule>
    <cfRule type="cellIs" dxfId="4368" priority="5" operator="equal">
      <formula>"YES"</formula>
    </cfRule>
  </conditionalFormatting>
  <conditionalFormatting sqref="E29">
    <cfRule type="cellIs" dxfId="4367" priority="1" operator="between">
      <formula>10%</formula>
      <formula>12%</formula>
    </cfRule>
    <cfRule type="cellIs" dxfId="4366" priority="2" operator="lessThan">
      <formula>0.1</formula>
    </cfRule>
    <cfRule type="cellIs" dxfId="4365" priority="3" operator="greaterThan">
      <formula>0.12</formula>
    </cfRule>
  </conditionalFormatting>
  <conditionalFormatting sqref="E28">
    <cfRule type="cellIs" dxfId="4364" priority="6" operator="lessThan">
      <formula>$B$8*100</formula>
    </cfRule>
    <cfRule type="cellIs" dxfId="4363" priority="7" operator="greaterThan">
      <formula>$B$8*100</formula>
    </cfRule>
  </conditionalFormatting>
  <hyperlinks>
    <hyperlink ref="A32" r:id="rId1" display="https://www.zillow.com/homes/recently_sold/" xr:uid="{231B1DBE-56E6-4290-A0F2-F1A64B669398}"/>
    <hyperlink ref="A21" r:id="rId2" xr:uid="{3414469C-1DB4-46AB-846B-B7F602D5EB67}"/>
    <hyperlink ref="A25" r:id="rId3" display="www.mortgagecalculator.org" xr:uid="{CB0E2911-5569-4A5E-AFD9-88AB157DB020}"/>
    <hyperlink ref="A12" r:id="rId4" xr:uid="{956A2D7F-5961-4068-A456-AB20B7BE48FD}"/>
  </hyperlinks>
  <pageMargins left="0.7" right="0.7" top="0.75" bottom="0.75" header="0.3" footer="0.3"/>
  <legacyDrawing r:id="rId5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2B7CE-DFDE-410D-88C6-BBD6C552C446}">
  <sheetPr codeName="Sheet113">
    <tabColor rgb="FFFF0000"/>
  </sheetPr>
  <dimension ref="A1:P42"/>
  <sheetViews>
    <sheetView topLeftCell="A12" workbookViewId="0">
      <selection activeCell="C30" sqref="C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226000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1750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192100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26250</v>
      </c>
      <c r="D15" s="2"/>
      <c r="E15" s="3"/>
    </row>
    <row r="16" spans="1:10" x14ac:dyDescent="0.25">
      <c r="A16" s="7" t="s">
        <v>20</v>
      </c>
      <c r="B16" s="17">
        <f>B15+B13</f>
        <v>218350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7642.2500000000009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210707.75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1088*2</f>
        <v>2176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2183.5</v>
      </c>
      <c r="D22" s="7" t="s">
        <v>77</v>
      </c>
      <c r="E22" s="17">
        <f>B16*0.01</f>
        <v>2183.5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1555.2</v>
      </c>
      <c r="D25" s="7" t="s">
        <v>38</v>
      </c>
      <c r="E25" s="35">
        <f>B25</f>
        <v>1555.2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2239.1999999999998</v>
      </c>
      <c r="D26" s="7" t="s">
        <v>41</v>
      </c>
      <c r="E26" s="17">
        <f>E25+I25+I34</f>
        <v>2239.1999999999998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-63.199999999999818</v>
      </c>
      <c r="D28" s="7" t="s">
        <v>43</v>
      </c>
      <c r="E28" s="44">
        <f>E21-E25-I25-I34+I24+I33</f>
        <v>-831.6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-9.9237789917890382E-2</v>
      </c>
      <c r="D29" s="46" t="s">
        <v>44</v>
      </c>
      <c r="E29" s="47">
        <f>(E28*12)/B17</f>
        <v>-1.305793450881612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108.80000000000001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108.80000000000001</v>
      </c>
    </row>
    <row r="32" spans="1:16" x14ac:dyDescent="0.25">
      <c r="A32" s="26" t="s">
        <v>49</v>
      </c>
      <c r="B32" s="8">
        <f>B16</f>
        <v>218350</v>
      </c>
      <c r="G32" s="27" t="s">
        <v>50</v>
      </c>
      <c r="H32" s="48">
        <v>0.05</v>
      </c>
      <c r="I32" s="49">
        <f>$B$21*H32</f>
        <v>108.80000000000001</v>
      </c>
    </row>
    <row r="33" spans="1:9" x14ac:dyDescent="0.25">
      <c r="A33" s="7" t="s">
        <v>51</v>
      </c>
      <c r="B33" s="17">
        <f>B32-B18</f>
        <v>7642.25</v>
      </c>
      <c r="G33" s="27" t="s">
        <v>52</v>
      </c>
      <c r="H33" s="48">
        <v>0.1</v>
      </c>
      <c r="I33" s="49">
        <f>$B$21*H33</f>
        <v>217.60000000000002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544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149.25132291666668</v>
      </c>
      <c r="D39" s="58"/>
      <c r="E39" s="61"/>
    </row>
    <row r="40" spans="1:9" x14ac:dyDescent="0.25">
      <c r="A40" s="7" t="s">
        <v>58</v>
      </c>
      <c r="B40" s="17">
        <f>B25-B39</f>
        <v>1405.9486770833335</v>
      </c>
      <c r="D40" s="58"/>
      <c r="E40" s="61"/>
    </row>
    <row r="41" spans="1:9" x14ac:dyDescent="0.25">
      <c r="A41" s="7" t="s">
        <v>59</v>
      </c>
      <c r="B41" s="43">
        <f>B21-B40-I25-I34</f>
        <v>86.05132291666655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0.13511935293925198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362" priority="28" operator="equal">
      <formula>"NO"</formula>
    </cfRule>
    <cfRule type="cellIs" dxfId="4361" priority="29" operator="equal">
      <formula>"YES"</formula>
    </cfRule>
  </conditionalFormatting>
  <conditionalFormatting sqref="E38">
    <cfRule type="cellIs" dxfId="4360" priority="26" operator="equal">
      <formula>"YES"</formula>
    </cfRule>
    <cfRule type="cellIs" dxfId="4359" priority="27" operator="equal">
      <formula>"NO"</formula>
    </cfRule>
  </conditionalFormatting>
  <conditionalFormatting sqref="B23">
    <cfRule type="cellIs" dxfId="4358" priority="24" operator="equal">
      <formula>"NO"</formula>
    </cfRule>
    <cfRule type="cellIs" dxfId="4357" priority="25" operator="equal">
      <formula>"YES"</formula>
    </cfRule>
  </conditionalFormatting>
  <conditionalFormatting sqref="B12">
    <cfRule type="containsText" dxfId="4356" priority="10" operator="containsText" text="Low">
      <formula>NOT(ISERROR(SEARCH("Low",B12)))</formula>
    </cfRule>
    <cfRule type="containsText" dxfId="4355" priority="11" operator="containsText" text="Medium">
      <formula>NOT(ISERROR(SEARCH("Medium",B12)))</formula>
    </cfRule>
    <cfRule type="containsText" dxfId="4354" priority="12" operator="containsText" text="High">
      <formula>NOT(ISERROR(SEARCH("High",B12)))</formula>
    </cfRule>
  </conditionalFormatting>
  <conditionalFormatting sqref="B29">
    <cfRule type="cellIs" dxfId="4353" priority="20" operator="between">
      <formula>10%</formula>
      <formula>11.9%</formula>
    </cfRule>
    <cfRule type="cellIs" dxfId="4352" priority="22" operator="lessThan">
      <formula>0.1</formula>
    </cfRule>
    <cfRule type="cellIs" dxfId="4351" priority="23" operator="greaterThanOrEqual">
      <formula>0.12</formula>
    </cfRule>
  </conditionalFormatting>
  <conditionalFormatting sqref="B42">
    <cfRule type="cellIs" dxfId="4350" priority="18" operator="between">
      <formula>0.1</formula>
      <formula>0.1199</formula>
    </cfRule>
    <cfRule type="cellIs" dxfId="4349" priority="19" operator="lessThan">
      <formula>0.1</formula>
    </cfRule>
    <cfRule type="cellIs" dxfId="4348" priority="21" operator="greaterThanOrEqual">
      <formula>0.12</formula>
    </cfRule>
  </conditionalFormatting>
  <conditionalFormatting sqref="B10">
    <cfRule type="containsText" dxfId="4347" priority="13" operator="containsText" text="Full">
      <formula>NOT(ISERROR(SEARCH("Full",B10)))</formula>
    </cfRule>
    <cfRule type="containsText" dxfId="4346" priority="14" operator="containsText" text="Heavy">
      <formula>NOT(ISERROR(SEARCH("Heavy",B10)))</formula>
    </cfRule>
    <cfRule type="containsText" dxfId="4345" priority="15" operator="containsText" text="Medium">
      <formula>NOT(ISERROR(SEARCH("Medium",B10)))</formula>
    </cfRule>
    <cfRule type="containsText" dxfId="4344" priority="16" operator="containsText" text="Light">
      <formula>NOT(ISERROR(SEARCH("Light",B10)))</formula>
    </cfRule>
    <cfRule type="containsText" dxfId="4343" priority="17" operator="containsText" text="None">
      <formula>NOT(ISERROR(SEARCH("None",B10)))</formula>
    </cfRule>
  </conditionalFormatting>
  <conditionalFormatting sqref="B28">
    <cfRule type="cellIs" dxfId="4342" priority="30" operator="lessThan">
      <formula>$B$8*100</formula>
    </cfRule>
    <cfRule type="cellIs" dxfId="4341" priority="31" operator="greaterThanOrEqual">
      <formula>$B$8*100</formula>
    </cfRule>
  </conditionalFormatting>
  <conditionalFormatting sqref="B41">
    <cfRule type="cellIs" dxfId="4340" priority="32" operator="lessThan">
      <formula>$B$8*100</formula>
    </cfRule>
    <cfRule type="cellIs" dxfId="4339" priority="33" operator="greaterThan">
      <formula>$B$8*100</formula>
    </cfRule>
    <cfRule type="cellIs" dxfId="4338" priority="34" operator="greaterThan">
      <formula>$B$8*100</formula>
    </cfRule>
  </conditionalFormatting>
  <conditionalFormatting sqref="B38">
    <cfRule type="cellIs" dxfId="4337" priority="8" operator="equal">
      <formula>"YES"</formula>
    </cfRule>
    <cfRule type="cellIs" dxfId="4336" priority="9" operator="equal">
      <formula>"NO"</formula>
    </cfRule>
  </conditionalFormatting>
  <conditionalFormatting sqref="E23:E26">
    <cfRule type="cellIs" dxfId="4335" priority="4" operator="equal">
      <formula>"NO"</formula>
    </cfRule>
    <cfRule type="cellIs" dxfId="4334" priority="5" operator="equal">
      <formula>"YES"</formula>
    </cfRule>
  </conditionalFormatting>
  <conditionalFormatting sqref="E29">
    <cfRule type="cellIs" dxfId="4333" priority="1" operator="between">
      <formula>10%</formula>
      <formula>12%</formula>
    </cfRule>
    <cfRule type="cellIs" dxfId="4332" priority="2" operator="lessThan">
      <formula>0.1</formula>
    </cfRule>
    <cfRule type="cellIs" dxfId="4331" priority="3" operator="greaterThan">
      <formula>0.12</formula>
    </cfRule>
  </conditionalFormatting>
  <conditionalFormatting sqref="E28">
    <cfRule type="cellIs" dxfId="4330" priority="6" operator="lessThan">
      <formula>$B$8*100</formula>
    </cfRule>
    <cfRule type="cellIs" dxfId="4329" priority="7" operator="greaterThan">
      <formula>$B$8*100</formula>
    </cfRule>
  </conditionalFormatting>
  <hyperlinks>
    <hyperlink ref="A32" r:id="rId1" display="https://www.zillow.com/homes/recently_sold/" xr:uid="{943B2730-6693-46D9-A223-846003D35F98}"/>
    <hyperlink ref="A21" r:id="rId2" xr:uid="{DC098886-DFAD-43E5-8C32-F02D5F4CE7DC}"/>
    <hyperlink ref="A25" r:id="rId3" display="www.mortgagecalculator.org" xr:uid="{FACA01AE-9DCF-41A3-B873-D1E57410ED19}"/>
    <hyperlink ref="A12" r:id="rId4" xr:uid="{683A6EFE-E02B-4BCC-94A7-DDDFBC6A1F5A}"/>
  </hyperlinks>
  <pageMargins left="0.7" right="0.7" top="0.75" bottom="0.75" header="0.3" footer="0.3"/>
  <legacyDrawing r:id="rId5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252C-7A5F-4165-A06D-30731F91E621}">
  <sheetPr codeName="Sheet114">
    <tabColor rgb="FFFF0000"/>
  </sheetPr>
  <dimension ref="A1:P42"/>
  <sheetViews>
    <sheetView topLeftCell="A12" workbookViewId="0">
      <selection activeCell="B29" sqref="B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2566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130500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130500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6525</v>
      </c>
      <c r="D17" s="19"/>
      <c r="E17" s="20"/>
      <c r="P17" s="21"/>
    </row>
    <row r="18" spans="1:16" x14ac:dyDescent="0.25">
      <c r="A18" s="7" t="s">
        <v>23</v>
      </c>
      <c r="B18" s="17">
        <f>B16-B17</f>
        <v>123975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800+600</f>
        <v>1400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1305</v>
      </c>
      <c r="D22" s="7" t="s">
        <v>77</v>
      </c>
      <c r="E22" s="17">
        <f>B16*0.01</f>
        <v>1305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900.85</v>
      </c>
      <c r="D25" s="7" t="s">
        <v>38</v>
      </c>
      <c r="E25" s="35">
        <f>B25</f>
        <v>900.85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1370.85</v>
      </c>
      <c r="D26" s="7" t="s">
        <v>41</v>
      </c>
      <c r="E26" s="17">
        <f>E25+I25+I34</f>
        <v>1370.85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29.150000000000091</v>
      </c>
      <c r="D28" s="7" t="s">
        <v>43</v>
      </c>
      <c r="E28" s="44">
        <f>E21-E25-I25-I34+I24+I33</f>
        <v>-60.850000000000023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5.3609195402299019E-2</v>
      </c>
      <c r="D29" s="46" t="s">
        <v>44</v>
      </c>
      <c r="E29" s="47">
        <f>(E28*12)/B17</f>
        <v>-0.11190804597701154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70</v>
      </c>
    </row>
    <row r="32" spans="1:16" x14ac:dyDescent="0.25">
      <c r="A32" s="26" t="s">
        <v>49</v>
      </c>
      <c r="B32" s="8">
        <f>B16</f>
        <v>130500</v>
      </c>
      <c r="G32" s="27" t="s">
        <v>50</v>
      </c>
      <c r="H32" s="48">
        <v>0.05</v>
      </c>
      <c r="I32" s="49">
        <f>$B$21*H32</f>
        <v>70</v>
      </c>
    </row>
    <row r="33" spans="1:9" x14ac:dyDescent="0.25">
      <c r="A33" s="7" t="s">
        <v>51</v>
      </c>
      <c r="B33" s="17">
        <f>B32-B18</f>
        <v>6525</v>
      </c>
      <c r="G33" s="27" t="s">
        <v>52</v>
      </c>
      <c r="H33" s="48">
        <v>0.1</v>
      </c>
      <c r="I33" s="49">
        <f>$B$21*H33</f>
        <v>140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87.815625000000011</v>
      </c>
      <c r="D39" s="58"/>
      <c r="E39" s="61"/>
    </row>
    <row r="40" spans="1:9" x14ac:dyDescent="0.25">
      <c r="A40" s="7" t="s">
        <v>58</v>
      </c>
      <c r="B40" s="17">
        <f>B25-B39</f>
        <v>813.03437499999995</v>
      </c>
      <c r="D40" s="58"/>
      <c r="E40" s="61"/>
    </row>
    <row r="41" spans="1:9" x14ac:dyDescent="0.25">
      <c r="A41" s="7" t="s">
        <v>59</v>
      </c>
      <c r="B41" s="43">
        <f>B21-B40-I25-I34</f>
        <v>116.96562500000005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0.21510919540229895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328" priority="28" operator="equal">
      <formula>"NO"</formula>
    </cfRule>
    <cfRule type="cellIs" dxfId="4327" priority="29" operator="equal">
      <formula>"YES"</formula>
    </cfRule>
  </conditionalFormatting>
  <conditionalFormatting sqref="E38">
    <cfRule type="cellIs" dxfId="4326" priority="26" operator="equal">
      <formula>"YES"</formula>
    </cfRule>
    <cfRule type="cellIs" dxfId="4325" priority="27" operator="equal">
      <formula>"NO"</formula>
    </cfRule>
  </conditionalFormatting>
  <conditionalFormatting sqref="B23">
    <cfRule type="cellIs" dxfId="4324" priority="24" operator="equal">
      <formula>"NO"</formula>
    </cfRule>
    <cfRule type="cellIs" dxfId="4323" priority="25" operator="equal">
      <formula>"YES"</formula>
    </cfRule>
  </conditionalFormatting>
  <conditionalFormatting sqref="B12">
    <cfRule type="containsText" dxfId="4322" priority="10" operator="containsText" text="Low">
      <formula>NOT(ISERROR(SEARCH("Low",B12)))</formula>
    </cfRule>
    <cfRule type="containsText" dxfId="4321" priority="11" operator="containsText" text="Medium">
      <formula>NOT(ISERROR(SEARCH("Medium",B12)))</formula>
    </cfRule>
    <cfRule type="containsText" dxfId="4320" priority="12" operator="containsText" text="High">
      <formula>NOT(ISERROR(SEARCH("High",B12)))</formula>
    </cfRule>
  </conditionalFormatting>
  <conditionalFormatting sqref="B29">
    <cfRule type="cellIs" dxfId="4319" priority="20" operator="between">
      <formula>10%</formula>
      <formula>11.9%</formula>
    </cfRule>
    <cfRule type="cellIs" dxfId="4318" priority="22" operator="lessThan">
      <formula>0.1</formula>
    </cfRule>
    <cfRule type="cellIs" dxfId="4317" priority="23" operator="greaterThanOrEqual">
      <formula>0.12</formula>
    </cfRule>
  </conditionalFormatting>
  <conditionalFormatting sqref="B42">
    <cfRule type="cellIs" dxfId="4316" priority="18" operator="between">
      <formula>0.1</formula>
      <formula>0.1199</formula>
    </cfRule>
    <cfRule type="cellIs" dxfId="4315" priority="19" operator="lessThan">
      <formula>0.1</formula>
    </cfRule>
    <cfRule type="cellIs" dxfId="4314" priority="21" operator="greaterThanOrEqual">
      <formula>0.12</formula>
    </cfRule>
  </conditionalFormatting>
  <conditionalFormatting sqref="B10">
    <cfRule type="containsText" dxfId="4313" priority="13" operator="containsText" text="Full">
      <formula>NOT(ISERROR(SEARCH("Full",B10)))</formula>
    </cfRule>
    <cfRule type="containsText" dxfId="4312" priority="14" operator="containsText" text="Heavy">
      <formula>NOT(ISERROR(SEARCH("Heavy",B10)))</formula>
    </cfRule>
    <cfRule type="containsText" dxfId="4311" priority="15" operator="containsText" text="Medium">
      <formula>NOT(ISERROR(SEARCH("Medium",B10)))</formula>
    </cfRule>
    <cfRule type="containsText" dxfId="4310" priority="16" operator="containsText" text="Light">
      <formula>NOT(ISERROR(SEARCH("Light",B10)))</formula>
    </cfRule>
    <cfRule type="containsText" dxfId="4309" priority="17" operator="containsText" text="None">
      <formula>NOT(ISERROR(SEARCH("None",B10)))</formula>
    </cfRule>
  </conditionalFormatting>
  <conditionalFormatting sqref="B28">
    <cfRule type="cellIs" dxfId="4308" priority="30" operator="lessThan">
      <formula>$B$8*100</formula>
    </cfRule>
    <cfRule type="cellIs" dxfId="4307" priority="31" operator="greaterThanOrEqual">
      <formula>$B$8*100</formula>
    </cfRule>
  </conditionalFormatting>
  <conditionalFormatting sqref="B41">
    <cfRule type="cellIs" dxfId="4306" priority="32" operator="lessThan">
      <formula>$B$8*100</formula>
    </cfRule>
    <cfRule type="cellIs" dxfId="4305" priority="33" operator="greaterThan">
      <formula>$B$8*100</formula>
    </cfRule>
    <cfRule type="cellIs" dxfId="4304" priority="34" operator="greaterThan">
      <formula>$B$8*100</formula>
    </cfRule>
  </conditionalFormatting>
  <conditionalFormatting sqref="B38">
    <cfRule type="cellIs" dxfId="4303" priority="8" operator="equal">
      <formula>"YES"</formula>
    </cfRule>
    <cfRule type="cellIs" dxfId="4302" priority="9" operator="equal">
      <formula>"NO"</formula>
    </cfRule>
  </conditionalFormatting>
  <conditionalFormatting sqref="E23:E26">
    <cfRule type="cellIs" dxfId="4301" priority="4" operator="equal">
      <formula>"NO"</formula>
    </cfRule>
    <cfRule type="cellIs" dxfId="4300" priority="5" operator="equal">
      <formula>"YES"</formula>
    </cfRule>
  </conditionalFormatting>
  <conditionalFormatting sqref="E29">
    <cfRule type="cellIs" dxfId="4299" priority="1" operator="between">
      <formula>10%</formula>
      <formula>12%</formula>
    </cfRule>
    <cfRule type="cellIs" dxfId="4298" priority="2" operator="lessThan">
      <formula>0.1</formula>
    </cfRule>
    <cfRule type="cellIs" dxfId="4297" priority="3" operator="greaterThan">
      <formula>0.12</formula>
    </cfRule>
  </conditionalFormatting>
  <conditionalFormatting sqref="E28">
    <cfRule type="cellIs" dxfId="4296" priority="6" operator="lessThan">
      <formula>$B$8*100</formula>
    </cfRule>
    <cfRule type="cellIs" dxfId="4295" priority="7" operator="greaterThan">
      <formula>$B$8*100</formula>
    </cfRule>
  </conditionalFormatting>
  <hyperlinks>
    <hyperlink ref="A32" r:id="rId1" display="https://www.zillow.com/homes/recently_sold/" xr:uid="{49DC8A68-D147-4C5A-AF22-203F932A1678}"/>
    <hyperlink ref="A21" r:id="rId2" xr:uid="{EFCB10D4-9924-43AE-8948-B5A2C30F3DA7}"/>
    <hyperlink ref="A25" r:id="rId3" display="www.mortgagecalculator.org" xr:uid="{A9AB03DA-F169-4116-BF73-5EAA894AF084}"/>
    <hyperlink ref="A12" r:id="rId4" xr:uid="{3DFBB8F7-960C-4FA8-AC1C-90191DD531BF}"/>
  </hyperlinks>
  <pageMargins left="0.7" right="0.7" top="0.75" bottom="0.75" header="0.3" footer="0.3"/>
  <legacyDrawing r:id="rId5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92E20-2F98-4FB7-82BC-4E176A1F2F9D}">
  <sheetPr codeName="Sheet115">
    <tabColor rgb="FF00B050"/>
  </sheetPr>
  <dimension ref="A1:P42"/>
  <sheetViews>
    <sheetView topLeftCell="A2"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4518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153000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67770</v>
      </c>
      <c r="D15" s="2"/>
      <c r="E15" s="3"/>
    </row>
    <row r="16" spans="1:10" x14ac:dyDescent="0.25">
      <c r="A16" s="7" t="s">
        <v>20</v>
      </c>
      <c r="B16" s="17">
        <f>B15+B13</f>
        <v>220770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7726.9500000000007</v>
      </c>
      <c r="D17" s="19"/>
      <c r="E17" s="20"/>
      <c r="P17" s="21"/>
    </row>
    <row r="18" spans="1:16" x14ac:dyDescent="0.25">
      <c r="A18" s="7" t="s">
        <v>23</v>
      </c>
      <c r="B18" s="17">
        <f>B16-B17</f>
        <v>213043.05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646*2+769*2</f>
        <v>2830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2207.7000000000003</v>
      </c>
      <c r="D22" s="7" t="s">
        <v>77</v>
      </c>
      <c r="E22" s="17">
        <f>B16*0.01</f>
        <v>2207.7000000000003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1560.35</v>
      </c>
      <c r="D25" s="7" t="s">
        <v>38</v>
      </c>
      <c r="E25" s="35">
        <f>B25</f>
        <v>1560.35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2387.85</v>
      </c>
      <c r="D26" s="7" t="s">
        <v>41</v>
      </c>
      <c r="E26" s="17">
        <f>E25+I25+I34</f>
        <v>2387.85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442.15000000000009</v>
      </c>
      <c r="D28" s="7" t="s">
        <v>43</v>
      </c>
      <c r="E28" s="44">
        <f>E21-E25-I25-I34+I24+I33</f>
        <v>-934.84999999999991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0.68666161939704551</v>
      </c>
      <c r="D29" s="46" t="s">
        <v>44</v>
      </c>
      <c r="E29" s="47">
        <f>(E28*12)/B17</f>
        <v>-1.45182769398016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141.5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141.5</v>
      </c>
    </row>
    <row r="32" spans="1:16" x14ac:dyDescent="0.25">
      <c r="A32" s="26" t="s">
        <v>49</v>
      </c>
      <c r="B32" s="8">
        <f>B16</f>
        <v>220770</v>
      </c>
      <c r="G32" s="27" t="s">
        <v>50</v>
      </c>
      <c r="H32" s="48">
        <v>0.05</v>
      </c>
      <c r="I32" s="49">
        <f>$B$21*H32</f>
        <v>141.5</v>
      </c>
    </row>
    <row r="33" spans="1:9" x14ac:dyDescent="0.25">
      <c r="A33" s="7" t="s">
        <v>51</v>
      </c>
      <c r="B33" s="17">
        <f>B32-B18</f>
        <v>7726.9500000000116</v>
      </c>
      <c r="G33" s="27" t="s">
        <v>52</v>
      </c>
      <c r="H33" s="48">
        <v>0.1</v>
      </c>
      <c r="I33" s="49">
        <f>$B$21*H33</f>
        <v>283</v>
      </c>
    </row>
    <row r="34" spans="1:9" ht="15.75" thickBot="1" x14ac:dyDescent="0.3">
      <c r="A34" s="7" t="s">
        <v>53</v>
      </c>
      <c r="B34" s="50">
        <f>B33/B17</f>
        <v>1.0000000000000013</v>
      </c>
      <c r="G34" s="36" t="s">
        <v>39</v>
      </c>
      <c r="H34" s="37"/>
      <c r="I34" s="51">
        <f>SUM(I30:I33)</f>
        <v>707.5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150.90549375000001</v>
      </c>
      <c r="D39" s="58"/>
      <c r="E39" s="61"/>
    </row>
    <row r="40" spans="1:9" x14ac:dyDescent="0.25">
      <c r="A40" s="7" t="s">
        <v>58</v>
      </c>
      <c r="B40" s="17">
        <f>B25-B39</f>
        <v>1409.4445062499999</v>
      </c>
      <c r="D40" s="58"/>
      <c r="E40" s="61"/>
    </row>
    <row r="41" spans="1:9" x14ac:dyDescent="0.25">
      <c r="A41" s="7" t="s">
        <v>59</v>
      </c>
      <c r="B41" s="43">
        <f>B21-B40-I25-I34</f>
        <v>593.0554937500001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0.92101876225418833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294" priority="28" operator="equal">
      <formula>"NO"</formula>
    </cfRule>
    <cfRule type="cellIs" dxfId="4293" priority="29" operator="equal">
      <formula>"YES"</formula>
    </cfRule>
  </conditionalFormatting>
  <conditionalFormatting sqref="E38">
    <cfRule type="cellIs" dxfId="4292" priority="26" operator="equal">
      <formula>"YES"</formula>
    </cfRule>
    <cfRule type="cellIs" dxfId="4291" priority="27" operator="equal">
      <formula>"NO"</formula>
    </cfRule>
  </conditionalFormatting>
  <conditionalFormatting sqref="B23">
    <cfRule type="cellIs" dxfId="4290" priority="24" operator="equal">
      <formula>"NO"</formula>
    </cfRule>
    <cfRule type="cellIs" dxfId="4289" priority="25" operator="equal">
      <formula>"YES"</formula>
    </cfRule>
  </conditionalFormatting>
  <conditionalFormatting sqref="B12">
    <cfRule type="containsText" dxfId="4288" priority="10" operator="containsText" text="Low">
      <formula>NOT(ISERROR(SEARCH("Low",B12)))</formula>
    </cfRule>
    <cfRule type="containsText" dxfId="4287" priority="11" operator="containsText" text="Medium">
      <formula>NOT(ISERROR(SEARCH("Medium",B12)))</formula>
    </cfRule>
    <cfRule type="containsText" dxfId="4286" priority="12" operator="containsText" text="High">
      <formula>NOT(ISERROR(SEARCH("High",B12)))</formula>
    </cfRule>
  </conditionalFormatting>
  <conditionalFormatting sqref="B29">
    <cfRule type="cellIs" dxfId="4285" priority="20" operator="between">
      <formula>10%</formula>
      <formula>11.9%</formula>
    </cfRule>
    <cfRule type="cellIs" dxfId="4284" priority="22" operator="lessThan">
      <formula>0.1</formula>
    </cfRule>
    <cfRule type="cellIs" dxfId="4283" priority="23" operator="greaterThanOrEqual">
      <formula>0.12</formula>
    </cfRule>
  </conditionalFormatting>
  <conditionalFormatting sqref="B42">
    <cfRule type="cellIs" dxfId="4282" priority="18" operator="between">
      <formula>0.1</formula>
      <formula>0.1199</formula>
    </cfRule>
    <cfRule type="cellIs" dxfId="4281" priority="19" operator="lessThan">
      <formula>0.1</formula>
    </cfRule>
    <cfRule type="cellIs" dxfId="4280" priority="21" operator="greaterThanOrEqual">
      <formula>0.12</formula>
    </cfRule>
  </conditionalFormatting>
  <conditionalFormatting sqref="B10">
    <cfRule type="containsText" dxfId="4279" priority="13" operator="containsText" text="Full">
      <formula>NOT(ISERROR(SEARCH("Full",B10)))</formula>
    </cfRule>
    <cfRule type="containsText" dxfId="4278" priority="14" operator="containsText" text="Heavy">
      <formula>NOT(ISERROR(SEARCH("Heavy",B10)))</formula>
    </cfRule>
    <cfRule type="containsText" dxfId="4277" priority="15" operator="containsText" text="Medium">
      <formula>NOT(ISERROR(SEARCH("Medium",B10)))</formula>
    </cfRule>
    <cfRule type="containsText" dxfId="4276" priority="16" operator="containsText" text="Light">
      <formula>NOT(ISERROR(SEARCH("Light",B10)))</formula>
    </cfRule>
    <cfRule type="containsText" dxfId="4275" priority="17" operator="containsText" text="None">
      <formula>NOT(ISERROR(SEARCH("None",B10)))</formula>
    </cfRule>
  </conditionalFormatting>
  <conditionalFormatting sqref="B28">
    <cfRule type="cellIs" dxfId="4274" priority="30" operator="lessThan">
      <formula>$B$8*100</formula>
    </cfRule>
    <cfRule type="cellIs" dxfId="4273" priority="31" operator="greaterThanOrEqual">
      <formula>$B$8*100</formula>
    </cfRule>
  </conditionalFormatting>
  <conditionalFormatting sqref="B41">
    <cfRule type="cellIs" dxfId="4272" priority="32" operator="lessThan">
      <formula>$B$8*100</formula>
    </cfRule>
    <cfRule type="cellIs" dxfId="4271" priority="33" operator="greaterThan">
      <formula>$B$8*100</formula>
    </cfRule>
    <cfRule type="cellIs" dxfId="4270" priority="34" operator="greaterThan">
      <formula>$B$8*100</formula>
    </cfRule>
  </conditionalFormatting>
  <conditionalFormatting sqref="B38">
    <cfRule type="cellIs" dxfId="4269" priority="8" operator="equal">
      <formula>"YES"</formula>
    </cfRule>
    <cfRule type="cellIs" dxfId="4268" priority="9" operator="equal">
      <formula>"NO"</formula>
    </cfRule>
  </conditionalFormatting>
  <conditionalFormatting sqref="E23:E26">
    <cfRule type="cellIs" dxfId="4267" priority="4" operator="equal">
      <formula>"NO"</formula>
    </cfRule>
    <cfRule type="cellIs" dxfId="4266" priority="5" operator="equal">
      <formula>"YES"</formula>
    </cfRule>
  </conditionalFormatting>
  <conditionalFormatting sqref="E29">
    <cfRule type="cellIs" dxfId="4265" priority="1" operator="between">
      <formula>10%</formula>
      <formula>12%</formula>
    </cfRule>
    <cfRule type="cellIs" dxfId="4264" priority="2" operator="lessThan">
      <formula>0.1</formula>
    </cfRule>
    <cfRule type="cellIs" dxfId="4263" priority="3" operator="greaterThan">
      <formula>0.12</formula>
    </cfRule>
  </conditionalFormatting>
  <conditionalFormatting sqref="E28">
    <cfRule type="cellIs" dxfId="4262" priority="6" operator="lessThan">
      <formula>$B$8*100</formula>
    </cfRule>
    <cfRule type="cellIs" dxfId="4261" priority="7" operator="greaterThan">
      <formula>$B$8*100</formula>
    </cfRule>
  </conditionalFormatting>
  <hyperlinks>
    <hyperlink ref="A32" r:id="rId1" display="https://www.zillow.com/homes/recently_sold/" xr:uid="{218AC17C-370C-4CC8-B5CD-7FC4964E6252}"/>
    <hyperlink ref="A21" r:id="rId2" xr:uid="{5716F640-9064-4DD5-AE3C-A2C438DCF392}"/>
    <hyperlink ref="A25" r:id="rId3" display="www.mortgagecalculator.org" xr:uid="{16421CBE-BACA-4C42-8ACD-EA9C7A87EC98}"/>
    <hyperlink ref="A12" r:id="rId4" xr:uid="{D73F39DD-67CF-4F42-8FD0-ADFE8D9EF12B}"/>
  </hyperlinks>
  <pageMargins left="0.7" right="0.7" top="0.75" bottom="0.75" header="0.3" footer="0.3"/>
  <legacyDrawing r:id="rId5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DDD49-AE0D-4BAF-8E9E-5289D3F8B83C}">
  <sheetPr codeName="Sheet116">
    <tabColor rgb="FFFF0000"/>
  </sheetPr>
  <dimension ref="A1:P42"/>
  <sheetViews>
    <sheetView topLeftCell="A11" workbookViewId="0">
      <selection activeCell="C28" sqref="C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68500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58225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21600</v>
      </c>
      <c r="D15" s="2"/>
      <c r="E15" s="3"/>
    </row>
    <row r="16" spans="1:10" x14ac:dyDescent="0.25">
      <c r="A16" s="7" t="s">
        <v>20</v>
      </c>
      <c r="B16" s="17">
        <f>B15+B13</f>
        <v>79825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2793.8750000000005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77031.125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600*2</f>
        <v>1200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798.25</v>
      </c>
      <c r="D22" s="7" t="s">
        <v>77</v>
      </c>
      <c r="E22" s="17">
        <f>B16*0.01</f>
        <v>798.25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754.29</v>
      </c>
      <c r="D25" s="7" t="s">
        <v>38</v>
      </c>
      <c r="E25" s="35">
        <f>B25</f>
        <v>754.29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1174.29</v>
      </c>
      <c r="D26" s="7" t="s">
        <v>41</v>
      </c>
      <c r="E26" s="17">
        <f>E25+I25+I34</f>
        <v>1174.29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25.710000000000036</v>
      </c>
      <c r="D28" s="7" t="s">
        <v>43</v>
      </c>
      <c r="E28" s="44">
        <f>E21-E25-I25-I34+I24+I33</f>
        <v>115.71000000000004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0.11042727394747452</v>
      </c>
      <c r="D29" s="46" t="s">
        <v>44</v>
      </c>
      <c r="E29" s="47">
        <f>(E28*12)/B17</f>
        <v>0.49698715941121208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</v>
      </c>
    </row>
    <row r="32" spans="1:16" x14ac:dyDescent="0.25">
      <c r="A32" s="26" t="s">
        <v>49</v>
      </c>
      <c r="B32" s="8">
        <f>B16</f>
        <v>79825</v>
      </c>
      <c r="G32" s="27" t="s">
        <v>50</v>
      </c>
      <c r="H32" s="48">
        <v>0.05</v>
      </c>
      <c r="I32" s="49">
        <f>$B$21*H32</f>
        <v>60</v>
      </c>
    </row>
    <row r="33" spans="1:9" x14ac:dyDescent="0.25">
      <c r="A33" s="7" t="s">
        <v>51</v>
      </c>
      <c r="B33" s="17">
        <f>B32-B18</f>
        <v>2793.875</v>
      </c>
      <c r="G33" s="27" t="s">
        <v>52</v>
      </c>
      <c r="H33" s="48">
        <v>0.1</v>
      </c>
      <c r="I33" s="49">
        <f>$B$21*H33</f>
        <v>120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300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54.563713541666665</v>
      </c>
      <c r="D39" s="58"/>
      <c r="E39" s="61"/>
    </row>
    <row r="40" spans="1:9" x14ac:dyDescent="0.25">
      <c r="A40" s="7" t="s">
        <v>58</v>
      </c>
      <c r="B40" s="17">
        <f>B25-B39</f>
        <v>699.72628645833333</v>
      </c>
      <c r="D40" s="58"/>
      <c r="E40" s="61"/>
    </row>
    <row r="41" spans="1:9" x14ac:dyDescent="0.25">
      <c r="A41" s="7" t="s">
        <v>59</v>
      </c>
      <c r="B41" s="43">
        <f>B21-B40-I25-I34</f>
        <v>80.273713541666666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0.34478441680461719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260" priority="28" operator="equal">
      <formula>"NO"</formula>
    </cfRule>
    <cfRule type="cellIs" dxfId="4259" priority="29" operator="equal">
      <formula>"YES"</formula>
    </cfRule>
  </conditionalFormatting>
  <conditionalFormatting sqref="E38">
    <cfRule type="cellIs" dxfId="4258" priority="26" operator="equal">
      <formula>"YES"</formula>
    </cfRule>
    <cfRule type="cellIs" dxfId="4257" priority="27" operator="equal">
      <formula>"NO"</formula>
    </cfRule>
  </conditionalFormatting>
  <conditionalFormatting sqref="B23">
    <cfRule type="cellIs" dxfId="4256" priority="24" operator="equal">
      <formula>"NO"</formula>
    </cfRule>
    <cfRule type="cellIs" dxfId="4255" priority="25" operator="equal">
      <formula>"YES"</formula>
    </cfRule>
  </conditionalFormatting>
  <conditionalFormatting sqref="B12">
    <cfRule type="containsText" dxfId="4254" priority="10" operator="containsText" text="Low">
      <formula>NOT(ISERROR(SEARCH("Low",B12)))</formula>
    </cfRule>
    <cfRule type="containsText" dxfId="4253" priority="11" operator="containsText" text="Medium">
      <formula>NOT(ISERROR(SEARCH("Medium",B12)))</formula>
    </cfRule>
    <cfRule type="containsText" dxfId="4252" priority="12" operator="containsText" text="High">
      <formula>NOT(ISERROR(SEARCH("High",B12)))</formula>
    </cfRule>
  </conditionalFormatting>
  <conditionalFormatting sqref="B29">
    <cfRule type="cellIs" dxfId="4251" priority="20" operator="between">
      <formula>10%</formula>
      <formula>11.9%</formula>
    </cfRule>
    <cfRule type="cellIs" dxfId="4250" priority="22" operator="lessThan">
      <formula>0.1</formula>
    </cfRule>
    <cfRule type="cellIs" dxfId="4249" priority="23" operator="greaterThanOrEqual">
      <formula>0.12</formula>
    </cfRule>
  </conditionalFormatting>
  <conditionalFormatting sqref="B42">
    <cfRule type="cellIs" dxfId="4248" priority="18" operator="between">
      <formula>0.1</formula>
      <formula>0.1199</formula>
    </cfRule>
    <cfRule type="cellIs" dxfId="4247" priority="19" operator="lessThan">
      <formula>0.1</formula>
    </cfRule>
    <cfRule type="cellIs" dxfId="4246" priority="21" operator="greaterThanOrEqual">
      <formula>0.12</formula>
    </cfRule>
  </conditionalFormatting>
  <conditionalFormatting sqref="B10">
    <cfRule type="containsText" dxfId="4245" priority="13" operator="containsText" text="Full">
      <formula>NOT(ISERROR(SEARCH("Full",B10)))</formula>
    </cfRule>
    <cfRule type="containsText" dxfId="4244" priority="14" operator="containsText" text="Heavy">
      <formula>NOT(ISERROR(SEARCH("Heavy",B10)))</formula>
    </cfRule>
    <cfRule type="containsText" dxfId="4243" priority="15" operator="containsText" text="Medium">
      <formula>NOT(ISERROR(SEARCH("Medium",B10)))</formula>
    </cfRule>
    <cfRule type="containsText" dxfId="4242" priority="16" operator="containsText" text="Light">
      <formula>NOT(ISERROR(SEARCH("Light",B10)))</formula>
    </cfRule>
    <cfRule type="containsText" dxfId="4241" priority="17" operator="containsText" text="None">
      <formula>NOT(ISERROR(SEARCH("None",B10)))</formula>
    </cfRule>
  </conditionalFormatting>
  <conditionalFormatting sqref="B28">
    <cfRule type="cellIs" dxfId="4240" priority="30" operator="lessThan">
      <formula>$B$8*100</formula>
    </cfRule>
    <cfRule type="cellIs" dxfId="4239" priority="31" operator="greaterThanOrEqual">
      <formula>$B$8*100</formula>
    </cfRule>
  </conditionalFormatting>
  <conditionalFormatting sqref="B41">
    <cfRule type="cellIs" dxfId="4238" priority="32" operator="lessThan">
      <formula>$B$8*100</formula>
    </cfRule>
    <cfRule type="cellIs" dxfId="4237" priority="33" operator="greaterThan">
      <formula>$B$8*100</formula>
    </cfRule>
    <cfRule type="cellIs" dxfId="4236" priority="34" operator="greaterThan">
      <formula>$B$8*100</formula>
    </cfRule>
  </conditionalFormatting>
  <conditionalFormatting sqref="B38">
    <cfRule type="cellIs" dxfId="4235" priority="8" operator="equal">
      <formula>"YES"</formula>
    </cfRule>
    <cfRule type="cellIs" dxfId="4234" priority="9" operator="equal">
      <formula>"NO"</formula>
    </cfRule>
  </conditionalFormatting>
  <conditionalFormatting sqref="E23:E26">
    <cfRule type="cellIs" dxfId="4233" priority="4" operator="equal">
      <formula>"NO"</formula>
    </cfRule>
    <cfRule type="cellIs" dxfId="4232" priority="5" operator="equal">
      <formula>"YES"</formula>
    </cfRule>
  </conditionalFormatting>
  <conditionalFormatting sqref="E29">
    <cfRule type="cellIs" dxfId="4231" priority="1" operator="between">
      <formula>10%</formula>
      <formula>12%</formula>
    </cfRule>
    <cfRule type="cellIs" dxfId="4230" priority="2" operator="lessThan">
      <formula>0.1</formula>
    </cfRule>
    <cfRule type="cellIs" dxfId="4229" priority="3" operator="greaterThan">
      <formula>0.12</formula>
    </cfRule>
  </conditionalFormatting>
  <conditionalFormatting sqref="E28">
    <cfRule type="cellIs" dxfId="4228" priority="6" operator="lessThan">
      <formula>$B$8*100</formula>
    </cfRule>
    <cfRule type="cellIs" dxfId="4227" priority="7" operator="greaterThan">
      <formula>$B$8*100</formula>
    </cfRule>
  </conditionalFormatting>
  <hyperlinks>
    <hyperlink ref="A32" r:id="rId1" display="https://www.zillow.com/homes/recently_sold/" xr:uid="{D72278D2-E19B-4767-A39B-416AC87C8846}"/>
    <hyperlink ref="A21" r:id="rId2" xr:uid="{F177BCBE-98DA-47C7-885E-F26F00F1DCA2}"/>
    <hyperlink ref="A25" r:id="rId3" display="www.mortgagecalculator.org" xr:uid="{2008D541-6830-46A1-8EA1-FB7CF8E384EE}"/>
    <hyperlink ref="A12" r:id="rId4" xr:uid="{4D87B274-17B8-4FBA-8AC5-92A737230414}"/>
  </hyperlinks>
  <pageMargins left="0.7" right="0.7" top="0.75" bottom="0.75" header="0.3" footer="0.3"/>
  <legacyDrawing r:id="rId5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7B089-1AC9-4DD1-A9A0-2A187ED4FCA6}">
  <sheetPr codeName="Sheet117">
    <tabColor rgb="FF92D050"/>
  </sheetPr>
  <dimension ref="A1:P42"/>
  <sheetViews>
    <sheetView topLeftCell="A20" workbookViewId="0">
      <selection activeCell="A28" sqref="A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132000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112200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112200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5610</v>
      </c>
      <c r="D17" s="19"/>
      <c r="E17" s="20"/>
      <c r="P17" s="21"/>
    </row>
    <row r="18" spans="1:16" x14ac:dyDescent="0.25">
      <c r="A18" s="7" t="s">
        <v>23</v>
      </c>
      <c r="B18" s="17">
        <f>B16-B17</f>
        <v>106590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750*2</f>
        <v>1500</v>
      </c>
      <c r="D21" s="23" t="s">
        <v>28</v>
      </c>
      <c r="E21" s="8">
        <f>750*2*5/6</f>
        <v>1250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1122</v>
      </c>
      <c r="D22" s="7" t="s">
        <v>77</v>
      </c>
      <c r="E22" s="17">
        <f>B16*0.01</f>
        <v>1122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895.26</v>
      </c>
      <c r="D25" s="7" t="s">
        <v>38</v>
      </c>
      <c r="E25" s="35">
        <f>B25</f>
        <v>895.26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1390.26</v>
      </c>
      <c r="D26" s="7" t="s">
        <v>41</v>
      </c>
      <c r="E26" s="17">
        <f>E25+I25+I34</f>
        <v>1390.26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109.74000000000001</v>
      </c>
      <c r="D28" s="7" t="s">
        <v>43</v>
      </c>
      <c r="E28" s="44">
        <f>E21-E25-I25-I34+I24+I33</f>
        <v>129.74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0.23473796791443852</v>
      </c>
      <c r="D29" s="46" t="s">
        <v>44</v>
      </c>
      <c r="E29" s="47">
        <f>(E28*12)/B17</f>
        <v>0.27751871657754013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75</v>
      </c>
    </row>
    <row r="32" spans="1:16" x14ac:dyDescent="0.25">
      <c r="A32" s="26" t="s">
        <v>49</v>
      </c>
      <c r="B32" s="8">
        <f>B16</f>
        <v>112200</v>
      </c>
      <c r="G32" s="27" t="s">
        <v>50</v>
      </c>
      <c r="H32" s="48">
        <v>0.05</v>
      </c>
      <c r="I32" s="49">
        <f>$B$21*H32</f>
        <v>75</v>
      </c>
    </row>
    <row r="33" spans="1:9" x14ac:dyDescent="0.25">
      <c r="A33" s="7" t="s">
        <v>51</v>
      </c>
      <c r="B33" s="17">
        <f>B32-B18</f>
        <v>5610</v>
      </c>
      <c r="G33" s="27" t="s">
        <v>52</v>
      </c>
      <c r="H33" s="48">
        <v>0.1</v>
      </c>
      <c r="I33" s="49">
        <f>$B$21*H33</f>
        <v>150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75.501250000000013</v>
      </c>
      <c r="D39" s="58"/>
      <c r="E39" s="61"/>
    </row>
    <row r="40" spans="1:9" x14ac:dyDescent="0.25">
      <c r="A40" s="7" t="s">
        <v>58</v>
      </c>
      <c r="B40" s="17">
        <f>B25-B39</f>
        <v>819.75874999999996</v>
      </c>
      <c r="D40" s="58"/>
      <c r="E40" s="61"/>
    </row>
    <row r="41" spans="1:9" x14ac:dyDescent="0.25">
      <c r="A41" s="7" t="s">
        <v>59</v>
      </c>
      <c r="B41" s="43">
        <f>B21-B40-I25-I34</f>
        <v>185.24125000000004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0.3962379679144386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226" priority="28" operator="equal">
      <formula>"NO"</formula>
    </cfRule>
    <cfRule type="cellIs" dxfId="4225" priority="29" operator="equal">
      <formula>"YES"</formula>
    </cfRule>
  </conditionalFormatting>
  <conditionalFormatting sqref="E38">
    <cfRule type="cellIs" dxfId="4224" priority="26" operator="equal">
      <formula>"YES"</formula>
    </cfRule>
    <cfRule type="cellIs" dxfId="4223" priority="27" operator="equal">
      <formula>"NO"</formula>
    </cfRule>
  </conditionalFormatting>
  <conditionalFormatting sqref="B23">
    <cfRule type="cellIs" dxfId="4222" priority="24" operator="equal">
      <formula>"NO"</formula>
    </cfRule>
    <cfRule type="cellIs" dxfId="4221" priority="25" operator="equal">
      <formula>"YES"</formula>
    </cfRule>
  </conditionalFormatting>
  <conditionalFormatting sqref="B12">
    <cfRule type="containsText" dxfId="4220" priority="10" operator="containsText" text="Low">
      <formula>NOT(ISERROR(SEARCH("Low",B12)))</formula>
    </cfRule>
    <cfRule type="containsText" dxfId="4219" priority="11" operator="containsText" text="Medium">
      <formula>NOT(ISERROR(SEARCH("Medium",B12)))</formula>
    </cfRule>
    <cfRule type="containsText" dxfId="4218" priority="12" operator="containsText" text="High">
      <formula>NOT(ISERROR(SEARCH("High",B12)))</formula>
    </cfRule>
  </conditionalFormatting>
  <conditionalFormatting sqref="B29">
    <cfRule type="cellIs" dxfId="4217" priority="20" operator="between">
      <formula>10%</formula>
      <formula>11.9%</formula>
    </cfRule>
    <cfRule type="cellIs" dxfId="4216" priority="22" operator="lessThan">
      <formula>0.1</formula>
    </cfRule>
    <cfRule type="cellIs" dxfId="4215" priority="23" operator="greaterThanOrEqual">
      <formula>0.12</formula>
    </cfRule>
  </conditionalFormatting>
  <conditionalFormatting sqref="B42">
    <cfRule type="cellIs" dxfId="4214" priority="18" operator="between">
      <formula>0.1</formula>
      <formula>0.1199</formula>
    </cfRule>
    <cfRule type="cellIs" dxfId="4213" priority="19" operator="lessThan">
      <formula>0.1</formula>
    </cfRule>
    <cfRule type="cellIs" dxfId="4212" priority="21" operator="greaterThanOrEqual">
      <formula>0.12</formula>
    </cfRule>
  </conditionalFormatting>
  <conditionalFormatting sqref="B10">
    <cfRule type="containsText" dxfId="4211" priority="13" operator="containsText" text="Full">
      <formula>NOT(ISERROR(SEARCH("Full",B10)))</formula>
    </cfRule>
    <cfRule type="containsText" dxfId="4210" priority="14" operator="containsText" text="Heavy">
      <formula>NOT(ISERROR(SEARCH("Heavy",B10)))</formula>
    </cfRule>
    <cfRule type="containsText" dxfId="4209" priority="15" operator="containsText" text="Medium">
      <formula>NOT(ISERROR(SEARCH("Medium",B10)))</formula>
    </cfRule>
    <cfRule type="containsText" dxfId="4208" priority="16" operator="containsText" text="Light">
      <formula>NOT(ISERROR(SEARCH("Light",B10)))</formula>
    </cfRule>
    <cfRule type="containsText" dxfId="4207" priority="17" operator="containsText" text="None">
      <formula>NOT(ISERROR(SEARCH("None",B10)))</formula>
    </cfRule>
  </conditionalFormatting>
  <conditionalFormatting sqref="B28">
    <cfRule type="cellIs" dxfId="4206" priority="30" operator="lessThan">
      <formula>$B$8*100</formula>
    </cfRule>
    <cfRule type="cellIs" dxfId="4205" priority="31" operator="greaterThanOrEqual">
      <formula>$B$8*100</formula>
    </cfRule>
  </conditionalFormatting>
  <conditionalFormatting sqref="B41">
    <cfRule type="cellIs" dxfId="4204" priority="32" operator="lessThan">
      <formula>$B$8*100</formula>
    </cfRule>
    <cfRule type="cellIs" dxfId="4203" priority="33" operator="greaterThan">
      <formula>$B$8*100</formula>
    </cfRule>
    <cfRule type="cellIs" dxfId="4202" priority="34" operator="greaterThan">
      <formula>$B$8*100</formula>
    </cfRule>
  </conditionalFormatting>
  <conditionalFormatting sqref="B38">
    <cfRule type="cellIs" dxfId="4201" priority="8" operator="equal">
      <formula>"YES"</formula>
    </cfRule>
    <cfRule type="cellIs" dxfId="4200" priority="9" operator="equal">
      <formula>"NO"</formula>
    </cfRule>
  </conditionalFormatting>
  <conditionalFormatting sqref="E23:E26">
    <cfRule type="cellIs" dxfId="4199" priority="4" operator="equal">
      <formula>"NO"</formula>
    </cfRule>
    <cfRule type="cellIs" dxfId="4198" priority="5" operator="equal">
      <formula>"YES"</formula>
    </cfRule>
  </conditionalFormatting>
  <conditionalFormatting sqref="E29">
    <cfRule type="cellIs" dxfId="4197" priority="1" operator="between">
      <formula>10%</formula>
      <formula>12%</formula>
    </cfRule>
    <cfRule type="cellIs" dxfId="4196" priority="2" operator="lessThan">
      <formula>0.1</formula>
    </cfRule>
    <cfRule type="cellIs" dxfId="4195" priority="3" operator="greaterThan">
      <formula>0.12</formula>
    </cfRule>
  </conditionalFormatting>
  <conditionalFormatting sqref="E28">
    <cfRule type="cellIs" dxfId="4194" priority="6" operator="lessThan">
      <formula>$B$8*100</formula>
    </cfRule>
    <cfRule type="cellIs" dxfId="4193" priority="7" operator="greaterThan">
      <formula>$B$8*100</formula>
    </cfRule>
  </conditionalFormatting>
  <hyperlinks>
    <hyperlink ref="A32" r:id="rId1" display="https://www.zillow.com/homes/recently_sold/" xr:uid="{7306B8ED-CA0C-4671-A68D-347D26413508}"/>
    <hyperlink ref="A21" r:id="rId2" xr:uid="{48DE237F-EB38-417E-9495-BDA2E4C29E73}"/>
    <hyperlink ref="A25" r:id="rId3" display="www.mortgagecalculator.org" xr:uid="{20ECA4AE-21EE-4D99-B1EA-590D2523FEE7}"/>
    <hyperlink ref="A12" r:id="rId4" xr:uid="{D080BDD5-8E24-4545-9D1D-9FC60D163B09}"/>
  </hyperlinks>
  <pageMargins left="0.7" right="0.7" top="0.75" bottom="0.75" header="0.3" footer="0.3"/>
  <legacyDrawing r:id="rId5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907B-26F2-40F6-98CA-E581D8F49F3C}">
  <sheetPr codeName="Sheet118">
    <tabColor rgb="FFFF0000"/>
  </sheetPr>
  <dimension ref="A1:P42"/>
  <sheetViews>
    <sheetView topLeftCell="A12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209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119000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27120</v>
      </c>
      <c r="D15" s="2"/>
      <c r="E15" s="3"/>
    </row>
    <row r="16" spans="1:10" x14ac:dyDescent="0.25">
      <c r="A16" s="7" t="s">
        <v>20</v>
      </c>
      <c r="B16" s="17">
        <f>B15+B13</f>
        <v>146120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5114.2000000000007</v>
      </c>
      <c r="D17" s="19"/>
      <c r="E17" s="20"/>
      <c r="P17" s="21"/>
    </row>
    <row r="18" spans="1:16" x14ac:dyDescent="0.25">
      <c r="A18" s="7" t="s">
        <v>23</v>
      </c>
      <c r="B18" s="17">
        <f>B16-B17</f>
        <v>141005.79999999999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784*2</f>
        <v>1568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1461.2</v>
      </c>
      <c r="D22" s="7" t="s">
        <v>77</v>
      </c>
      <c r="E22" s="17">
        <f>B16*0.01</f>
        <v>1461.2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1081</v>
      </c>
      <c r="D25" s="7" t="s">
        <v>38</v>
      </c>
      <c r="E25" s="35">
        <f>B25</f>
        <v>1081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1593</v>
      </c>
      <c r="D26" s="7" t="s">
        <v>41</v>
      </c>
      <c r="E26" s="17">
        <f>E25+I25+I34</f>
        <v>1593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-25</v>
      </c>
      <c r="D28" s="7" t="s">
        <v>43</v>
      </c>
      <c r="E28" s="44">
        <f>E21-E25-I25-I34+I24+I33</f>
        <v>-266.2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-5.866020100895545E-2</v>
      </c>
      <c r="D29" s="46" t="s">
        <v>44</v>
      </c>
      <c r="E29" s="47">
        <f>(E28*12)/B17</f>
        <v>-0.62461382034335755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78.400000000000006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78.400000000000006</v>
      </c>
    </row>
    <row r="32" spans="1:16" x14ac:dyDescent="0.25">
      <c r="A32" s="26" t="s">
        <v>49</v>
      </c>
      <c r="B32" s="8">
        <f>B16</f>
        <v>146120</v>
      </c>
      <c r="G32" s="27" t="s">
        <v>50</v>
      </c>
      <c r="H32" s="48">
        <v>0.05</v>
      </c>
      <c r="I32" s="49">
        <f>$B$21*H32</f>
        <v>78.400000000000006</v>
      </c>
    </row>
    <row r="33" spans="1:9" x14ac:dyDescent="0.25">
      <c r="A33" s="7" t="s">
        <v>51</v>
      </c>
      <c r="B33" s="17">
        <f>B32-B18</f>
        <v>5114.2000000000116</v>
      </c>
      <c r="G33" s="27" t="s">
        <v>52</v>
      </c>
      <c r="H33" s="48">
        <v>0.1</v>
      </c>
      <c r="I33" s="49">
        <f>$B$21*H33</f>
        <v>156.80000000000001</v>
      </c>
    </row>
    <row r="34" spans="1:9" ht="15.75" thickBot="1" x14ac:dyDescent="0.3">
      <c r="A34" s="7" t="s">
        <v>53</v>
      </c>
      <c r="B34" s="50">
        <f>B33/B17</f>
        <v>1.0000000000000022</v>
      </c>
      <c r="G34" s="36" t="s">
        <v>39</v>
      </c>
      <c r="H34" s="37"/>
      <c r="I34" s="51">
        <f>SUM(I30:I33)</f>
        <v>392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99.879108333333321</v>
      </c>
      <c r="D39" s="58"/>
      <c r="E39" s="61"/>
    </row>
    <row r="40" spans="1:9" x14ac:dyDescent="0.25">
      <c r="A40" s="7" t="s">
        <v>58</v>
      </c>
      <c r="B40" s="17">
        <f>B25-B39</f>
        <v>981.12089166666669</v>
      </c>
      <c r="D40" s="58"/>
      <c r="E40" s="61"/>
    </row>
    <row r="41" spans="1:9" x14ac:dyDescent="0.25">
      <c r="A41" s="7" t="s">
        <v>59</v>
      </c>
      <c r="B41" s="43">
        <f>B21-B40-I25-I34</f>
        <v>74.879108333333306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0.17569694184818732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192" priority="28" operator="equal">
      <formula>"NO"</formula>
    </cfRule>
    <cfRule type="cellIs" dxfId="4191" priority="29" operator="equal">
      <formula>"YES"</formula>
    </cfRule>
  </conditionalFormatting>
  <conditionalFormatting sqref="E38">
    <cfRule type="cellIs" dxfId="4190" priority="26" operator="equal">
      <formula>"YES"</formula>
    </cfRule>
    <cfRule type="cellIs" dxfId="4189" priority="27" operator="equal">
      <formula>"NO"</formula>
    </cfRule>
  </conditionalFormatting>
  <conditionalFormatting sqref="B23">
    <cfRule type="cellIs" dxfId="4188" priority="24" operator="equal">
      <formula>"NO"</formula>
    </cfRule>
    <cfRule type="cellIs" dxfId="4187" priority="25" operator="equal">
      <formula>"YES"</formula>
    </cfRule>
  </conditionalFormatting>
  <conditionalFormatting sqref="B12">
    <cfRule type="containsText" dxfId="4186" priority="10" operator="containsText" text="Low">
      <formula>NOT(ISERROR(SEARCH("Low",B12)))</formula>
    </cfRule>
    <cfRule type="containsText" dxfId="4185" priority="11" operator="containsText" text="Medium">
      <formula>NOT(ISERROR(SEARCH("Medium",B12)))</formula>
    </cfRule>
    <cfRule type="containsText" dxfId="4184" priority="12" operator="containsText" text="High">
      <formula>NOT(ISERROR(SEARCH("High",B12)))</formula>
    </cfRule>
  </conditionalFormatting>
  <conditionalFormatting sqref="B29">
    <cfRule type="cellIs" dxfId="4183" priority="20" operator="between">
      <formula>10%</formula>
      <formula>11.9%</formula>
    </cfRule>
    <cfRule type="cellIs" dxfId="4182" priority="22" operator="lessThan">
      <formula>0.1</formula>
    </cfRule>
    <cfRule type="cellIs" dxfId="4181" priority="23" operator="greaterThanOrEqual">
      <formula>0.12</formula>
    </cfRule>
  </conditionalFormatting>
  <conditionalFormatting sqref="B42">
    <cfRule type="cellIs" dxfId="4180" priority="18" operator="between">
      <formula>0.1</formula>
      <formula>0.1199</formula>
    </cfRule>
    <cfRule type="cellIs" dxfId="4179" priority="19" operator="lessThan">
      <formula>0.1</formula>
    </cfRule>
    <cfRule type="cellIs" dxfId="4178" priority="21" operator="greaterThanOrEqual">
      <formula>0.12</formula>
    </cfRule>
  </conditionalFormatting>
  <conditionalFormatting sqref="B10">
    <cfRule type="containsText" dxfId="4177" priority="13" operator="containsText" text="Full">
      <formula>NOT(ISERROR(SEARCH("Full",B10)))</formula>
    </cfRule>
    <cfRule type="containsText" dxfId="4176" priority="14" operator="containsText" text="Heavy">
      <formula>NOT(ISERROR(SEARCH("Heavy",B10)))</formula>
    </cfRule>
    <cfRule type="containsText" dxfId="4175" priority="15" operator="containsText" text="Medium">
      <formula>NOT(ISERROR(SEARCH("Medium",B10)))</formula>
    </cfRule>
    <cfRule type="containsText" dxfId="4174" priority="16" operator="containsText" text="Light">
      <formula>NOT(ISERROR(SEARCH("Light",B10)))</formula>
    </cfRule>
    <cfRule type="containsText" dxfId="4173" priority="17" operator="containsText" text="None">
      <formula>NOT(ISERROR(SEARCH("None",B10)))</formula>
    </cfRule>
  </conditionalFormatting>
  <conditionalFormatting sqref="B28">
    <cfRule type="cellIs" dxfId="4172" priority="30" operator="lessThan">
      <formula>$B$8*100</formula>
    </cfRule>
    <cfRule type="cellIs" dxfId="4171" priority="31" operator="greaterThanOrEqual">
      <formula>$B$8*100</formula>
    </cfRule>
  </conditionalFormatting>
  <conditionalFormatting sqref="B41">
    <cfRule type="cellIs" dxfId="4170" priority="32" operator="lessThan">
      <formula>$B$8*100</formula>
    </cfRule>
    <cfRule type="cellIs" dxfId="4169" priority="33" operator="greaterThan">
      <formula>$B$8*100</formula>
    </cfRule>
    <cfRule type="cellIs" dxfId="4168" priority="34" operator="greaterThan">
      <formula>$B$8*100</formula>
    </cfRule>
  </conditionalFormatting>
  <conditionalFormatting sqref="B38">
    <cfRule type="cellIs" dxfId="4167" priority="8" operator="equal">
      <formula>"YES"</formula>
    </cfRule>
    <cfRule type="cellIs" dxfId="4166" priority="9" operator="equal">
      <formula>"NO"</formula>
    </cfRule>
  </conditionalFormatting>
  <conditionalFormatting sqref="E23:E26">
    <cfRule type="cellIs" dxfId="4165" priority="4" operator="equal">
      <formula>"NO"</formula>
    </cfRule>
    <cfRule type="cellIs" dxfId="4164" priority="5" operator="equal">
      <formula>"YES"</formula>
    </cfRule>
  </conditionalFormatting>
  <conditionalFormatting sqref="E29">
    <cfRule type="cellIs" dxfId="4163" priority="1" operator="between">
      <formula>10%</formula>
      <formula>12%</formula>
    </cfRule>
    <cfRule type="cellIs" dxfId="4162" priority="2" operator="lessThan">
      <formula>0.1</formula>
    </cfRule>
    <cfRule type="cellIs" dxfId="4161" priority="3" operator="greaterThan">
      <formula>0.12</formula>
    </cfRule>
  </conditionalFormatting>
  <conditionalFormatting sqref="E28">
    <cfRule type="cellIs" dxfId="4160" priority="6" operator="lessThan">
      <formula>$B$8*100</formula>
    </cfRule>
    <cfRule type="cellIs" dxfId="4159" priority="7" operator="greaterThan">
      <formula>$B$8*100</formula>
    </cfRule>
  </conditionalFormatting>
  <hyperlinks>
    <hyperlink ref="A32" r:id="rId1" display="https://www.zillow.com/homes/recently_sold/" xr:uid="{157E5642-CDEE-4A6C-893F-6027BF31F564}"/>
    <hyperlink ref="A21" r:id="rId2" xr:uid="{65657E99-D34E-462B-9CD1-D9AFFE87CAFB}"/>
    <hyperlink ref="A25" r:id="rId3" display="www.mortgagecalculator.org" xr:uid="{50D1D91E-FEB1-4427-BCF9-D665E231D2F3}"/>
    <hyperlink ref="A12" r:id="rId4" xr:uid="{BFE4A7AB-9DFC-4B90-A0C3-F35A30702DA5}"/>
  </hyperlinks>
  <pageMargins left="0.7" right="0.7" top="0.75" bottom="0.75" header="0.3" footer="0.3"/>
  <legacyDrawing r:id="rId5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D7DA2-B146-4848-8AAB-12027F3F2A9E}">
  <sheetPr codeName="Sheet119">
    <tabColor rgb="FF00B050"/>
  </sheetPr>
  <dimension ref="A1:P42"/>
  <sheetViews>
    <sheetView topLeftCell="A17" workbookViewId="0">
      <selection activeCell="A26" sqref="A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72165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48150</v>
      </c>
      <c r="D15" s="2"/>
      <c r="E15" s="3"/>
    </row>
    <row r="16" spans="1:10" x14ac:dyDescent="0.25">
      <c r="A16" s="7" t="s">
        <v>20</v>
      </c>
      <c r="B16" s="17">
        <f>B15+B13</f>
        <v>120315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4211.0250000000005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116103.97500000001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781+781</f>
        <v>1562</v>
      </c>
      <c r="D21" s="23" t="s">
        <v>28</v>
      </c>
      <c r="E21" s="8">
        <f>781*2*3/4</f>
        <v>1171.5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1203.1500000000001</v>
      </c>
      <c r="D22" s="7" t="s">
        <v>77</v>
      </c>
      <c r="E22" s="17">
        <f>B16*0.01</f>
        <v>1203.1500000000001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f>878.21</f>
        <v>878.21</v>
      </c>
      <c r="D25" s="7" t="s">
        <v>38</v>
      </c>
      <c r="E25" s="35">
        <f>B25</f>
        <v>878.21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1388.71</v>
      </c>
      <c r="D26" s="7" t="s">
        <v>41</v>
      </c>
      <c r="E26" s="17">
        <f>E25+I25+I34</f>
        <v>1388.71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173.28999999999996</v>
      </c>
      <c r="D28" s="7" t="s">
        <v>43</v>
      </c>
      <c r="E28" s="44">
        <f>E21-E25-I25-I34+I24+I33</f>
        <v>58.989999999999981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0.49381801342903431</v>
      </c>
      <c r="D29" s="46" t="s">
        <v>44</v>
      </c>
      <c r="E29" s="47">
        <f>(E28*12)/B17</f>
        <v>0.1681015904678789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78.100000000000009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78.100000000000009</v>
      </c>
    </row>
    <row r="32" spans="1:16" x14ac:dyDescent="0.25">
      <c r="A32" s="26" t="s">
        <v>49</v>
      </c>
      <c r="B32" s="8">
        <f>B16</f>
        <v>120315</v>
      </c>
      <c r="G32" s="27" t="s">
        <v>50</v>
      </c>
      <c r="H32" s="48">
        <v>0.05</v>
      </c>
      <c r="I32" s="49">
        <f>$B$21*H32</f>
        <v>78.100000000000009</v>
      </c>
    </row>
    <row r="33" spans="1:9" x14ac:dyDescent="0.25">
      <c r="A33" s="7" t="s">
        <v>51</v>
      </c>
      <c r="B33" s="17">
        <f>B32-B18</f>
        <v>4211.0249999999942</v>
      </c>
      <c r="G33" s="27" t="s">
        <v>52</v>
      </c>
      <c r="H33" s="48">
        <v>0.1</v>
      </c>
      <c r="I33" s="49">
        <f>$B$21*H33</f>
        <v>156.20000000000002</v>
      </c>
    </row>
    <row r="34" spans="1:9" ht="15.75" thickBot="1" x14ac:dyDescent="0.3">
      <c r="A34" s="7" t="s">
        <v>53</v>
      </c>
      <c r="B34" s="50">
        <f>B33/B17</f>
        <v>0.99999999999999845</v>
      </c>
      <c r="G34" s="36" t="s">
        <v>39</v>
      </c>
      <c r="H34" s="37"/>
      <c r="I34" s="51">
        <f>SUM(I30:I33)</f>
        <v>390.5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82.240315625000008</v>
      </c>
      <c r="D39" s="58"/>
      <c r="E39" s="61"/>
    </row>
    <row r="40" spans="1:9" x14ac:dyDescent="0.25">
      <c r="A40" s="7" t="s">
        <v>58</v>
      </c>
      <c r="B40" s="17">
        <f>B25-B39</f>
        <v>795.96968437500004</v>
      </c>
      <c r="D40" s="58"/>
      <c r="E40" s="61"/>
    </row>
    <row r="41" spans="1:9" x14ac:dyDescent="0.25">
      <c r="A41" s="7" t="s">
        <v>59</v>
      </c>
      <c r="B41" s="43">
        <f>B21-B40-I25-I34</f>
        <v>255.53031562499996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0.72817515628617713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158" priority="28" operator="equal">
      <formula>"NO"</formula>
    </cfRule>
    <cfRule type="cellIs" dxfId="4157" priority="29" operator="equal">
      <formula>"YES"</formula>
    </cfRule>
  </conditionalFormatting>
  <conditionalFormatting sqref="E38">
    <cfRule type="cellIs" dxfId="4156" priority="26" operator="equal">
      <formula>"YES"</formula>
    </cfRule>
    <cfRule type="cellIs" dxfId="4155" priority="27" operator="equal">
      <formula>"NO"</formula>
    </cfRule>
  </conditionalFormatting>
  <conditionalFormatting sqref="B23">
    <cfRule type="cellIs" dxfId="4154" priority="24" operator="equal">
      <formula>"NO"</formula>
    </cfRule>
    <cfRule type="cellIs" dxfId="4153" priority="25" operator="equal">
      <formula>"YES"</formula>
    </cfRule>
  </conditionalFormatting>
  <conditionalFormatting sqref="B12">
    <cfRule type="containsText" dxfId="4152" priority="10" operator="containsText" text="Low">
      <formula>NOT(ISERROR(SEARCH("Low",B12)))</formula>
    </cfRule>
    <cfRule type="containsText" dxfId="4151" priority="11" operator="containsText" text="Medium">
      <formula>NOT(ISERROR(SEARCH("Medium",B12)))</formula>
    </cfRule>
    <cfRule type="containsText" dxfId="4150" priority="12" operator="containsText" text="High">
      <formula>NOT(ISERROR(SEARCH("High",B12)))</formula>
    </cfRule>
  </conditionalFormatting>
  <conditionalFormatting sqref="B29">
    <cfRule type="cellIs" dxfId="4149" priority="20" operator="between">
      <formula>10%</formula>
      <formula>11.9%</formula>
    </cfRule>
    <cfRule type="cellIs" dxfId="4148" priority="22" operator="lessThan">
      <formula>0.1</formula>
    </cfRule>
    <cfRule type="cellIs" dxfId="4147" priority="23" operator="greaterThanOrEqual">
      <formula>0.12</formula>
    </cfRule>
  </conditionalFormatting>
  <conditionalFormatting sqref="B42">
    <cfRule type="cellIs" dxfId="4146" priority="18" operator="between">
      <formula>0.1</formula>
      <formula>0.1199</formula>
    </cfRule>
    <cfRule type="cellIs" dxfId="4145" priority="19" operator="lessThan">
      <formula>0.1</formula>
    </cfRule>
    <cfRule type="cellIs" dxfId="4144" priority="21" operator="greaterThanOrEqual">
      <formula>0.12</formula>
    </cfRule>
  </conditionalFormatting>
  <conditionalFormatting sqref="B10">
    <cfRule type="containsText" dxfId="4143" priority="13" operator="containsText" text="Full">
      <formula>NOT(ISERROR(SEARCH("Full",B10)))</formula>
    </cfRule>
    <cfRule type="containsText" dxfId="4142" priority="14" operator="containsText" text="Heavy">
      <formula>NOT(ISERROR(SEARCH("Heavy",B10)))</formula>
    </cfRule>
    <cfRule type="containsText" dxfId="4141" priority="15" operator="containsText" text="Medium">
      <formula>NOT(ISERROR(SEARCH("Medium",B10)))</formula>
    </cfRule>
    <cfRule type="containsText" dxfId="4140" priority="16" operator="containsText" text="Light">
      <formula>NOT(ISERROR(SEARCH("Light",B10)))</formula>
    </cfRule>
    <cfRule type="containsText" dxfId="4139" priority="17" operator="containsText" text="None">
      <formula>NOT(ISERROR(SEARCH("None",B10)))</formula>
    </cfRule>
  </conditionalFormatting>
  <conditionalFormatting sqref="B28">
    <cfRule type="cellIs" dxfId="4138" priority="30" operator="lessThan">
      <formula>$B$8*100</formula>
    </cfRule>
    <cfRule type="cellIs" dxfId="4137" priority="31" operator="greaterThanOrEqual">
      <formula>$B$8*100</formula>
    </cfRule>
  </conditionalFormatting>
  <conditionalFormatting sqref="B41">
    <cfRule type="cellIs" dxfId="4136" priority="32" operator="lessThan">
      <formula>$B$8*100</formula>
    </cfRule>
    <cfRule type="cellIs" dxfId="4135" priority="33" operator="greaterThan">
      <formula>$B$8*100</formula>
    </cfRule>
    <cfRule type="cellIs" dxfId="4134" priority="34" operator="greaterThan">
      <formula>$B$8*100</formula>
    </cfRule>
  </conditionalFormatting>
  <conditionalFormatting sqref="B38">
    <cfRule type="cellIs" dxfId="4133" priority="8" operator="equal">
      <formula>"YES"</formula>
    </cfRule>
    <cfRule type="cellIs" dxfId="4132" priority="9" operator="equal">
      <formula>"NO"</formula>
    </cfRule>
  </conditionalFormatting>
  <conditionalFormatting sqref="E23:E26">
    <cfRule type="cellIs" dxfId="4131" priority="4" operator="equal">
      <formula>"NO"</formula>
    </cfRule>
    <cfRule type="cellIs" dxfId="4130" priority="5" operator="equal">
      <formula>"YES"</formula>
    </cfRule>
  </conditionalFormatting>
  <conditionalFormatting sqref="E29">
    <cfRule type="cellIs" dxfId="4129" priority="1" operator="between">
      <formula>10%</formula>
      <formula>12%</formula>
    </cfRule>
    <cfRule type="cellIs" dxfId="4128" priority="2" operator="lessThan">
      <formula>0.1</formula>
    </cfRule>
    <cfRule type="cellIs" dxfId="4127" priority="3" operator="greaterThan">
      <formula>0.12</formula>
    </cfRule>
  </conditionalFormatting>
  <conditionalFormatting sqref="E28">
    <cfRule type="cellIs" dxfId="4126" priority="6" operator="lessThan">
      <formula>$B$8*100</formula>
    </cfRule>
    <cfRule type="cellIs" dxfId="4125" priority="7" operator="greaterThan">
      <formula>$B$8*100</formula>
    </cfRule>
  </conditionalFormatting>
  <hyperlinks>
    <hyperlink ref="A32" r:id="rId1" display="https://www.zillow.com/homes/recently_sold/" xr:uid="{BB828B35-6487-4BED-861C-91546FC09F68}"/>
    <hyperlink ref="A21" r:id="rId2" xr:uid="{C9DA6422-368C-4164-BE22-445950169541}"/>
    <hyperlink ref="A25" r:id="rId3" display="www.mortgagecalculator.org" xr:uid="{94823B46-F530-4D68-BD2D-92E2F7401E65}"/>
    <hyperlink ref="A12" r:id="rId4" xr:uid="{7171A8EF-BBAC-46EA-B199-BC4948548812}"/>
  </hyperlinks>
  <pageMargins left="0.7" right="0.7" top="0.75" bottom="0.75" header="0.3" footer="0.3"/>
  <legacyDrawing r:id="rId5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E5C13-1855-437B-AD9A-0B7243D80132}">
  <sheetPr codeName="Sheet120">
    <tabColor rgb="FFFF0000"/>
  </sheetPr>
  <dimension ref="A1:P42"/>
  <sheetViews>
    <sheetView topLeftCell="A12" workbookViewId="0">
      <selection activeCell="A24" sqref="A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101915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48500</v>
      </c>
      <c r="D15" s="2"/>
      <c r="E15" s="3"/>
    </row>
    <row r="16" spans="1:10" x14ac:dyDescent="0.25">
      <c r="A16" s="7" t="s">
        <v>20</v>
      </c>
      <c r="B16" s="17">
        <f>B15+B13</f>
        <v>150415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5264.5250000000005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145150.47500000001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782*2</f>
        <v>1564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1504.15</v>
      </c>
      <c r="D22" s="7" t="s">
        <v>77</v>
      </c>
      <c r="E22" s="17">
        <f>B16*0.01</f>
        <v>1504.15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120</v>
      </c>
    </row>
    <row r="25" spans="1:16" ht="15.75" thickBot="1" x14ac:dyDescent="0.3">
      <c r="A25" s="26" t="s">
        <v>37</v>
      </c>
      <c r="B25" s="8">
        <v>1062.45</v>
      </c>
      <c r="D25" s="7" t="s">
        <v>38</v>
      </c>
      <c r="E25" s="35">
        <f>B25</f>
        <v>1062.45</v>
      </c>
      <c r="G25" s="36" t="s">
        <v>39</v>
      </c>
      <c r="H25" s="37"/>
      <c r="I25" s="38">
        <f>SUM(I21:I24)</f>
        <v>120</v>
      </c>
    </row>
    <row r="26" spans="1:16" x14ac:dyDescent="0.25">
      <c r="A26" s="7" t="s">
        <v>40</v>
      </c>
      <c r="B26" s="17">
        <f>B25+I25+I34</f>
        <v>1573.45</v>
      </c>
      <c r="D26" s="7" t="s">
        <v>41</v>
      </c>
      <c r="E26" s="17">
        <f>E25+I25+I34</f>
        <v>1573.45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-9.4500000000000455</v>
      </c>
      <c r="D28" s="7" t="s">
        <v>43</v>
      </c>
      <c r="E28" s="44">
        <f>E21-E25-I25-I34+I24+I33</f>
        <v>-247.05000000000004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-2.1540404879832564E-2</v>
      </c>
      <c r="D29" s="46" t="s">
        <v>44</v>
      </c>
      <c r="E29" s="47">
        <f>(E28*12)/B17</f>
        <v>-0.56312772757276297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78.2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78.2</v>
      </c>
    </row>
    <row r="32" spans="1:16" x14ac:dyDescent="0.25">
      <c r="A32" s="26" t="s">
        <v>49</v>
      </c>
      <c r="B32" s="8">
        <f>B16</f>
        <v>150415</v>
      </c>
      <c r="G32" s="27" t="s">
        <v>50</v>
      </c>
      <c r="H32" s="48">
        <v>0.05</v>
      </c>
      <c r="I32" s="49">
        <f>$B$21*H32</f>
        <v>78.2</v>
      </c>
    </row>
    <row r="33" spans="1:9" x14ac:dyDescent="0.25">
      <c r="A33" s="7" t="s">
        <v>51</v>
      </c>
      <c r="B33" s="17">
        <f>B32-B18</f>
        <v>5264.5249999999942</v>
      </c>
      <c r="G33" s="27" t="s">
        <v>52</v>
      </c>
      <c r="H33" s="48">
        <v>0.1</v>
      </c>
      <c r="I33" s="49">
        <f>$B$21*H33</f>
        <v>156.4</v>
      </c>
    </row>
    <row r="34" spans="1:9" ht="15.75" thickBot="1" x14ac:dyDescent="0.3">
      <c r="A34" s="7" t="s">
        <v>53</v>
      </c>
      <c r="B34" s="50">
        <f>B33/B17</f>
        <v>0.99999999999999878</v>
      </c>
      <c r="G34" s="36" t="s">
        <v>39</v>
      </c>
      <c r="H34" s="37"/>
      <c r="I34" s="51">
        <f>SUM(I30:I33)</f>
        <v>391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102.81491979166668</v>
      </c>
      <c r="D39" s="58"/>
      <c r="E39" s="61"/>
    </row>
    <row r="40" spans="1:9" x14ac:dyDescent="0.25">
      <c r="A40" s="7" t="s">
        <v>58</v>
      </c>
      <c r="B40" s="17">
        <f>B25-B39</f>
        <v>959.63508020833342</v>
      </c>
      <c r="D40" s="58"/>
      <c r="E40" s="61"/>
    </row>
    <row r="41" spans="1:9" x14ac:dyDescent="0.25">
      <c r="A41" s="7" t="s">
        <v>59</v>
      </c>
      <c r="B41" s="43">
        <f>B21-B40-I25-I34</f>
        <v>93.36491979166658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0.21281673797731018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124" priority="28" operator="equal">
      <formula>"NO"</formula>
    </cfRule>
    <cfRule type="cellIs" dxfId="4123" priority="29" operator="equal">
      <formula>"YES"</formula>
    </cfRule>
  </conditionalFormatting>
  <conditionalFormatting sqref="E38">
    <cfRule type="cellIs" dxfId="4122" priority="26" operator="equal">
      <formula>"YES"</formula>
    </cfRule>
    <cfRule type="cellIs" dxfId="4121" priority="27" operator="equal">
      <formula>"NO"</formula>
    </cfRule>
  </conditionalFormatting>
  <conditionalFormatting sqref="B23">
    <cfRule type="cellIs" dxfId="4120" priority="24" operator="equal">
      <formula>"NO"</formula>
    </cfRule>
    <cfRule type="cellIs" dxfId="4119" priority="25" operator="equal">
      <formula>"YES"</formula>
    </cfRule>
  </conditionalFormatting>
  <conditionalFormatting sqref="B12">
    <cfRule type="containsText" dxfId="4118" priority="10" operator="containsText" text="Low">
      <formula>NOT(ISERROR(SEARCH("Low",B12)))</formula>
    </cfRule>
    <cfRule type="containsText" dxfId="4117" priority="11" operator="containsText" text="Medium">
      <formula>NOT(ISERROR(SEARCH("Medium",B12)))</formula>
    </cfRule>
    <cfRule type="containsText" dxfId="4116" priority="12" operator="containsText" text="High">
      <formula>NOT(ISERROR(SEARCH("High",B12)))</formula>
    </cfRule>
  </conditionalFormatting>
  <conditionalFormatting sqref="B29">
    <cfRule type="cellIs" dxfId="4115" priority="20" operator="between">
      <formula>10%</formula>
      <formula>11.9%</formula>
    </cfRule>
    <cfRule type="cellIs" dxfId="4114" priority="22" operator="lessThan">
      <formula>0.1</formula>
    </cfRule>
    <cfRule type="cellIs" dxfId="4113" priority="23" operator="greaterThanOrEqual">
      <formula>0.12</formula>
    </cfRule>
  </conditionalFormatting>
  <conditionalFormatting sqref="B42">
    <cfRule type="cellIs" dxfId="4112" priority="18" operator="between">
      <formula>0.1</formula>
      <formula>0.1199</formula>
    </cfRule>
    <cfRule type="cellIs" dxfId="4111" priority="19" operator="lessThan">
      <formula>0.1</formula>
    </cfRule>
    <cfRule type="cellIs" dxfId="4110" priority="21" operator="greaterThanOrEqual">
      <formula>0.12</formula>
    </cfRule>
  </conditionalFormatting>
  <conditionalFormatting sqref="B10">
    <cfRule type="containsText" dxfId="4109" priority="13" operator="containsText" text="Full">
      <formula>NOT(ISERROR(SEARCH("Full",B10)))</formula>
    </cfRule>
    <cfRule type="containsText" dxfId="4108" priority="14" operator="containsText" text="Heavy">
      <formula>NOT(ISERROR(SEARCH("Heavy",B10)))</formula>
    </cfRule>
    <cfRule type="containsText" dxfId="4107" priority="15" operator="containsText" text="Medium">
      <formula>NOT(ISERROR(SEARCH("Medium",B10)))</formula>
    </cfRule>
    <cfRule type="containsText" dxfId="4106" priority="16" operator="containsText" text="Light">
      <formula>NOT(ISERROR(SEARCH("Light",B10)))</formula>
    </cfRule>
    <cfRule type="containsText" dxfId="4105" priority="17" operator="containsText" text="None">
      <formula>NOT(ISERROR(SEARCH("None",B10)))</formula>
    </cfRule>
  </conditionalFormatting>
  <conditionalFormatting sqref="B28">
    <cfRule type="cellIs" dxfId="4104" priority="30" operator="lessThan">
      <formula>$B$8*100</formula>
    </cfRule>
    <cfRule type="cellIs" dxfId="4103" priority="31" operator="greaterThanOrEqual">
      <formula>$B$8*100</formula>
    </cfRule>
  </conditionalFormatting>
  <conditionalFormatting sqref="B41">
    <cfRule type="cellIs" dxfId="4102" priority="32" operator="lessThan">
      <formula>$B$8*100</formula>
    </cfRule>
    <cfRule type="cellIs" dxfId="4101" priority="33" operator="greaterThan">
      <formula>$B$8*100</formula>
    </cfRule>
    <cfRule type="cellIs" dxfId="4100" priority="34" operator="greaterThan">
      <formula>$B$8*100</formula>
    </cfRule>
  </conditionalFormatting>
  <conditionalFormatting sqref="B38">
    <cfRule type="cellIs" dxfId="4099" priority="8" operator="equal">
      <formula>"YES"</formula>
    </cfRule>
    <cfRule type="cellIs" dxfId="4098" priority="9" operator="equal">
      <formula>"NO"</formula>
    </cfRule>
  </conditionalFormatting>
  <conditionalFormatting sqref="E23:E26">
    <cfRule type="cellIs" dxfId="4097" priority="4" operator="equal">
      <formula>"NO"</formula>
    </cfRule>
    <cfRule type="cellIs" dxfId="4096" priority="5" operator="equal">
      <formula>"YES"</formula>
    </cfRule>
  </conditionalFormatting>
  <conditionalFormatting sqref="E29">
    <cfRule type="cellIs" dxfId="4095" priority="1" operator="between">
      <formula>10%</formula>
      <formula>12%</formula>
    </cfRule>
    <cfRule type="cellIs" dxfId="4094" priority="2" operator="lessThan">
      <formula>0.1</formula>
    </cfRule>
    <cfRule type="cellIs" dxfId="4093" priority="3" operator="greaterThan">
      <formula>0.12</formula>
    </cfRule>
  </conditionalFormatting>
  <conditionalFormatting sqref="E28">
    <cfRule type="cellIs" dxfId="4092" priority="6" operator="lessThan">
      <formula>$B$8*100</formula>
    </cfRule>
    <cfRule type="cellIs" dxfId="4091" priority="7" operator="greaterThan">
      <formula>$B$8*100</formula>
    </cfRule>
  </conditionalFormatting>
  <hyperlinks>
    <hyperlink ref="A32" r:id="rId1" display="https://www.zillow.com/homes/recently_sold/" xr:uid="{87C6EECE-6CFA-40D4-88A9-8AA7FE37D619}"/>
    <hyperlink ref="A21" r:id="rId2" xr:uid="{2339C001-E319-485A-81AE-050378625214}"/>
    <hyperlink ref="A25" r:id="rId3" display="www.mortgagecalculator.org" xr:uid="{6B73E06E-AEAE-4363-848D-7C332C3FE7BA}"/>
    <hyperlink ref="A12" r:id="rId4" xr:uid="{DBD108E1-36DC-453B-8851-DF4279DFEBD5}"/>
  </hyperlinks>
  <pageMargins left="0.7" right="0.7" top="0.75" bottom="0.75" header="0.3" footer="0.3"/>
  <legacyDrawing r:id="rId5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E7139-2FCC-476B-BB3A-53C7B8F11473}">
  <sheetPr codeName="Sheet121">
    <tabColor rgb="FF00B050"/>
  </sheetPr>
  <dimension ref="A1:P42"/>
  <sheetViews>
    <sheetView topLeftCell="A11" workbookViewId="0">
      <selection activeCell="B30" sqref="B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1495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84900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22425</v>
      </c>
      <c r="D15" s="2"/>
      <c r="E15" s="3"/>
    </row>
    <row r="16" spans="1:10" x14ac:dyDescent="0.25">
      <c r="A16" s="7" t="s">
        <v>20</v>
      </c>
      <c r="B16" s="17">
        <f>B15+B13</f>
        <v>107325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3756.3750000000005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103568.625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782*2</f>
        <v>1564</v>
      </c>
      <c r="D21" s="23" t="s">
        <v>28</v>
      </c>
      <c r="E21" s="8">
        <f>782*2*3/4</f>
        <v>1173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1073.25</v>
      </c>
      <c r="D22" s="7" t="s">
        <v>77</v>
      </c>
      <c r="E22" s="17">
        <f>B16*0.01</f>
        <v>1073.25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917.81</v>
      </c>
      <c r="D25" s="7" t="s">
        <v>38</v>
      </c>
      <c r="E25" s="35">
        <f>B25</f>
        <v>917.81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1448.81</v>
      </c>
      <c r="D26" s="7" t="s">
        <v>41</v>
      </c>
      <c r="E26" s="17">
        <f>E25+I25+I34</f>
        <v>1448.81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115.19000000000005</v>
      </c>
      <c r="D28" s="7" t="s">
        <v>43</v>
      </c>
      <c r="E28" s="44">
        <f>E21-E25-I25-I34+I24+I33</f>
        <v>20.59000000000006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0.36798242986922247</v>
      </c>
      <c r="D29" s="46" t="s">
        <v>44</v>
      </c>
      <c r="E29" s="47">
        <f>(E28*12)/B17</f>
        <v>6.5776180493161807E-2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78.2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78.2</v>
      </c>
    </row>
    <row r="32" spans="1:16" x14ac:dyDescent="0.25">
      <c r="A32" s="26" t="s">
        <v>49</v>
      </c>
      <c r="B32" s="8">
        <f>B16</f>
        <v>107325</v>
      </c>
      <c r="G32" s="27" t="s">
        <v>50</v>
      </c>
      <c r="H32" s="48">
        <v>0.05</v>
      </c>
      <c r="I32" s="49">
        <f>$B$21*H32</f>
        <v>78.2</v>
      </c>
    </row>
    <row r="33" spans="1:9" x14ac:dyDescent="0.25">
      <c r="A33" s="7" t="s">
        <v>51</v>
      </c>
      <c r="B33" s="17">
        <f>B32-B18</f>
        <v>3756.375</v>
      </c>
      <c r="G33" s="27" t="s">
        <v>52</v>
      </c>
      <c r="H33" s="48">
        <v>0.1</v>
      </c>
      <c r="I33" s="49">
        <f>$B$21*H33</f>
        <v>156.4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391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73.361109374999998</v>
      </c>
      <c r="D39" s="58"/>
      <c r="E39" s="61"/>
    </row>
    <row r="40" spans="1:9" x14ac:dyDescent="0.25">
      <c r="A40" s="7" t="s">
        <v>58</v>
      </c>
      <c r="B40" s="17">
        <f>B25-B39</f>
        <v>844.44889062499999</v>
      </c>
      <c r="D40" s="58"/>
      <c r="E40" s="61"/>
    </row>
    <row r="41" spans="1:9" x14ac:dyDescent="0.25">
      <c r="A41" s="7" t="s">
        <v>59</v>
      </c>
      <c r="B41" s="43">
        <f>B21-B40-I25-I34</f>
        <v>188.55110937500001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0.60233957272636518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090" priority="28" operator="equal">
      <formula>"NO"</formula>
    </cfRule>
    <cfRule type="cellIs" dxfId="4089" priority="29" operator="equal">
      <formula>"YES"</formula>
    </cfRule>
  </conditionalFormatting>
  <conditionalFormatting sqref="E38">
    <cfRule type="cellIs" dxfId="4088" priority="26" operator="equal">
      <formula>"YES"</formula>
    </cfRule>
    <cfRule type="cellIs" dxfId="4087" priority="27" operator="equal">
      <formula>"NO"</formula>
    </cfRule>
  </conditionalFormatting>
  <conditionalFormatting sqref="B23">
    <cfRule type="cellIs" dxfId="4086" priority="24" operator="equal">
      <formula>"NO"</formula>
    </cfRule>
    <cfRule type="cellIs" dxfId="4085" priority="25" operator="equal">
      <formula>"YES"</formula>
    </cfRule>
  </conditionalFormatting>
  <conditionalFormatting sqref="B12">
    <cfRule type="containsText" dxfId="4084" priority="10" operator="containsText" text="Low">
      <formula>NOT(ISERROR(SEARCH("Low",B12)))</formula>
    </cfRule>
    <cfRule type="containsText" dxfId="4083" priority="11" operator="containsText" text="Medium">
      <formula>NOT(ISERROR(SEARCH("Medium",B12)))</formula>
    </cfRule>
    <cfRule type="containsText" dxfId="4082" priority="12" operator="containsText" text="High">
      <formula>NOT(ISERROR(SEARCH("High",B12)))</formula>
    </cfRule>
  </conditionalFormatting>
  <conditionalFormatting sqref="B29">
    <cfRule type="cellIs" dxfId="4081" priority="20" operator="between">
      <formula>10%</formula>
      <formula>11.9%</formula>
    </cfRule>
    <cfRule type="cellIs" dxfId="4080" priority="22" operator="lessThan">
      <formula>0.1</formula>
    </cfRule>
    <cfRule type="cellIs" dxfId="4079" priority="23" operator="greaterThanOrEqual">
      <formula>0.12</formula>
    </cfRule>
  </conditionalFormatting>
  <conditionalFormatting sqref="B42">
    <cfRule type="cellIs" dxfId="4078" priority="18" operator="between">
      <formula>0.1</formula>
      <formula>0.1199</formula>
    </cfRule>
    <cfRule type="cellIs" dxfId="4077" priority="19" operator="lessThan">
      <formula>0.1</formula>
    </cfRule>
    <cfRule type="cellIs" dxfId="4076" priority="21" operator="greaterThanOrEqual">
      <formula>0.12</formula>
    </cfRule>
  </conditionalFormatting>
  <conditionalFormatting sqref="B10">
    <cfRule type="containsText" dxfId="4075" priority="13" operator="containsText" text="Full">
      <formula>NOT(ISERROR(SEARCH("Full",B10)))</formula>
    </cfRule>
    <cfRule type="containsText" dxfId="4074" priority="14" operator="containsText" text="Heavy">
      <formula>NOT(ISERROR(SEARCH("Heavy",B10)))</formula>
    </cfRule>
    <cfRule type="containsText" dxfId="4073" priority="15" operator="containsText" text="Medium">
      <formula>NOT(ISERROR(SEARCH("Medium",B10)))</formula>
    </cfRule>
    <cfRule type="containsText" dxfId="4072" priority="16" operator="containsText" text="Light">
      <formula>NOT(ISERROR(SEARCH("Light",B10)))</formula>
    </cfRule>
    <cfRule type="containsText" dxfId="4071" priority="17" operator="containsText" text="None">
      <formula>NOT(ISERROR(SEARCH("None",B10)))</formula>
    </cfRule>
  </conditionalFormatting>
  <conditionalFormatting sqref="B28">
    <cfRule type="cellIs" dxfId="4070" priority="30" operator="lessThan">
      <formula>$B$8*100</formula>
    </cfRule>
    <cfRule type="cellIs" dxfId="4069" priority="31" operator="greaterThanOrEqual">
      <formula>$B$8*100</formula>
    </cfRule>
  </conditionalFormatting>
  <conditionalFormatting sqref="B41">
    <cfRule type="cellIs" dxfId="4068" priority="32" operator="lessThan">
      <formula>$B$8*100</formula>
    </cfRule>
    <cfRule type="cellIs" dxfId="4067" priority="33" operator="greaterThan">
      <formula>$B$8*100</formula>
    </cfRule>
    <cfRule type="cellIs" dxfId="4066" priority="34" operator="greaterThan">
      <formula>$B$8*100</formula>
    </cfRule>
  </conditionalFormatting>
  <conditionalFormatting sqref="B38">
    <cfRule type="cellIs" dxfId="4065" priority="8" operator="equal">
      <formula>"YES"</formula>
    </cfRule>
    <cfRule type="cellIs" dxfId="4064" priority="9" operator="equal">
      <formula>"NO"</formula>
    </cfRule>
  </conditionalFormatting>
  <conditionalFormatting sqref="E23:E26">
    <cfRule type="cellIs" dxfId="4063" priority="4" operator="equal">
      <formula>"NO"</formula>
    </cfRule>
    <cfRule type="cellIs" dxfId="4062" priority="5" operator="equal">
      <formula>"YES"</formula>
    </cfRule>
  </conditionalFormatting>
  <conditionalFormatting sqref="E29">
    <cfRule type="cellIs" dxfId="4061" priority="1" operator="between">
      <formula>10%</formula>
      <formula>12%</formula>
    </cfRule>
    <cfRule type="cellIs" dxfId="4060" priority="2" operator="lessThan">
      <formula>0.1</formula>
    </cfRule>
    <cfRule type="cellIs" dxfId="4059" priority="3" operator="greaterThan">
      <formula>0.12</formula>
    </cfRule>
  </conditionalFormatting>
  <conditionalFormatting sqref="E28">
    <cfRule type="cellIs" dxfId="4058" priority="6" operator="lessThan">
      <formula>$B$8*100</formula>
    </cfRule>
    <cfRule type="cellIs" dxfId="4057" priority="7" operator="greaterThan">
      <formula>$B$8*100</formula>
    </cfRule>
  </conditionalFormatting>
  <hyperlinks>
    <hyperlink ref="A32" r:id="rId1" display="https://www.zillow.com/homes/recently_sold/" xr:uid="{6EC084A6-6D9D-4755-AB52-2FD3008009C8}"/>
    <hyperlink ref="A21" r:id="rId2" xr:uid="{6CC69154-9509-4EC6-B04B-D7709236F266}"/>
    <hyperlink ref="A25" r:id="rId3" display="www.mortgagecalculator.org" xr:uid="{F819C625-ADE5-4DBF-AAAC-CD917064A7FD}"/>
    <hyperlink ref="A12" r:id="rId4" xr:uid="{AA2AD366-6297-472F-8705-EDED537B138D}"/>
  </hyperlinks>
  <pageMargins left="0.7" right="0.7" top="0.75" bottom="0.75" header="0.3" footer="0.3"/>
  <legacyDrawing r:id="rId5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A958-BABE-4142-B323-34032A445CF8}">
  <sheetPr codeName="Sheet122">
    <tabColor rgb="FF00B050"/>
  </sheetPr>
  <dimension ref="A1:P42"/>
  <sheetViews>
    <sheetView topLeftCell="A14" workbookViewId="0">
      <selection activeCell="A29" sqref="A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59900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1472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50915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51520</v>
      </c>
      <c r="D15" s="2"/>
      <c r="E15" s="3"/>
    </row>
    <row r="16" spans="1:10" x14ac:dyDescent="0.25">
      <c r="A16" s="7" t="s">
        <v>20</v>
      </c>
      <c r="B16" s="17">
        <f>B15+B13</f>
        <v>102435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3585.2250000000004</v>
      </c>
      <c r="D17" s="19"/>
      <c r="E17" s="20"/>
      <c r="P17" s="21"/>
    </row>
    <row r="18" spans="1:16" x14ac:dyDescent="0.25">
      <c r="A18" s="7" t="s">
        <v>23</v>
      </c>
      <c r="B18" s="17">
        <f>B16-B17</f>
        <v>98849.774999999994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750*2</f>
        <v>1500</v>
      </c>
      <c r="D21" s="23" t="s">
        <v>28</v>
      </c>
      <c r="E21" s="8">
        <f>750*2*3/4</f>
        <v>1125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1024.3499999999999</v>
      </c>
      <c r="D22" s="7" t="s">
        <v>77</v>
      </c>
      <c r="E22" s="17">
        <f>B16*0.01</f>
        <v>1024.3499999999999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808.61</v>
      </c>
      <c r="D25" s="7" t="s">
        <v>38</v>
      </c>
      <c r="E25" s="35">
        <f>B25</f>
        <v>808.61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1323.6100000000001</v>
      </c>
      <c r="D26" s="7" t="s">
        <v>41</v>
      </c>
      <c r="E26" s="17">
        <f>E25+I25+I34</f>
        <v>1323.6100000000001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176.38999999999987</v>
      </c>
      <c r="D28" s="7" t="s">
        <v>43</v>
      </c>
      <c r="E28" s="44">
        <f>E21-E25-I25-I34+I24+I33</f>
        <v>91.389999999999986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0.59038972449427807</v>
      </c>
      <c r="D29" s="46" t="s">
        <v>44</v>
      </c>
      <c r="E29" s="47">
        <f>(E28*12)/B17</f>
        <v>0.30588875175198199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75</v>
      </c>
    </row>
    <row r="32" spans="1:16" x14ac:dyDescent="0.25">
      <c r="A32" s="26" t="s">
        <v>49</v>
      </c>
      <c r="B32" s="8">
        <f>B16</f>
        <v>102435</v>
      </c>
      <c r="G32" s="27" t="s">
        <v>50</v>
      </c>
      <c r="H32" s="48">
        <v>0.05</v>
      </c>
      <c r="I32" s="49">
        <f>$B$21*H32</f>
        <v>75</v>
      </c>
    </row>
    <row r="33" spans="1:9" x14ac:dyDescent="0.25">
      <c r="A33" s="7" t="s">
        <v>51</v>
      </c>
      <c r="B33" s="17">
        <f>B32-B18</f>
        <v>3585.2250000000058</v>
      </c>
      <c r="G33" s="27" t="s">
        <v>52</v>
      </c>
      <c r="H33" s="48">
        <v>0.1</v>
      </c>
      <c r="I33" s="49">
        <f>$B$21*H33</f>
        <v>150</v>
      </c>
    </row>
    <row r="34" spans="1:9" ht="15.75" thickBot="1" x14ac:dyDescent="0.3">
      <c r="A34" s="7" t="s">
        <v>53</v>
      </c>
      <c r="B34" s="50">
        <f>B33/B17</f>
        <v>1.0000000000000016</v>
      </c>
      <c r="G34" s="36" t="s">
        <v>39</v>
      </c>
      <c r="H34" s="37"/>
      <c r="I34" s="51">
        <f>SUM(I30:I33)</f>
        <v>375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70.018590625000002</v>
      </c>
      <c r="D39" s="58"/>
      <c r="E39" s="61"/>
    </row>
    <row r="40" spans="1:9" x14ac:dyDescent="0.25">
      <c r="A40" s="7" t="s">
        <v>58</v>
      </c>
      <c r="B40" s="17">
        <f>B25-B39</f>
        <v>738.59140937500001</v>
      </c>
      <c r="D40" s="58"/>
      <c r="E40" s="61"/>
    </row>
    <row r="41" spans="1:9" x14ac:dyDescent="0.25">
      <c r="A41" s="7" t="s">
        <v>59</v>
      </c>
      <c r="B41" s="43">
        <f>B21-B40-I25-I34</f>
        <v>246.40859062499999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0.82474686735142133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056" priority="28" operator="equal">
      <formula>"NO"</formula>
    </cfRule>
    <cfRule type="cellIs" dxfId="4055" priority="29" operator="equal">
      <formula>"YES"</formula>
    </cfRule>
  </conditionalFormatting>
  <conditionalFormatting sqref="E38">
    <cfRule type="cellIs" dxfId="4054" priority="26" operator="equal">
      <formula>"YES"</formula>
    </cfRule>
    <cfRule type="cellIs" dxfId="4053" priority="27" operator="equal">
      <formula>"NO"</formula>
    </cfRule>
  </conditionalFormatting>
  <conditionalFormatting sqref="B23">
    <cfRule type="cellIs" dxfId="4052" priority="24" operator="equal">
      <formula>"NO"</formula>
    </cfRule>
    <cfRule type="cellIs" dxfId="4051" priority="25" operator="equal">
      <formula>"YES"</formula>
    </cfRule>
  </conditionalFormatting>
  <conditionalFormatting sqref="B12">
    <cfRule type="containsText" dxfId="4050" priority="10" operator="containsText" text="Low">
      <formula>NOT(ISERROR(SEARCH("Low",B12)))</formula>
    </cfRule>
    <cfRule type="containsText" dxfId="4049" priority="11" operator="containsText" text="Medium">
      <formula>NOT(ISERROR(SEARCH("Medium",B12)))</formula>
    </cfRule>
    <cfRule type="containsText" dxfId="4048" priority="12" operator="containsText" text="High">
      <formula>NOT(ISERROR(SEARCH("High",B12)))</formula>
    </cfRule>
  </conditionalFormatting>
  <conditionalFormatting sqref="B29">
    <cfRule type="cellIs" dxfId="4047" priority="20" operator="between">
      <formula>10%</formula>
      <formula>11.9%</formula>
    </cfRule>
    <cfRule type="cellIs" dxfId="4046" priority="22" operator="lessThan">
      <formula>0.1</formula>
    </cfRule>
    <cfRule type="cellIs" dxfId="4045" priority="23" operator="greaterThanOrEqual">
      <formula>0.12</formula>
    </cfRule>
  </conditionalFormatting>
  <conditionalFormatting sqref="B42">
    <cfRule type="cellIs" dxfId="4044" priority="18" operator="between">
      <formula>0.1</formula>
      <formula>0.1199</formula>
    </cfRule>
    <cfRule type="cellIs" dxfId="4043" priority="19" operator="lessThan">
      <formula>0.1</formula>
    </cfRule>
    <cfRule type="cellIs" dxfId="4042" priority="21" operator="greaterThanOrEqual">
      <formula>0.12</formula>
    </cfRule>
  </conditionalFormatting>
  <conditionalFormatting sqref="B10">
    <cfRule type="containsText" dxfId="4041" priority="13" operator="containsText" text="Full">
      <formula>NOT(ISERROR(SEARCH("Full",B10)))</formula>
    </cfRule>
    <cfRule type="containsText" dxfId="4040" priority="14" operator="containsText" text="Heavy">
      <formula>NOT(ISERROR(SEARCH("Heavy",B10)))</formula>
    </cfRule>
    <cfRule type="containsText" dxfId="4039" priority="15" operator="containsText" text="Medium">
      <formula>NOT(ISERROR(SEARCH("Medium",B10)))</formula>
    </cfRule>
    <cfRule type="containsText" dxfId="4038" priority="16" operator="containsText" text="Light">
      <formula>NOT(ISERROR(SEARCH("Light",B10)))</formula>
    </cfRule>
    <cfRule type="containsText" dxfId="4037" priority="17" operator="containsText" text="None">
      <formula>NOT(ISERROR(SEARCH("None",B10)))</formula>
    </cfRule>
  </conditionalFormatting>
  <conditionalFormatting sqref="B28">
    <cfRule type="cellIs" dxfId="4036" priority="30" operator="lessThan">
      <formula>$B$8*100</formula>
    </cfRule>
    <cfRule type="cellIs" dxfId="4035" priority="31" operator="greaterThanOrEqual">
      <formula>$B$8*100</formula>
    </cfRule>
  </conditionalFormatting>
  <conditionalFormatting sqref="B41">
    <cfRule type="cellIs" dxfId="4034" priority="32" operator="lessThan">
      <formula>$B$8*100</formula>
    </cfRule>
    <cfRule type="cellIs" dxfId="4033" priority="33" operator="greaterThan">
      <formula>$B$8*100</formula>
    </cfRule>
    <cfRule type="cellIs" dxfId="4032" priority="34" operator="greaterThan">
      <formula>$B$8*100</formula>
    </cfRule>
  </conditionalFormatting>
  <conditionalFormatting sqref="B38">
    <cfRule type="cellIs" dxfId="4031" priority="8" operator="equal">
      <formula>"YES"</formula>
    </cfRule>
    <cfRule type="cellIs" dxfId="4030" priority="9" operator="equal">
      <formula>"NO"</formula>
    </cfRule>
  </conditionalFormatting>
  <conditionalFormatting sqref="E23:E26">
    <cfRule type="cellIs" dxfId="4029" priority="4" operator="equal">
      <formula>"NO"</formula>
    </cfRule>
    <cfRule type="cellIs" dxfId="4028" priority="5" operator="equal">
      <formula>"YES"</formula>
    </cfRule>
  </conditionalFormatting>
  <conditionalFormatting sqref="E29">
    <cfRule type="cellIs" dxfId="4027" priority="1" operator="between">
      <formula>10%</formula>
      <formula>12%</formula>
    </cfRule>
    <cfRule type="cellIs" dxfId="4026" priority="2" operator="lessThan">
      <formula>0.1</formula>
    </cfRule>
    <cfRule type="cellIs" dxfId="4025" priority="3" operator="greaterThan">
      <formula>0.12</formula>
    </cfRule>
  </conditionalFormatting>
  <conditionalFormatting sqref="E28">
    <cfRule type="cellIs" dxfId="4024" priority="6" operator="lessThan">
      <formula>$B$8*100</formula>
    </cfRule>
    <cfRule type="cellIs" dxfId="4023" priority="7" operator="greaterThan">
      <formula>$B$8*100</formula>
    </cfRule>
  </conditionalFormatting>
  <hyperlinks>
    <hyperlink ref="A32" r:id="rId1" display="https://www.zillow.com/homes/recently_sold/" xr:uid="{44976368-D0DB-4DBC-A118-2C4F8F385A82}"/>
    <hyperlink ref="A21" r:id="rId2" xr:uid="{EAE52807-B572-4B93-A4F7-34AF71558DB4}"/>
    <hyperlink ref="A25" r:id="rId3" display="www.mortgagecalculator.org" xr:uid="{99AC0CD6-C57D-4223-9B7B-55FC95A53646}"/>
    <hyperlink ref="A12" r:id="rId4" xr:uid="{66BA7523-12E4-4EB0-A559-B64124BAA133}"/>
  </hyperlinks>
  <pageMargins left="0.7" right="0.7" top="0.75" bottom="0.75" header="0.3" footer="0.3"/>
  <legacyDrawing r:id="rId5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A6A6-441E-4C5E-B848-95E6F1D0D64F}">
  <sheetPr codeName="Sheet123">
    <tabColor rgb="FF00B050"/>
  </sheetPr>
  <dimension ref="A1:P42"/>
  <sheetViews>
    <sheetView topLeftCell="A16"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5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3072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127500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46080</v>
      </c>
      <c r="D15" s="2"/>
      <c r="E15" s="3"/>
    </row>
    <row r="16" spans="1:10" x14ac:dyDescent="0.25">
      <c r="A16" s="7" t="s">
        <v>20</v>
      </c>
      <c r="B16" s="17">
        <f>B15+B13</f>
        <v>173580</v>
      </c>
      <c r="D16" s="2"/>
      <c r="E16" s="18"/>
    </row>
    <row r="17" spans="1:16" ht="15.75" thickBot="1" x14ac:dyDescent="0.3">
      <c r="A17" s="7" t="s">
        <v>21</v>
      </c>
      <c r="B17" s="17">
        <f>B16*0.2</f>
        <v>34716</v>
      </c>
      <c r="D17" s="19"/>
      <c r="E17" s="20"/>
      <c r="P17" s="21"/>
    </row>
    <row r="18" spans="1:16" x14ac:dyDescent="0.25">
      <c r="A18" s="7" t="s">
        <v>23</v>
      </c>
      <c r="B18" s="17">
        <f>B16-B17</f>
        <v>138864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/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650*2+474*3</f>
        <v>2722</v>
      </c>
      <c r="D21" s="23"/>
      <c r="E21" s="8"/>
      <c r="G21" s="27" t="s">
        <v>29</v>
      </c>
      <c r="H21" s="28"/>
      <c r="I21" s="29">
        <f>1400/12</f>
        <v>116.66666666666667</v>
      </c>
    </row>
    <row r="22" spans="1:16" x14ac:dyDescent="0.25">
      <c r="A22" s="7" t="s">
        <v>78</v>
      </c>
      <c r="B22" s="17">
        <f>B16*0.01</f>
        <v>1735.8</v>
      </c>
      <c r="D22" s="7"/>
      <c r="E22" s="17"/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/>
      <c r="E23" s="31"/>
      <c r="G23" s="27" t="s">
        <v>35</v>
      </c>
      <c r="H23" s="28"/>
      <c r="I23" s="29">
        <f>2000/12+600/12</f>
        <v>216.66666666666666</v>
      </c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0</v>
      </c>
    </row>
    <row r="25" spans="1:16" ht="15.75" thickBot="1" x14ac:dyDescent="0.3">
      <c r="A25" s="26" t="s">
        <v>37</v>
      </c>
      <c r="B25" s="8">
        <v>1112.1199999999999</v>
      </c>
      <c r="D25" s="7"/>
      <c r="E25" s="35"/>
      <c r="G25" s="36" t="s">
        <v>39</v>
      </c>
      <c r="H25" s="37"/>
      <c r="I25" s="38">
        <f>SUM(I21:I24)</f>
        <v>333.33333333333331</v>
      </c>
    </row>
    <row r="26" spans="1:16" x14ac:dyDescent="0.25">
      <c r="A26" s="7" t="s">
        <v>40</v>
      </c>
      <c r="B26" s="17">
        <f>B25+I25+I34</f>
        <v>2125.9533333333329</v>
      </c>
      <c r="D26" s="7"/>
      <c r="E26" s="17"/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596.04666666666708</v>
      </c>
      <c r="D28" s="7"/>
      <c r="E28" s="44"/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0.2060306486922458</v>
      </c>
      <c r="D29" s="46"/>
      <c r="E29" s="47"/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136.1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136.1</v>
      </c>
    </row>
    <row r="32" spans="1:16" x14ac:dyDescent="0.25">
      <c r="A32" s="26" t="s">
        <v>49</v>
      </c>
      <c r="B32" s="8">
        <f>B16</f>
        <v>173580</v>
      </c>
      <c r="G32" s="27" t="s">
        <v>50</v>
      </c>
      <c r="H32" s="48">
        <v>0.05</v>
      </c>
      <c r="I32" s="49">
        <f>$B$21*H32</f>
        <v>136.1</v>
      </c>
    </row>
    <row r="33" spans="1:9" x14ac:dyDescent="0.25">
      <c r="A33" s="7" t="s">
        <v>51</v>
      </c>
      <c r="B33" s="17">
        <f>B32-B18</f>
        <v>34716</v>
      </c>
      <c r="G33" s="27" t="s">
        <v>52</v>
      </c>
      <c r="H33" s="48">
        <v>0.1</v>
      </c>
      <c r="I33" s="49">
        <f>$B$21*H33</f>
        <v>272.2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680.5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98.362000000000009</v>
      </c>
      <c r="D39" s="58"/>
      <c r="E39" s="61"/>
    </row>
    <row r="40" spans="1:9" x14ac:dyDescent="0.25">
      <c r="A40" s="7" t="s">
        <v>58</v>
      </c>
      <c r="B40" s="17">
        <f>B25-B39</f>
        <v>1013.7579999999999</v>
      </c>
      <c r="D40" s="58"/>
      <c r="E40" s="61"/>
    </row>
    <row r="41" spans="1:9" x14ac:dyDescent="0.25">
      <c r="A41" s="7" t="s">
        <v>59</v>
      </c>
      <c r="B41" s="43">
        <f>B21-B40-I25-I34</f>
        <v>694.40866666666693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0.24003064869224572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4022" priority="28" operator="equal">
      <formula>"NO"</formula>
    </cfRule>
    <cfRule type="cellIs" dxfId="4021" priority="29" operator="equal">
      <formula>"YES"</formula>
    </cfRule>
  </conditionalFormatting>
  <conditionalFormatting sqref="E38">
    <cfRule type="cellIs" dxfId="4020" priority="26" operator="equal">
      <formula>"YES"</formula>
    </cfRule>
    <cfRule type="cellIs" dxfId="4019" priority="27" operator="equal">
      <formula>"NO"</formula>
    </cfRule>
  </conditionalFormatting>
  <conditionalFormatting sqref="B23">
    <cfRule type="cellIs" dxfId="4018" priority="24" operator="equal">
      <formula>"NO"</formula>
    </cfRule>
    <cfRule type="cellIs" dxfId="4017" priority="25" operator="equal">
      <formula>"YES"</formula>
    </cfRule>
  </conditionalFormatting>
  <conditionalFormatting sqref="B12">
    <cfRule type="containsText" dxfId="4016" priority="10" operator="containsText" text="Low">
      <formula>NOT(ISERROR(SEARCH("Low",B12)))</formula>
    </cfRule>
    <cfRule type="containsText" dxfId="4015" priority="11" operator="containsText" text="Medium">
      <formula>NOT(ISERROR(SEARCH("Medium",B12)))</formula>
    </cfRule>
    <cfRule type="containsText" dxfId="4014" priority="12" operator="containsText" text="High">
      <formula>NOT(ISERROR(SEARCH("High",B12)))</formula>
    </cfRule>
  </conditionalFormatting>
  <conditionalFormatting sqref="B29">
    <cfRule type="cellIs" dxfId="4013" priority="20" operator="between">
      <formula>10%</formula>
      <formula>11.9%</formula>
    </cfRule>
    <cfRule type="cellIs" dxfId="4012" priority="22" operator="lessThan">
      <formula>0.1</formula>
    </cfRule>
    <cfRule type="cellIs" dxfId="4011" priority="23" operator="greaterThanOrEqual">
      <formula>0.12</formula>
    </cfRule>
  </conditionalFormatting>
  <conditionalFormatting sqref="B42">
    <cfRule type="cellIs" dxfId="4010" priority="18" operator="between">
      <formula>0.1</formula>
      <formula>0.1199</formula>
    </cfRule>
    <cfRule type="cellIs" dxfId="4009" priority="19" operator="lessThan">
      <formula>0.1</formula>
    </cfRule>
    <cfRule type="cellIs" dxfId="4008" priority="21" operator="greaterThanOrEqual">
      <formula>0.12</formula>
    </cfRule>
  </conditionalFormatting>
  <conditionalFormatting sqref="B10">
    <cfRule type="containsText" dxfId="4007" priority="13" operator="containsText" text="Full">
      <formula>NOT(ISERROR(SEARCH("Full",B10)))</formula>
    </cfRule>
    <cfRule type="containsText" dxfId="4006" priority="14" operator="containsText" text="Heavy">
      <formula>NOT(ISERROR(SEARCH("Heavy",B10)))</formula>
    </cfRule>
    <cfRule type="containsText" dxfId="4005" priority="15" operator="containsText" text="Medium">
      <formula>NOT(ISERROR(SEARCH("Medium",B10)))</formula>
    </cfRule>
    <cfRule type="containsText" dxfId="4004" priority="16" operator="containsText" text="Light">
      <formula>NOT(ISERROR(SEARCH("Light",B10)))</formula>
    </cfRule>
    <cfRule type="containsText" dxfId="4003" priority="17" operator="containsText" text="None">
      <formula>NOT(ISERROR(SEARCH("None",B10)))</formula>
    </cfRule>
  </conditionalFormatting>
  <conditionalFormatting sqref="B28">
    <cfRule type="cellIs" dxfId="4002" priority="30" operator="lessThan">
      <formula>$B$8*100</formula>
    </cfRule>
    <cfRule type="cellIs" dxfId="4001" priority="31" operator="greaterThanOrEqual">
      <formula>$B$8*100</formula>
    </cfRule>
  </conditionalFormatting>
  <conditionalFormatting sqref="B41">
    <cfRule type="cellIs" dxfId="4000" priority="32" operator="lessThan">
      <formula>$B$8*100</formula>
    </cfRule>
    <cfRule type="cellIs" dxfId="3999" priority="33" operator="greaterThan">
      <formula>$B$8*100</formula>
    </cfRule>
    <cfRule type="cellIs" dxfId="3998" priority="34" operator="greaterThan">
      <formula>$B$8*100</formula>
    </cfRule>
  </conditionalFormatting>
  <conditionalFormatting sqref="B38">
    <cfRule type="cellIs" dxfId="3997" priority="8" operator="equal">
      <formula>"YES"</formula>
    </cfRule>
    <cfRule type="cellIs" dxfId="3996" priority="9" operator="equal">
      <formula>"NO"</formula>
    </cfRule>
  </conditionalFormatting>
  <conditionalFormatting sqref="E23:E26">
    <cfRule type="cellIs" dxfId="3995" priority="4" operator="equal">
      <formula>"NO"</formula>
    </cfRule>
    <cfRule type="cellIs" dxfId="3994" priority="5" operator="equal">
      <formula>"YES"</formula>
    </cfRule>
  </conditionalFormatting>
  <conditionalFormatting sqref="E29">
    <cfRule type="cellIs" dxfId="3993" priority="1" operator="between">
      <formula>10%</formula>
      <formula>12%</formula>
    </cfRule>
    <cfRule type="cellIs" dxfId="3992" priority="2" operator="lessThan">
      <formula>0.1</formula>
    </cfRule>
    <cfRule type="cellIs" dxfId="3991" priority="3" operator="greaterThan">
      <formula>0.12</formula>
    </cfRule>
  </conditionalFormatting>
  <conditionalFormatting sqref="E28">
    <cfRule type="cellIs" dxfId="3990" priority="6" operator="lessThan">
      <formula>$B$8*100</formula>
    </cfRule>
    <cfRule type="cellIs" dxfId="3989" priority="7" operator="greaterThan">
      <formula>$B$8*100</formula>
    </cfRule>
  </conditionalFormatting>
  <hyperlinks>
    <hyperlink ref="A32" r:id="rId1" display="https://www.zillow.com/homes/recently_sold/" xr:uid="{36F4E925-833E-43FD-BA1D-5163B225E71C}"/>
    <hyperlink ref="A21" r:id="rId2" xr:uid="{9E090F77-8BC7-4FD8-8A1E-3F3CEEEFE2FA}"/>
    <hyperlink ref="A25" r:id="rId3" display="www.mortgagecalculator.org" xr:uid="{1CF294EE-3C1B-4123-AE2C-9CC44BD0A83D}"/>
    <hyperlink ref="A12" r:id="rId4" xr:uid="{DB492E29-3575-42EA-9F21-B11721A7FD88}"/>
  </hyperlinks>
  <pageMargins left="0.7" right="0.7" top="0.75" bottom="0.75" header="0.3" footer="0.3"/>
  <legacyDrawing r:id="rId5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F2CE-68CA-4C1B-8F5D-A6A8DA866982}">
  <sheetPr codeName="Sheet124">
    <tabColor rgb="FF00B050"/>
  </sheetPr>
  <dimension ref="A1:P42"/>
  <sheetViews>
    <sheetView topLeftCell="A3" workbookViewId="0">
      <selection activeCell="B21" sqref="B2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76000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1992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64600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49800</v>
      </c>
      <c r="D15" s="2"/>
      <c r="E15" s="3"/>
    </row>
    <row r="16" spans="1:10" x14ac:dyDescent="0.25">
      <c r="A16" s="7" t="s">
        <v>20</v>
      </c>
      <c r="B16" s="17">
        <f>B15+B13</f>
        <v>114400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4004.0000000000005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110396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896+791</f>
        <v>1687</v>
      </c>
      <c r="D21" s="23" t="s">
        <v>28</v>
      </c>
      <c r="E21" s="8">
        <f>896*2/3+791</f>
        <v>1388.3333333333335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1144</v>
      </c>
      <c r="D22" s="7" t="s">
        <v>77</v>
      </c>
      <c r="E22" s="17">
        <f>B16*0.01</f>
        <v>1144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935.58</v>
      </c>
      <c r="D25" s="7" t="s">
        <v>38</v>
      </c>
      <c r="E25" s="35">
        <f>B25</f>
        <v>935.58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1497.33</v>
      </c>
      <c r="D26" s="7" t="s">
        <v>41</v>
      </c>
      <c r="E26" s="17">
        <f>E25+I25+I34</f>
        <v>1497.33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189.67000000000007</v>
      </c>
      <c r="D28" s="7" t="s">
        <v>43</v>
      </c>
      <c r="E28" s="44">
        <f>E21-E25-I25-I34+I24+I33</f>
        <v>199.70333333333346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0.56844155844155864</v>
      </c>
      <c r="D29" s="46" t="s">
        <v>44</v>
      </c>
      <c r="E29" s="47">
        <f>(E28*12)/B17</f>
        <v>0.59851148851148883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84.350000000000009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84.350000000000009</v>
      </c>
    </row>
    <row r="32" spans="1:16" x14ac:dyDescent="0.25">
      <c r="A32" s="26" t="s">
        <v>49</v>
      </c>
      <c r="B32" s="8">
        <f>B16</f>
        <v>114400</v>
      </c>
      <c r="G32" s="27" t="s">
        <v>50</v>
      </c>
      <c r="H32" s="48">
        <v>0.05</v>
      </c>
      <c r="I32" s="49">
        <f>$B$21*H32</f>
        <v>84.350000000000009</v>
      </c>
    </row>
    <row r="33" spans="1:9" x14ac:dyDescent="0.25">
      <c r="A33" s="7" t="s">
        <v>51</v>
      </c>
      <c r="B33" s="17">
        <f>B32-B18</f>
        <v>4004</v>
      </c>
      <c r="G33" s="27" t="s">
        <v>52</v>
      </c>
      <c r="H33" s="48">
        <v>0.1</v>
      </c>
      <c r="I33" s="49">
        <f>$B$21*H33</f>
        <v>168.70000000000002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421.75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78.197166666666675</v>
      </c>
      <c r="D39" s="58"/>
      <c r="E39" s="61"/>
    </row>
    <row r="40" spans="1:9" x14ac:dyDescent="0.25">
      <c r="A40" s="7" t="s">
        <v>58</v>
      </c>
      <c r="B40" s="17">
        <f>B25-B39</f>
        <v>857.38283333333334</v>
      </c>
      <c r="D40" s="58"/>
      <c r="E40" s="61"/>
    </row>
    <row r="41" spans="1:9" x14ac:dyDescent="0.25">
      <c r="A41" s="7" t="s">
        <v>59</v>
      </c>
      <c r="B41" s="43">
        <f>B21-B40-I25-I34</f>
        <v>267.86716666666666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0.80279870129870123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988" priority="28" operator="equal">
      <formula>"NO"</formula>
    </cfRule>
    <cfRule type="cellIs" dxfId="3987" priority="29" operator="equal">
      <formula>"YES"</formula>
    </cfRule>
  </conditionalFormatting>
  <conditionalFormatting sqref="E38">
    <cfRule type="cellIs" dxfId="3986" priority="26" operator="equal">
      <formula>"YES"</formula>
    </cfRule>
    <cfRule type="cellIs" dxfId="3985" priority="27" operator="equal">
      <formula>"NO"</formula>
    </cfRule>
  </conditionalFormatting>
  <conditionalFormatting sqref="B23">
    <cfRule type="cellIs" dxfId="3984" priority="24" operator="equal">
      <formula>"NO"</formula>
    </cfRule>
    <cfRule type="cellIs" dxfId="3983" priority="25" operator="equal">
      <formula>"YES"</formula>
    </cfRule>
  </conditionalFormatting>
  <conditionalFormatting sqref="B12">
    <cfRule type="containsText" dxfId="3982" priority="10" operator="containsText" text="Low">
      <formula>NOT(ISERROR(SEARCH("Low",B12)))</formula>
    </cfRule>
    <cfRule type="containsText" dxfId="3981" priority="11" operator="containsText" text="Medium">
      <formula>NOT(ISERROR(SEARCH("Medium",B12)))</formula>
    </cfRule>
    <cfRule type="containsText" dxfId="3980" priority="12" operator="containsText" text="High">
      <formula>NOT(ISERROR(SEARCH("High",B12)))</formula>
    </cfRule>
  </conditionalFormatting>
  <conditionalFormatting sqref="B29">
    <cfRule type="cellIs" dxfId="3979" priority="20" operator="between">
      <formula>10%</formula>
      <formula>11.9%</formula>
    </cfRule>
    <cfRule type="cellIs" dxfId="3978" priority="22" operator="lessThan">
      <formula>0.1</formula>
    </cfRule>
    <cfRule type="cellIs" dxfId="3977" priority="23" operator="greaterThanOrEqual">
      <formula>0.12</formula>
    </cfRule>
  </conditionalFormatting>
  <conditionalFormatting sqref="B42">
    <cfRule type="cellIs" dxfId="3976" priority="18" operator="between">
      <formula>0.1</formula>
      <formula>0.1199</formula>
    </cfRule>
    <cfRule type="cellIs" dxfId="3975" priority="19" operator="lessThan">
      <formula>0.1</formula>
    </cfRule>
    <cfRule type="cellIs" dxfId="3974" priority="21" operator="greaterThanOrEqual">
      <formula>0.12</formula>
    </cfRule>
  </conditionalFormatting>
  <conditionalFormatting sqref="B10">
    <cfRule type="containsText" dxfId="3973" priority="13" operator="containsText" text="Full">
      <formula>NOT(ISERROR(SEARCH("Full",B10)))</formula>
    </cfRule>
    <cfRule type="containsText" dxfId="3972" priority="14" operator="containsText" text="Heavy">
      <formula>NOT(ISERROR(SEARCH("Heavy",B10)))</formula>
    </cfRule>
    <cfRule type="containsText" dxfId="3971" priority="15" operator="containsText" text="Medium">
      <formula>NOT(ISERROR(SEARCH("Medium",B10)))</formula>
    </cfRule>
    <cfRule type="containsText" dxfId="3970" priority="16" operator="containsText" text="Light">
      <formula>NOT(ISERROR(SEARCH("Light",B10)))</formula>
    </cfRule>
    <cfRule type="containsText" dxfId="3969" priority="17" operator="containsText" text="None">
      <formula>NOT(ISERROR(SEARCH("None",B10)))</formula>
    </cfRule>
  </conditionalFormatting>
  <conditionalFormatting sqref="B28">
    <cfRule type="cellIs" dxfId="3968" priority="30" operator="lessThan">
      <formula>$B$8*100</formula>
    </cfRule>
    <cfRule type="cellIs" dxfId="3967" priority="31" operator="greaterThanOrEqual">
      <formula>$B$8*100</formula>
    </cfRule>
  </conditionalFormatting>
  <conditionalFormatting sqref="B41">
    <cfRule type="cellIs" dxfId="3966" priority="32" operator="lessThan">
      <formula>$B$8*100</formula>
    </cfRule>
    <cfRule type="cellIs" dxfId="3965" priority="33" operator="greaterThan">
      <formula>$B$8*100</formula>
    </cfRule>
    <cfRule type="cellIs" dxfId="3964" priority="34" operator="greaterThan">
      <formula>$B$8*100</formula>
    </cfRule>
  </conditionalFormatting>
  <conditionalFormatting sqref="B38">
    <cfRule type="cellIs" dxfId="3963" priority="8" operator="equal">
      <formula>"YES"</formula>
    </cfRule>
    <cfRule type="cellIs" dxfId="3962" priority="9" operator="equal">
      <formula>"NO"</formula>
    </cfRule>
  </conditionalFormatting>
  <conditionalFormatting sqref="E23:E26">
    <cfRule type="cellIs" dxfId="3961" priority="4" operator="equal">
      <formula>"NO"</formula>
    </cfRule>
    <cfRule type="cellIs" dxfId="3960" priority="5" operator="equal">
      <formula>"YES"</formula>
    </cfRule>
  </conditionalFormatting>
  <conditionalFormatting sqref="E29">
    <cfRule type="cellIs" dxfId="3959" priority="1" operator="between">
      <formula>10%</formula>
      <formula>12%</formula>
    </cfRule>
    <cfRule type="cellIs" dxfId="3958" priority="2" operator="lessThan">
      <formula>0.1</formula>
    </cfRule>
    <cfRule type="cellIs" dxfId="3957" priority="3" operator="greaterThan">
      <formula>0.12</formula>
    </cfRule>
  </conditionalFormatting>
  <conditionalFormatting sqref="E28">
    <cfRule type="cellIs" dxfId="3956" priority="6" operator="lessThan">
      <formula>$B$8*100</formula>
    </cfRule>
    <cfRule type="cellIs" dxfId="3955" priority="7" operator="greaterThan">
      <formula>$B$8*100</formula>
    </cfRule>
  </conditionalFormatting>
  <hyperlinks>
    <hyperlink ref="A32" r:id="rId1" display="https://www.zillow.com/homes/recently_sold/" xr:uid="{CB42EEB7-0453-491E-A7BC-57CCB95E65B3}"/>
    <hyperlink ref="A21" r:id="rId2" xr:uid="{715AA803-1F98-40CD-ADF5-AC221163A7EE}"/>
    <hyperlink ref="A25" r:id="rId3" display="www.mortgagecalculator.org" xr:uid="{5A5B0D83-4132-4E21-AA7F-B0271D85E2BD}"/>
    <hyperlink ref="A12" r:id="rId4" xr:uid="{3020EC74-F83A-4CED-BE68-3CF3F58FD995}"/>
  </hyperlinks>
  <pageMargins left="0.7" right="0.7" top="0.75" bottom="0.75" header="0.3" footer="0.3"/>
  <legacyDrawing r:id="rId5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82F2-4BEB-427F-A5FF-FD699A4EA77F}">
  <sheetPr codeName="Sheet125">
    <tabColor rgb="FFFF0000"/>
  </sheetPr>
  <dimension ref="A1:P42"/>
  <sheetViews>
    <sheetView topLeftCell="A13" workbookViewId="0">
      <selection activeCell="A29" sqref="A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84480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3684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B7+10000</f>
        <v>94480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94480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4724</v>
      </c>
      <c r="D17" s="19"/>
      <c r="E17" s="20"/>
      <c r="P17" s="21"/>
    </row>
    <row r="18" spans="1:16" x14ac:dyDescent="0.25">
      <c r="A18" s="7" t="s">
        <v>23</v>
      </c>
      <c r="B18" s="17">
        <f>B16-B17</f>
        <v>89756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750*2</f>
        <v>1500</v>
      </c>
      <c r="D21" s="23" t="s">
        <v>28</v>
      </c>
      <c r="E21" s="8">
        <f>750*2*5/6</f>
        <v>1250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944.80000000000007</v>
      </c>
      <c r="D22" s="7" t="s">
        <v>77</v>
      </c>
      <c r="E22" s="17">
        <f>B16*0.01</f>
        <v>944.80000000000007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867.48</v>
      </c>
      <c r="D25" s="7" t="s">
        <v>38</v>
      </c>
      <c r="E25" s="35">
        <f>B25</f>
        <v>867.48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1382.48</v>
      </c>
      <c r="D26" s="7" t="s">
        <v>41</v>
      </c>
      <c r="E26" s="17">
        <f>E25+I25+I34</f>
        <v>1382.48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117.51999999999998</v>
      </c>
      <c r="D28" s="7" t="s">
        <v>43</v>
      </c>
      <c r="E28" s="44">
        <f>E21-E25-I25-I34+I24+I33</f>
        <v>157.51999999999998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0.29852667231160029</v>
      </c>
      <c r="D29" s="46" t="s">
        <v>44</v>
      </c>
      <c r="E29" s="47">
        <f>(E28*12)/B17</f>
        <v>0.40013547840812863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75</v>
      </c>
    </row>
    <row r="32" spans="1:16" x14ac:dyDescent="0.25">
      <c r="A32" s="26" t="s">
        <v>49</v>
      </c>
      <c r="B32" s="8">
        <f>B16</f>
        <v>94480</v>
      </c>
      <c r="G32" s="27" t="s">
        <v>50</v>
      </c>
      <c r="H32" s="48">
        <v>0.05</v>
      </c>
      <c r="I32" s="49">
        <f>$B$21*H32</f>
        <v>75</v>
      </c>
    </row>
    <row r="33" spans="1:9" x14ac:dyDescent="0.25">
      <c r="A33" s="7" t="s">
        <v>51</v>
      </c>
      <c r="B33" s="17">
        <f>B32-B18</f>
        <v>4724</v>
      </c>
      <c r="G33" s="27" t="s">
        <v>52</v>
      </c>
      <c r="H33" s="48">
        <v>0.1</v>
      </c>
      <c r="I33" s="49">
        <f>$B$21*H33</f>
        <v>150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63.57716666666667</v>
      </c>
      <c r="D39" s="58"/>
      <c r="E39" s="61"/>
    </row>
    <row r="40" spans="1:9" x14ac:dyDescent="0.25">
      <c r="A40" s="7" t="s">
        <v>58</v>
      </c>
      <c r="B40" s="17">
        <f>B25-B39</f>
        <v>803.90283333333332</v>
      </c>
      <c r="D40" s="58"/>
      <c r="E40" s="61"/>
    </row>
    <row r="41" spans="1:9" x14ac:dyDescent="0.25">
      <c r="A41" s="7" t="s">
        <v>59</v>
      </c>
      <c r="B41" s="43">
        <f>B21-B40-I25-I34</f>
        <v>181.09716666666668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0.46002667231160038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954" priority="28" operator="equal">
      <formula>"NO"</formula>
    </cfRule>
    <cfRule type="cellIs" dxfId="3953" priority="29" operator="equal">
      <formula>"YES"</formula>
    </cfRule>
  </conditionalFormatting>
  <conditionalFormatting sqref="E38">
    <cfRule type="cellIs" dxfId="3952" priority="26" operator="equal">
      <formula>"YES"</formula>
    </cfRule>
    <cfRule type="cellIs" dxfId="3951" priority="27" operator="equal">
      <formula>"NO"</formula>
    </cfRule>
  </conditionalFormatting>
  <conditionalFormatting sqref="B23">
    <cfRule type="cellIs" dxfId="3950" priority="24" operator="equal">
      <formula>"NO"</formula>
    </cfRule>
    <cfRule type="cellIs" dxfId="3949" priority="25" operator="equal">
      <formula>"YES"</formula>
    </cfRule>
  </conditionalFormatting>
  <conditionalFormatting sqref="B12">
    <cfRule type="containsText" dxfId="3948" priority="10" operator="containsText" text="Low">
      <formula>NOT(ISERROR(SEARCH("Low",B12)))</formula>
    </cfRule>
    <cfRule type="containsText" dxfId="3947" priority="11" operator="containsText" text="Medium">
      <formula>NOT(ISERROR(SEARCH("Medium",B12)))</formula>
    </cfRule>
    <cfRule type="containsText" dxfId="3946" priority="12" operator="containsText" text="High">
      <formula>NOT(ISERROR(SEARCH("High",B12)))</formula>
    </cfRule>
  </conditionalFormatting>
  <conditionalFormatting sqref="B29">
    <cfRule type="cellIs" dxfId="3945" priority="20" operator="between">
      <formula>10%</formula>
      <formula>11.9%</formula>
    </cfRule>
    <cfRule type="cellIs" dxfId="3944" priority="22" operator="lessThan">
      <formula>0.1</formula>
    </cfRule>
    <cfRule type="cellIs" dxfId="3943" priority="23" operator="greaterThanOrEqual">
      <formula>0.12</formula>
    </cfRule>
  </conditionalFormatting>
  <conditionalFormatting sqref="B42">
    <cfRule type="cellIs" dxfId="3942" priority="18" operator="between">
      <formula>0.1</formula>
      <formula>0.1199</formula>
    </cfRule>
    <cfRule type="cellIs" dxfId="3941" priority="19" operator="lessThan">
      <formula>0.1</formula>
    </cfRule>
    <cfRule type="cellIs" dxfId="3940" priority="21" operator="greaterThanOrEqual">
      <formula>0.12</formula>
    </cfRule>
  </conditionalFormatting>
  <conditionalFormatting sqref="B10">
    <cfRule type="containsText" dxfId="3939" priority="13" operator="containsText" text="Full">
      <formula>NOT(ISERROR(SEARCH("Full",B10)))</formula>
    </cfRule>
    <cfRule type="containsText" dxfId="3938" priority="14" operator="containsText" text="Heavy">
      <formula>NOT(ISERROR(SEARCH("Heavy",B10)))</formula>
    </cfRule>
    <cfRule type="containsText" dxfId="3937" priority="15" operator="containsText" text="Medium">
      <formula>NOT(ISERROR(SEARCH("Medium",B10)))</formula>
    </cfRule>
    <cfRule type="containsText" dxfId="3936" priority="16" operator="containsText" text="Light">
      <formula>NOT(ISERROR(SEARCH("Light",B10)))</formula>
    </cfRule>
    <cfRule type="containsText" dxfId="3935" priority="17" operator="containsText" text="None">
      <formula>NOT(ISERROR(SEARCH("None",B10)))</formula>
    </cfRule>
  </conditionalFormatting>
  <conditionalFormatting sqref="B28">
    <cfRule type="cellIs" dxfId="3934" priority="30" operator="lessThan">
      <formula>$B$8*100</formula>
    </cfRule>
    <cfRule type="cellIs" dxfId="3933" priority="31" operator="greaterThanOrEqual">
      <formula>$B$8*100</formula>
    </cfRule>
  </conditionalFormatting>
  <conditionalFormatting sqref="B41">
    <cfRule type="cellIs" dxfId="3932" priority="32" operator="lessThan">
      <formula>$B$8*100</formula>
    </cfRule>
    <cfRule type="cellIs" dxfId="3931" priority="33" operator="greaterThan">
      <formula>$B$8*100</formula>
    </cfRule>
    <cfRule type="cellIs" dxfId="3930" priority="34" operator="greaterThan">
      <formula>$B$8*100</formula>
    </cfRule>
  </conditionalFormatting>
  <conditionalFormatting sqref="B38">
    <cfRule type="cellIs" dxfId="3929" priority="8" operator="equal">
      <formula>"YES"</formula>
    </cfRule>
    <cfRule type="cellIs" dxfId="3928" priority="9" operator="equal">
      <formula>"NO"</formula>
    </cfRule>
  </conditionalFormatting>
  <conditionalFormatting sqref="E23:E26">
    <cfRule type="cellIs" dxfId="3927" priority="4" operator="equal">
      <formula>"NO"</formula>
    </cfRule>
    <cfRule type="cellIs" dxfId="3926" priority="5" operator="equal">
      <formula>"YES"</formula>
    </cfRule>
  </conditionalFormatting>
  <conditionalFormatting sqref="E29">
    <cfRule type="cellIs" dxfId="3925" priority="1" operator="between">
      <formula>10%</formula>
      <formula>12%</formula>
    </cfRule>
    <cfRule type="cellIs" dxfId="3924" priority="2" operator="lessThan">
      <formula>0.1</formula>
    </cfRule>
    <cfRule type="cellIs" dxfId="3923" priority="3" operator="greaterThan">
      <formula>0.12</formula>
    </cfRule>
  </conditionalFormatting>
  <conditionalFormatting sqref="E28">
    <cfRule type="cellIs" dxfId="3922" priority="6" operator="lessThan">
      <formula>$B$8*100</formula>
    </cfRule>
    <cfRule type="cellIs" dxfId="3921" priority="7" operator="greaterThan">
      <formula>$B$8*100</formula>
    </cfRule>
  </conditionalFormatting>
  <hyperlinks>
    <hyperlink ref="A32" r:id="rId1" display="https://www.zillow.com/homes/recently_sold/" xr:uid="{93A7B698-2E9C-4EAD-8E51-46B57C2BF071}"/>
    <hyperlink ref="A21" r:id="rId2" xr:uid="{141FF4BC-9DDE-4BC1-8C6A-91FFD8CE1261}"/>
    <hyperlink ref="A25" r:id="rId3" display="www.mortgagecalculator.org" xr:uid="{12263E33-7450-407B-9DDC-E9B1492E1B12}"/>
    <hyperlink ref="A12" r:id="rId4" xr:uid="{A7B5D101-2488-4045-BD11-AFFB435A97F2}"/>
  </hyperlinks>
  <pageMargins left="0.7" right="0.7" top="0.75" bottom="0.75" header="0.3" footer="0.3"/>
  <legacyDrawing r:id="rId5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09076-FD1E-4B1B-9280-FF33AF8F6E3E}">
  <sheetPr codeName="Sheet126">
    <tabColor rgb="FFFF0000"/>
  </sheetPr>
  <dimension ref="A1:P42"/>
  <sheetViews>
    <sheetView topLeftCell="A6" workbookViewId="0">
      <selection activeCell="B22" sqref="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79000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2176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67150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54400</v>
      </c>
      <c r="D15" s="2"/>
      <c r="E15" s="3"/>
    </row>
    <row r="16" spans="1:10" x14ac:dyDescent="0.25">
      <c r="A16" s="7" t="s">
        <v>20</v>
      </c>
      <c r="B16" s="17">
        <f>B15+B13</f>
        <v>121550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4254.25</v>
      </c>
      <c r="D17" s="19"/>
      <c r="E17" s="20"/>
      <c r="P17" s="21"/>
    </row>
    <row r="18" spans="1:16" x14ac:dyDescent="0.25">
      <c r="A18" s="7" t="s">
        <v>23</v>
      </c>
      <c r="B18" s="17">
        <f>B16-B17</f>
        <v>117295.75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766*2</f>
        <v>1532</v>
      </c>
      <c r="D21" s="23" t="s">
        <v>28</v>
      </c>
      <c r="E21" s="8">
        <f>766*2*3/4</f>
        <v>1149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1215.5</v>
      </c>
      <c r="D22" s="7" t="s">
        <v>77</v>
      </c>
      <c r="E22" s="17">
        <f>B16*0.01</f>
        <v>1215.5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884.74</v>
      </c>
      <c r="D25" s="7" t="s">
        <v>38</v>
      </c>
      <c r="E25" s="35">
        <f>B25</f>
        <v>884.74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1407.74</v>
      </c>
      <c r="D26" s="7" t="s">
        <v>41</v>
      </c>
      <c r="E26" s="17">
        <f>E25+I25+I34</f>
        <v>1407.74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124.25999999999999</v>
      </c>
      <c r="D28" s="7" t="s">
        <v>43</v>
      </c>
      <c r="E28" s="44">
        <f>E21-E25-I25-I34+I24+I33</f>
        <v>34.460000000000008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0.35050126344243987</v>
      </c>
      <c r="D29" s="46" t="s">
        <v>44</v>
      </c>
      <c r="E29" s="47">
        <f>(E28*12)/B17</f>
        <v>9.7201621907504282E-2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76.600000000000009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76.600000000000009</v>
      </c>
    </row>
    <row r="32" spans="1:16" x14ac:dyDescent="0.25">
      <c r="A32" s="26" t="s">
        <v>49</v>
      </c>
      <c r="B32" s="8">
        <f>B16</f>
        <v>121550</v>
      </c>
      <c r="G32" s="27" t="s">
        <v>50</v>
      </c>
      <c r="H32" s="48">
        <v>0.05</v>
      </c>
      <c r="I32" s="49">
        <f>$B$21*H32</f>
        <v>76.600000000000009</v>
      </c>
    </row>
    <row r="33" spans="1:9" x14ac:dyDescent="0.25">
      <c r="A33" s="7" t="s">
        <v>51</v>
      </c>
      <c r="B33" s="17">
        <f>B32-B18</f>
        <v>4254.25</v>
      </c>
      <c r="G33" s="27" t="s">
        <v>52</v>
      </c>
      <c r="H33" s="48">
        <v>0.1</v>
      </c>
      <c r="I33" s="49">
        <f>$B$21*H33</f>
        <v>153.20000000000002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383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83.084489583333337</v>
      </c>
      <c r="D39" s="58"/>
      <c r="E39" s="61"/>
    </row>
    <row r="40" spans="1:9" x14ac:dyDescent="0.25">
      <c r="A40" s="7" t="s">
        <v>58</v>
      </c>
      <c r="B40" s="17">
        <f>B25-B39</f>
        <v>801.65551041666663</v>
      </c>
      <c r="D40" s="58"/>
      <c r="E40" s="61"/>
    </row>
    <row r="41" spans="1:9" x14ac:dyDescent="0.25">
      <c r="A41" s="7" t="s">
        <v>59</v>
      </c>
      <c r="B41" s="43">
        <f>B21-B40-I25-I34</f>
        <v>207.34448958333337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0.58485840629958286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920" priority="28" operator="equal">
      <formula>"NO"</formula>
    </cfRule>
    <cfRule type="cellIs" dxfId="3919" priority="29" operator="equal">
      <formula>"YES"</formula>
    </cfRule>
  </conditionalFormatting>
  <conditionalFormatting sqref="E38">
    <cfRule type="cellIs" dxfId="3918" priority="26" operator="equal">
      <formula>"YES"</formula>
    </cfRule>
    <cfRule type="cellIs" dxfId="3917" priority="27" operator="equal">
      <formula>"NO"</formula>
    </cfRule>
  </conditionalFormatting>
  <conditionalFormatting sqref="B23">
    <cfRule type="cellIs" dxfId="3916" priority="24" operator="equal">
      <formula>"NO"</formula>
    </cfRule>
    <cfRule type="cellIs" dxfId="3915" priority="25" operator="equal">
      <formula>"YES"</formula>
    </cfRule>
  </conditionalFormatting>
  <conditionalFormatting sqref="B12">
    <cfRule type="containsText" dxfId="3914" priority="10" operator="containsText" text="Low">
      <formula>NOT(ISERROR(SEARCH("Low",B12)))</formula>
    </cfRule>
    <cfRule type="containsText" dxfId="3913" priority="11" operator="containsText" text="Medium">
      <formula>NOT(ISERROR(SEARCH("Medium",B12)))</formula>
    </cfRule>
    <cfRule type="containsText" dxfId="3912" priority="12" operator="containsText" text="High">
      <formula>NOT(ISERROR(SEARCH("High",B12)))</formula>
    </cfRule>
  </conditionalFormatting>
  <conditionalFormatting sqref="B29">
    <cfRule type="cellIs" dxfId="3911" priority="20" operator="between">
      <formula>10%</formula>
      <formula>11.9%</formula>
    </cfRule>
    <cfRule type="cellIs" dxfId="3910" priority="22" operator="lessThan">
      <formula>0.1</formula>
    </cfRule>
    <cfRule type="cellIs" dxfId="3909" priority="23" operator="greaterThanOrEqual">
      <formula>0.12</formula>
    </cfRule>
  </conditionalFormatting>
  <conditionalFormatting sqref="B42">
    <cfRule type="cellIs" dxfId="3908" priority="18" operator="between">
      <formula>0.1</formula>
      <formula>0.1199</formula>
    </cfRule>
    <cfRule type="cellIs" dxfId="3907" priority="19" operator="lessThan">
      <formula>0.1</formula>
    </cfRule>
    <cfRule type="cellIs" dxfId="3906" priority="21" operator="greaterThanOrEqual">
      <formula>0.12</formula>
    </cfRule>
  </conditionalFormatting>
  <conditionalFormatting sqref="B10">
    <cfRule type="containsText" dxfId="3905" priority="13" operator="containsText" text="Full">
      <formula>NOT(ISERROR(SEARCH("Full",B10)))</formula>
    </cfRule>
    <cfRule type="containsText" dxfId="3904" priority="14" operator="containsText" text="Heavy">
      <formula>NOT(ISERROR(SEARCH("Heavy",B10)))</formula>
    </cfRule>
    <cfRule type="containsText" dxfId="3903" priority="15" operator="containsText" text="Medium">
      <formula>NOT(ISERROR(SEARCH("Medium",B10)))</formula>
    </cfRule>
    <cfRule type="containsText" dxfId="3902" priority="16" operator="containsText" text="Light">
      <formula>NOT(ISERROR(SEARCH("Light",B10)))</formula>
    </cfRule>
    <cfRule type="containsText" dxfId="3901" priority="17" operator="containsText" text="None">
      <formula>NOT(ISERROR(SEARCH("None",B10)))</formula>
    </cfRule>
  </conditionalFormatting>
  <conditionalFormatting sqref="B28">
    <cfRule type="cellIs" dxfId="3900" priority="30" operator="lessThan">
      <formula>$B$8*100</formula>
    </cfRule>
    <cfRule type="cellIs" dxfId="3899" priority="31" operator="greaterThanOrEqual">
      <formula>$B$8*100</formula>
    </cfRule>
  </conditionalFormatting>
  <conditionalFormatting sqref="B41">
    <cfRule type="cellIs" dxfId="3898" priority="32" operator="lessThan">
      <formula>$B$8*100</formula>
    </cfRule>
    <cfRule type="cellIs" dxfId="3897" priority="33" operator="greaterThan">
      <formula>$B$8*100</formula>
    </cfRule>
    <cfRule type="cellIs" dxfId="3896" priority="34" operator="greaterThan">
      <formula>$B$8*100</formula>
    </cfRule>
  </conditionalFormatting>
  <conditionalFormatting sqref="B38">
    <cfRule type="cellIs" dxfId="3895" priority="8" operator="equal">
      <formula>"YES"</formula>
    </cfRule>
    <cfRule type="cellIs" dxfId="3894" priority="9" operator="equal">
      <formula>"NO"</formula>
    </cfRule>
  </conditionalFormatting>
  <conditionalFormatting sqref="E23:E26">
    <cfRule type="cellIs" dxfId="3893" priority="4" operator="equal">
      <formula>"NO"</formula>
    </cfRule>
    <cfRule type="cellIs" dxfId="3892" priority="5" operator="equal">
      <formula>"YES"</formula>
    </cfRule>
  </conditionalFormatting>
  <conditionalFormatting sqref="E29">
    <cfRule type="cellIs" dxfId="3891" priority="1" operator="between">
      <formula>10%</formula>
      <formula>12%</formula>
    </cfRule>
    <cfRule type="cellIs" dxfId="3890" priority="2" operator="lessThan">
      <formula>0.1</formula>
    </cfRule>
    <cfRule type="cellIs" dxfId="3889" priority="3" operator="greaterThan">
      <formula>0.12</formula>
    </cfRule>
  </conditionalFormatting>
  <conditionalFormatting sqref="E28">
    <cfRule type="cellIs" dxfId="3888" priority="6" operator="lessThan">
      <formula>$B$8*100</formula>
    </cfRule>
    <cfRule type="cellIs" dxfId="3887" priority="7" operator="greaterThan">
      <formula>$B$8*100</formula>
    </cfRule>
  </conditionalFormatting>
  <hyperlinks>
    <hyperlink ref="A32" r:id="rId1" display="https://www.zillow.com/homes/recently_sold/" xr:uid="{2A1BA062-33F0-4639-94CC-086E5E323B9C}"/>
    <hyperlink ref="A21" r:id="rId2" xr:uid="{9D9425E7-D561-40DF-B645-11C51DE2A125}"/>
    <hyperlink ref="A25" r:id="rId3" display="www.mortgagecalculator.org" xr:uid="{F273E248-E485-4272-812B-BE097A147311}"/>
    <hyperlink ref="A12" r:id="rId4" xr:uid="{30F8FA21-49C4-4662-8CEA-F3329EB7486D}"/>
  </hyperlinks>
  <pageMargins left="0.7" right="0.7" top="0.75" bottom="0.75" header="0.3" footer="0.3"/>
  <legacyDrawing r:id="rId5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ABB14-6FD6-418C-B494-A9017EB4B2CC}">
  <sheetPr codeName="Sheet127">
    <tabColor rgb="FFFF0000"/>
  </sheetPr>
  <dimension ref="A1:P42"/>
  <sheetViews>
    <sheetView topLeftCell="A12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98000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2339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83300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58475</v>
      </c>
      <c r="D15" s="2"/>
      <c r="E15" s="3"/>
    </row>
    <row r="16" spans="1:10" x14ac:dyDescent="0.25">
      <c r="A16" s="7" t="s">
        <v>20</v>
      </c>
      <c r="B16" s="17">
        <f>B15+B13</f>
        <v>141775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4962.1250000000009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136812.875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773*2</f>
        <v>1546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1417.75</v>
      </c>
      <c r="D22" s="7" t="s">
        <v>77</v>
      </c>
      <c r="E22" s="17">
        <f>B16*0.01</f>
        <v>1417.75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1016.74</v>
      </c>
      <c r="D25" s="7" t="s">
        <v>38</v>
      </c>
      <c r="E25" s="35">
        <f>B25</f>
        <v>1016.74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1543.24</v>
      </c>
      <c r="D26" s="7" t="s">
        <v>41</v>
      </c>
      <c r="E26" s="17">
        <f>E25+I25+I34</f>
        <v>1543.24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2.7599999999999909</v>
      </c>
      <c r="D28" s="7" t="s">
        <v>43</v>
      </c>
      <c r="E28" s="44">
        <f>E21-E25-I25-I34+I24+I33</f>
        <v>-198.64000000000004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6.6745597904123502E-3</v>
      </c>
      <c r="D29" s="46" t="s">
        <v>44</v>
      </c>
      <c r="E29" s="47">
        <f>(E28*12)/B17</f>
        <v>-0.48037483940851949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77.300000000000011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77.300000000000011</v>
      </c>
    </row>
    <row r="32" spans="1:16" x14ac:dyDescent="0.25">
      <c r="A32" s="26" t="s">
        <v>49</v>
      </c>
      <c r="B32" s="8">
        <f>B16</f>
        <v>141775</v>
      </c>
      <c r="G32" s="27" t="s">
        <v>50</v>
      </c>
      <c r="H32" s="48">
        <v>0.05</v>
      </c>
      <c r="I32" s="49">
        <f>$B$21*H32</f>
        <v>77.300000000000011</v>
      </c>
    </row>
    <row r="33" spans="1:9" x14ac:dyDescent="0.25">
      <c r="A33" s="7" t="s">
        <v>51</v>
      </c>
      <c r="B33" s="17">
        <f>B32-B18</f>
        <v>4962.125</v>
      </c>
      <c r="G33" s="27" t="s">
        <v>52</v>
      </c>
      <c r="H33" s="48">
        <v>0.1</v>
      </c>
      <c r="I33" s="49">
        <f>$B$21*H33</f>
        <v>154.60000000000002</v>
      </c>
    </row>
    <row r="34" spans="1:9" ht="15.75" thickBot="1" x14ac:dyDescent="0.3">
      <c r="A34" s="7" t="s">
        <v>53</v>
      </c>
      <c r="B34" s="50">
        <f>B33/B17</f>
        <v>0.99999999999999978</v>
      </c>
      <c r="G34" s="36" t="s">
        <v>39</v>
      </c>
      <c r="H34" s="37"/>
      <c r="I34" s="51">
        <f>SUM(I30:I33)</f>
        <v>386.50000000000006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96.909119791666683</v>
      </c>
      <c r="D39" s="58"/>
      <c r="E39" s="61"/>
    </row>
    <row r="40" spans="1:9" x14ac:dyDescent="0.25">
      <c r="A40" s="7" t="s">
        <v>58</v>
      </c>
      <c r="B40" s="17">
        <f>B25-B39</f>
        <v>919.83088020833338</v>
      </c>
      <c r="D40" s="58"/>
      <c r="E40" s="61"/>
    </row>
    <row r="41" spans="1:9" x14ac:dyDescent="0.25">
      <c r="A41" s="7" t="s">
        <v>59</v>
      </c>
      <c r="B41" s="43">
        <f>B21-B40-I25-I34</f>
        <v>99.66911979166656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0.24103170264755494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886" priority="28" operator="equal">
      <formula>"NO"</formula>
    </cfRule>
    <cfRule type="cellIs" dxfId="3885" priority="29" operator="equal">
      <formula>"YES"</formula>
    </cfRule>
  </conditionalFormatting>
  <conditionalFormatting sqref="E38">
    <cfRule type="cellIs" dxfId="3884" priority="26" operator="equal">
      <formula>"YES"</formula>
    </cfRule>
    <cfRule type="cellIs" dxfId="3883" priority="27" operator="equal">
      <formula>"NO"</formula>
    </cfRule>
  </conditionalFormatting>
  <conditionalFormatting sqref="B23">
    <cfRule type="cellIs" dxfId="3882" priority="24" operator="equal">
      <formula>"NO"</formula>
    </cfRule>
    <cfRule type="cellIs" dxfId="3881" priority="25" operator="equal">
      <formula>"YES"</formula>
    </cfRule>
  </conditionalFormatting>
  <conditionalFormatting sqref="B12">
    <cfRule type="containsText" dxfId="3880" priority="10" operator="containsText" text="Low">
      <formula>NOT(ISERROR(SEARCH("Low",B12)))</formula>
    </cfRule>
    <cfRule type="containsText" dxfId="3879" priority="11" operator="containsText" text="Medium">
      <formula>NOT(ISERROR(SEARCH("Medium",B12)))</formula>
    </cfRule>
    <cfRule type="containsText" dxfId="3878" priority="12" operator="containsText" text="High">
      <formula>NOT(ISERROR(SEARCH("High",B12)))</formula>
    </cfRule>
  </conditionalFormatting>
  <conditionalFormatting sqref="B29">
    <cfRule type="cellIs" dxfId="3877" priority="20" operator="between">
      <formula>10%</formula>
      <formula>11.9%</formula>
    </cfRule>
    <cfRule type="cellIs" dxfId="3876" priority="22" operator="lessThan">
      <formula>0.1</formula>
    </cfRule>
    <cfRule type="cellIs" dxfId="3875" priority="23" operator="greaterThanOrEqual">
      <formula>0.12</formula>
    </cfRule>
  </conditionalFormatting>
  <conditionalFormatting sqref="B42">
    <cfRule type="cellIs" dxfId="3874" priority="18" operator="between">
      <formula>0.1</formula>
      <formula>0.1199</formula>
    </cfRule>
    <cfRule type="cellIs" dxfId="3873" priority="19" operator="lessThan">
      <formula>0.1</formula>
    </cfRule>
    <cfRule type="cellIs" dxfId="3872" priority="21" operator="greaterThanOrEqual">
      <formula>0.12</formula>
    </cfRule>
  </conditionalFormatting>
  <conditionalFormatting sqref="B10">
    <cfRule type="containsText" dxfId="3871" priority="13" operator="containsText" text="Full">
      <formula>NOT(ISERROR(SEARCH("Full",B10)))</formula>
    </cfRule>
    <cfRule type="containsText" dxfId="3870" priority="14" operator="containsText" text="Heavy">
      <formula>NOT(ISERROR(SEARCH("Heavy",B10)))</formula>
    </cfRule>
    <cfRule type="containsText" dxfId="3869" priority="15" operator="containsText" text="Medium">
      <formula>NOT(ISERROR(SEARCH("Medium",B10)))</formula>
    </cfRule>
    <cfRule type="containsText" dxfId="3868" priority="16" operator="containsText" text="Light">
      <formula>NOT(ISERROR(SEARCH("Light",B10)))</formula>
    </cfRule>
    <cfRule type="containsText" dxfId="3867" priority="17" operator="containsText" text="None">
      <formula>NOT(ISERROR(SEARCH("None",B10)))</formula>
    </cfRule>
  </conditionalFormatting>
  <conditionalFormatting sqref="B28">
    <cfRule type="cellIs" dxfId="3866" priority="30" operator="lessThan">
      <formula>$B$8*100</formula>
    </cfRule>
    <cfRule type="cellIs" dxfId="3865" priority="31" operator="greaterThanOrEqual">
      <formula>$B$8*100</formula>
    </cfRule>
  </conditionalFormatting>
  <conditionalFormatting sqref="B41">
    <cfRule type="cellIs" dxfId="3864" priority="32" operator="lessThan">
      <formula>$B$8*100</formula>
    </cfRule>
    <cfRule type="cellIs" dxfId="3863" priority="33" operator="greaterThan">
      <formula>$B$8*100</formula>
    </cfRule>
    <cfRule type="cellIs" dxfId="3862" priority="34" operator="greaterThan">
      <formula>$B$8*100</formula>
    </cfRule>
  </conditionalFormatting>
  <conditionalFormatting sqref="B38">
    <cfRule type="cellIs" dxfId="3861" priority="8" operator="equal">
      <formula>"YES"</formula>
    </cfRule>
    <cfRule type="cellIs" dxfId="3860" priority="9" operator="equal">
      <formula>"NO"</formula>
    </cfRule>
  </conditionalFormatting>
  <conditionalFormatting sqref="E23:E26">
    <cfRule type="cellIs" dxfId="3859" priority="4" operator="equal">
      <formula>"NO"</formula>
    </cfRule>
    <cfRule type="cellIs" dxfId="3858" priority="5" operator="equal">
      <formula>"YES"</formula>
    </cfRule>
  </conditionalFormatting>
  <conditionalFormatting sqref="E29">
    <cfRule type="cellIs" dxfId="3857" priority="1" operator="between">
      <formula>10%</formula>
      <formula>12%</formula>
    </cfRule>
    <cfRule type="cellIs" dxfId="3856" priority="2" operator="lessThan">
      <formula>0.1</formula>
    </cfRule>
    <cfRule type="cellIs" dxfId="3855" priority="3" operator="greaterThan">
      <formula>0.12</formula>
    </cfRule>
  </conditionalFormatting>
  <conditionalFormatting sqref="E28">
    <cfRule type="cellIs" dxfId="3854" priority="6" operator="lessThan">
      <formula>$B$8*100</formula>
    </cfRule>
    <cfRule type="cellIs" dxfId="3853" priority="7" operator="greaterThan">
      <formula>$B$8*100</formula>
    </cfRule>
  </conditionalFormatting>
  <hyperlinks>
    <hyperlink ref="A32" r:id="rId1" display="https://www.zillow.com/homes/recently_sold/" xr:uid="{CF0F1163-158A-4CEF-AA2D-D8FFB9439992}"/>
    <hyperlink ref="A21" r:id="rId2" xr:uid="{0D9AA6CA-4ED4-467D-8D45-0A2A10F07AB4}"/>
    <hyperlink ref="A25" r:id="rId3" display="www.mortgagecalculator.org" xr:uid="{3E5179A3-5D0C-41D2-AEA3-AFCD9920E015}"/>
    <hyperlink ref="A12" r:id="rId4" xr:uid="{B9FC4400-39C7-405C-9C6B-A48D104E0079}"/>
  </hyperlinks>
  <pageMargins left="0.7" right="0.7" top="0.75" bottom="0.75" header="0.3" footer="0.3"/>
  <legacyDrawing r:id="rId5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95826-CBCD-460A-870F-6F767B132EA6}">
  <sheetPr codeName="Sheet128">
    <tabColor rgb="FF00B050"/>
  </sheetPr>
  <dimension ref="A1:P42"/>
  <sheetViews>
    <sheetView workbookViewId="0">
      <selection activeCell="B15" sqref="B1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73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131750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31500</v>
      </c>
      <c r="D15" s="2"/>
      <c r="E15" s="3"/>
    </row>
    <row r="16" spans="1:10" x14ac:dyDescent="0.25">
      <c r="A16" s="7" t="s">
        <v>20</v>
      </c>
      <c r="B16" s="17">
        <f>B15+B13</f>
        <v>163250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5713.7500000000009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157536.25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1050*2</f>
        <v>2100</v>
      </c>
      <c r="D21" s="23" t="s">
        <v>28</v>
      </c>
      <c r="E21" s="8">
        <f>1050*2*5/6</f>
        <v>1750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1632.5</v>
      </c>
      <c r="D22" s="7" t="s">
        <v>77</v>
      </c>
      <c r="E22" s="17">
        <f>B16*0.01</f>
        <v>1632.5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1238.69</v>
      </c>
      <c r="D25" s="7" t="s">
        <v>38</v>
      </c>
      <c r="E25" s="35">
        <f>B25</f>
        <v>1238.69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1903.69</v>
      </c>
      <c r="D26" s="7" t="s">
        <v>41</v>
      </c>
      <c r="E26" s="17">
        <f>E25+I25+I34</f>
        <v>1903.69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196.30999999999995</v>
      </c>
      <c r="D28" s="7" t="s">
        <v>43</v>
      </c>
      <c r="E28" s="44">
        <f>E21-E25-I25-I34+I24+I33</f>
        <v>196.30999999999995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0.41228965215488933</v>
      </c>
      <c r="D29" s="46" t="s">
        <v>44</v>
      </c>
      <c r="E29" s="47">
        <f>(E28*12)/B17</f>
        <v>0.41228965215488933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105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105</v>
      </c>
    </row>
    <row r="32" spans="1:16" x14ac:dyDescent="0.25">
      <c r="A32" s="26" t="s">
        <v>49</v>
      </c>
      <c r="B32" s="8">
        <f>B16</f>
        <v>163250</v>
      </c>
      <c r="G32" s="27" t="s">
        <v>50</v>
      </c>
      <c r="H32" s="48">
        <v>0.05</v>
      </c>
      <c r="I32" s="49">
        <f>$B$21*H32</f>
        <v>105</v>
      </c>
    </row>
    <row r="33" spans="1:9" x14ac:dyDescent="0.25">
      <c r="A33" s="7" t="s">
        <v>51</v>
      </c>
      <c r="B33" s="17">
        <f>B32-B18</f>
        <v>5713.75</v>
      </c>
      <c r="G33" s="27" t="s">
        <v>52</v>
      </c>
      <c r="H33" s="48">
        <v>0.1</v>
      </c>
      <c r="I33" s="49">
        <f>$B$21*H33</f>
        <v>210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525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111.58817708333333</v>
      </c>
      <c r="D39" s="58"/>
      <c r="E39" s="61"/>
    </row>
    <row r="40" spans="1:9" x14ac:dyDescent="0.25">
      <c r="A40" s="7" t="s">
        <v>58</v>
      </c>
      <c r="B40" s="17">
        <f>B25-B39</f>
        <v>1127.1018229166666</v>
      </c>
      <c r="D40" s="58"/>
      <c r="E40" s="61"/>
    </row>
    <row r="41" spans="1:9" x14ac:dyDescent="0.25">
      <c r="A41" s="7" t="s">
        <v>59</v>
      </c>
      <c r="B41" s="43">
        <f>B21-B40-I25-I34</f>
        <v>307.89817708333339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0.64664679501203237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852" priority="28" operator="equal">
      <formula>"NO"</formula>
    </cfRule>
    <cfRule type="cellIs" dxfId="3851" priority="29" operator="equal">
      <formula>"YES"</formula>
    </cfRule>
  </conditionalFormatting>
  <conditionalFormatting sqref="E38">
    <cfRule type="cellIs" dxfId="3850" priority="26" operator="equal">
      <formula>"YES"</formula>
    </cfRule>
    <cfRule type="cellIs" dxfId="3849" priority="27" operator="equal">
      <formula>"NO"</formula>
    </cfRule>
  </conditionalFormatting>
  <conditionalFormatting sqref="B23">
    <cfRule type="cellIs" dxfId="3848" priority="24" operator="equal">
      <formula>"NO"</formula>
    </cfRule>
    <cfRule type="cellIs" dxfId="3847" priority="25" operator="equal">
      <formula>"YES"</formula>
    </cfRule>
  </conditionalFormatting>
  <conditionalFormatting sqref="B12">
    <cfRule type="containsText" dxfId="3846" priority="10" operator="containsText" text="Low">
      <formula>NOT(ISERROR(SEARCH("Low",B12)))</formula>
    </cfRule>
    <cfRule type="containsText" dxfId="3845" priority="11" operator="containsText" text="Medium">
      <formula>NOT(ISERROR(SEARCH("Medium",B12)))</formula>
    </cfRule>
    <cfRule type="containsText" dxfId="3844" priority="12" operator="containsText" text="High">
      <formula>NOT(ISERROR(SEARCH("High",B12)))</formula>
    </cfRule>
  </conditionalFormatting>
  <conditionalFormatting sqref="B29">
    <cfRule type="cellIs" dxfId="3843" priority="20" operator="between">
      <formula>10%</formula>
      <formula>11.9%</formula>
    </cfRule>
    <cfRule type="cellIs" dxfId="3842" priority="22" operator="lessThan">
      <formula>0.1</formula>
    </cfRule>
    <cfRule type="cellIs" dxfId="3841" priority="23" operator="greaterThanOrEqual">
      <formula>0.12</formula>
    </cfRule>
  </conditionalFormatting>
  <conditionalFormatting sqref="B42">
    <cfRule type="cellIs" dxfId="3840" priority="18" operator="between">
      <formula>0.1</formula>
      <formula>0.1199</formula>
    </cfRule>
    <cfRule type="cellIs" dxfId="3839" priority="19" operator="lessThan">
      <formula>0.1</formula>
    </cfRule>
    <cfRule type="cellIs" dxfId="3838" priority="21" operator="greaterThanOrEqual">
      <formula>0.12</formula>
    </cfRule>
  </conditionalFormatting>
  <conditionalFormatting sqref="B10">
    <cfRule type="containsText" dxfId="3837" priority="13" operator="containsText" text="Full">
      <formula>NOT(ISERROR(SEARCH("Full",B10)))</formula>
    </cfRule>
    <cfRule type="containsText" dxfId="3836" priority="14" operator="containsText" text="Heavy">
      <formula>NOT(ISERROR(SEARCH("Heavy",B10)))</formula>
    </cfRule>
    <cfRule type="containsText" dxfId="3835" priority="15" operator="containsText" text="Medium">
      <formula>NOT(ISERROR(SEARCH("Medium",B10)))</formula>
    </cfRule>
    <cfRule type="containsText" dxfId="3834" priority="16" operator="containsText" text="Light">
      <formula>NOT(ISERROR(SEARCH("Light",B10)))</formula>
    </cfRule>
    <cfRule type="containsText" dxfId="3833" priority="17" operator="containsText" text="None">
      <formula>NOT(ISERROR(SEARCH("None",B10)))</formula>
    </cfRule>
  </conditionalFormatting>
  <conditionalFormatting sqref="B28">
    <cfRule type="cellIs" dxfId="3832" priority="30" operator="lessThan">
      <formula>$B$8*100</formula>
    </cfRule>
    <cfRule type="cellIs" dxfId="3831" priority="31" operator="greaterThanOrEqual">
      <formula>$B$8*100</formula>
    </cfRule>
  </conditionalFormatting>
  <conditionalFormatting sqref="B41">
    <cfRule type="cellIs" dxfId="3830" priority="32" operator="lessThan">
      <formula>$B$8*100</formula>
    </cfRule>
    <cfRule type="cellIs" dxfId="3829" priority="33" operator="greaterThan">
      <formula>$B$8*100</formula>
    </cfRule>
    <cfRule type="cellIs" dxfId="3828" priority="34" operator="greaterThan">
      <formula>$B$8*100</formula>
    </cfRule>
  </conditionalFormatting>
  <conditionalFormatting sqref="B38">
    <cfRule type="cellIs" dxfId="3827" priority="8" operator="equal">
      <formula>"YES"</formula>
    </cfRule>
    <cfRule type="cellIs" dxfId="3826" priority="9" operator="equal">
      <formula>"NO"</formula>
    </cfRule>
  </conditionalFormatting>
  <conditionalFormatting sqref="E23:E26">
    <cfRule type="cellIs" dxfId="3825" priority="4" operator="equal">
      <formula>"NO"</formula>
    </cfRule>
    <cfRule type="cellIs" dxfId="3824" priority="5" operator="equal">
      <formula>"YES"</formula>
    </cfRule>
  </conditionalFormatting>
  <conditionalFormatting sqref="E29">
    <cfRule type="cellIs" dxfId="3823" priority="1" operator="between">
      <formula>10%</formula>
      <formula>12%</formula>
    </cfRule>
    <cfRule type="cellIs" dxfId="3822" priority="2" operator="lessThan">
      <formula>0.1</formula>
    </cfRule>
    <cfRule type="cellIs" dxfId="3821" priority="3" operator="greaterThan">
      <formula>0.12</formula>
    </cfRule>
  </conditionalFormatting>
  <conditionalFormatting sqref="E28">
    <cfRule type="cellIs" dxfId="3820" priority="6" operator="lessThan">
      <formula>$B$8*100</formula>
    </cfRule>
    <cfRule type="cellIs" dxfId="3819" priority="7" operator="greaterThan">
      <formula>$B$8*100</formula>
    </cfRule>
  </conditionalFormatting>
  <hyperlinks>
    <hyperlink ref="A32" r:id="rId1" display="https://www.zillow.com/homes/recently_sold/" xr:uid="{812B5B83-95C9-4541-8911-F7FC48756188}"/>
    <hyperlink ref="A21" r:id="rId2" xr:uid="{00E64C21-5B35-43A7-90F0-F8CE64143A2D}"/>
    <hyperlink ref="A25" r:id="rId3" display="www.mortgagecalculator.org" xr:uid="{573C7D19-554E-49E3-BF82-E013CF3D2CC5}"/>
    <hyperlink ref="A12" r:id="rId4" xr:uid="{E6A1BE87-C1F5-4AAA-9F29-E6527CFA3419}"/>
  </hyperlinks>
  <pageMargins left="0.7" right="0.7" top="0.75" bottom="0.75" header="0.3" footer="0.3"/>
  <legacyDrawing r:id="rId5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8335A-6CAB-4421-8225-E348CA060380}">
  <sheetPr codeName="Sheet129">
    <tabColor rgb="FFFF0000"/>
  </sheetPr>
  <dimension ref="A1:P42"/>
  <sheetViews>
    <sheetView topLeftCell="E14" workbookViewId="0">
      <selection activeCell="I34" sqref="I3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2744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118915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5945.75</v>
      </c>
      <c r="D17" s="19"/>
      <c r="E17" s="20"/>
      <c r="P17" s="21"/>
    </row>
    <row r="18" spans="1:16" x14ac:dyDescent="0.25">
      <c r="A18" s="7" t="s">
        <v>23</v>
      </c>
      <c r="B18" s="17">
        <f>B16-B17</f>
        <v>112969.25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779*2</f>
        <v>1558</v>
      </c>
      <c r="D21" s="23" t="s">
        <v>28</v>
      </c>
      <c r="E21" s="8">
        <f>779*2*3/4</f>
        <v>1168.5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1189.1500000000001</v>
      </c>
      <c r="D22" s="7" t="s">
        <v>77</v>
      </c>
      <c r="E22" s="17">
        <f>B16*0.01</f>
        <v>1189.1500000000001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998.98</v>
      </c>
      <c r="D25" s="7" t="s">
        <v>38</v>
      </c>
      <c r="E25" s="35">
        <f>B25</f>
        <v>998.98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1528.48</v>
      </c>
      <c r="D26" s="7" t="s">
        <v>41</v>
      </c>
      <c r="E26" s="17">
        <f>E25+I25+I34</f>
        <v>1528.48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29.519999999999982</v>
      </c>
      <c r="D28" s="7" t="s">
        <v>43</v>
      </c>
      <c r="E28" s="44">
        <f>E21-E25-I25-I34+I24+I33</f>
        <v>-64.180000000000007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5.957869066139676E-2</v>
      </c>
      <c r="D29" s="46" t="s">
        <v>44</v>
      </c>
      <c r="E29" s="47">
        <f>(E28*12)/B17</f>
        <v>-0.12953117773199346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77.900000000000006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77.900000000000006</v>
      </c>
    </row>
    <row r="32" spans="1:16" x14ac:dyDescent="0.25">
      <c r="A32" s="26" t="s">
        <v>49</v>
      </c>
      <c r="B32" s="8">
        <f>B16</f>
        <v>118915</v>
      </c>
      <c r="G32" s="27" t="s">
        <v>50</v>
      </c>
      <c r="H32" s="48">
        <v>0.05</v>
      </c>
      <c r="I32" s="49">
        <f>$B$21*H32</f>
        <v>77.900000000000006</v>
      </c>
    </row>
    <row r="33" spans="1:9" x14ac:dyDescent="0.25">
      <c r="A33" s="7" t="s">
        <v>51</v>
      </c>
      <c r="B33" s="17">
        <f>B32-B18</f>
        <v>5945.75</v>
      </c>
      <c r="G33" s="27" t="s">
        <v>52</v>
      </c>
      <c r="H33" s="48">
        <v>0.1</v>
      </c>
      <c r="I33" s="49">
        <f>$B$21*H33</f>
        <v>155.80000000000001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389.5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80.019885416666668</v>
      </c>
      <c r="D39" s="58"/>
      <c r="E39" s="61"/>
    </row>
    <row r="40" spans="1:9" x14ac:dyDescent="0.25">
      <c r="A40" s="7" t="s">
        <v>58</v>
      </c>
      <c r="B40" s="17">
        <f>B25-B39</f>
        <v>918.96011458333339</v>
      </c>
      <c r="D40" s="58"/>
      <c r="E40" s="61"/>
    </row>
    <row r="41" spans="1:9" x14ac:dyDescent="0.25">
      <c r="A41" s="7" t="s">
        <v>59</v>
      </c>
      <c r="B41" s="43">
        <f>B21-B40-I25-I34</f>
        <v>109.53988541666661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0.22107869066139668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818" priority="28" operator="equal">
      <formula>"NO"</formula>
    </cfRule>
    <cfRule type="cellIs" dxfId="3817" priority="29" operator="equal">
      <formula>"YES"</formula>
    </cfRule>
  </conditionalFormatting>
  <conditionalFormatting sqref="E38">
    <cfRule type="cellIs" dxfId="3816" priority="26" operator="equal">
      <formula>"YES"</formula>
    </cfRule>
    <cfRule type="cellIs" dxfId="3815" priority="27" operator="equal">
      <formula>"NO"</formula>
    </cfRule>
  </conditionalFormatting>
  <conditionalFormatting sqref="B23">
    <cfRule type="cellIs" dxfId="3814" priority="24" operator="equal">
      <formula>"NO"</formula>
    </cfRule>
    <cfRule type="cellIs" dxfId="3813" priority="25" operator="equal">
      <formula>"YES"</formula>
    </cfRule>
  </conditionalFormatting>
  <conditionalFormatting sqref="B12">
    <cfRule type="containsText" dxfId="3812" priority="10" operator="containsText" text="Low">
      <formula>NOT(ISERROR(SEARCH("Low",B12)))</formula>
    </cfRule>
    <cfRule type="containsText" dxfId="3811" priority="11" operator="containsText" text="Medium">
      <formula>NOT(ISERROR(SEARCH("Medium",B12)))</formula>
    </cfRule>
    <cfRule type="containsText" dxfId="3810" priority="12" operator="containsText" text="High">
      <formula>NOT(ISERROR(SEARCH("High",B12)))</formula>
    </cfRule>
  </conditionalFormatting>
  <conditionalFormatting sqref="B29">
    <cfRule type="cellIs" dxfId="3809" priority="20" operator="between">
      <formula>10%</formula>
      <formula>11.9%</formula>
    </cfRule>
    <cfRule type="cellIs" dxfId="3808" priority="22" operator="lessThan">
      <formula>0.1</formula>
    </cfRule>
    <cfRule type="cellIs" dxfId="3807" priority="23" operator="greaterThanOrEqual">
      <formula>0.12</formula>
    </cfRule>
  </conditionalFormatting>
  <conditionalFormatting sqref="B42">
    <cfRule type="cellIs" dxfId="3806" priority="18" operator="between">
      <formula>0.1</formula>
      <formula>0.1199</formula>
    </cfRule>
    <cfRule type="cellIs" dxfId="3805" priority="19" operator="lessThan">
      <formula>0.1</formula>
    </cfRule>
    <cfRule type="cellIs" dxfId="3804" priority="21" operator="greaterThanOrEqual">
      <formula>0.12</formula>
    </cfRule>
  </conditionalFormatting>
  <conditionalFormatting sqref="B10">
    <cfRule type="containsText" dxfId="3803" priority="13" operator="containsText" text="Full">
      <formula>NOT(ISERROR(SEARCH("Full",B10)))</formula>
    </cfRule>
    <cfRule type="containsText" dxfId="3802" priority="14" operator="containsText" text="Heavy">
      <formula>NOT(ISERROR(SEARCH("Heavy",B10)))</formula>
    </cfRule>
    <cfRule type="containsText" dxfId="3801" priority="15" operator="containsText" text="Medium">
      <formula>NOT(ISERROR(SEARCH("Medium",B10)))</formula>
    </cfRule>
    <cfRule type="containsText" dxfId="3800" priority="16" operator="containsText" text="Light">
      <formula>NOT(ISERROR(SEARCH("Light",B10)))</formula>
    </cfRule>
    <cfRule type="containsText" dxfId="3799" priority="17" operator="containsText" text="None">
      <formula>NOT(ISERROR(SEARCH("None",B10)))</formula>
    </cfRule>
  </conditionalFormatting>
  <conditionalFormatting sqref="B28">
    <cfRule type="cellIs" dxfId="3798" priority="30" operator="lessThan">
      <formula>$B$8*100</formula>
    </cfRule>
    <cfRule type="cellIs" dxfId="3797" priority="31" operator="greaterThanOrEqual">
      <formula>$B$8*100</formula>
    </cfRule>
  </conditionalFormatting>
  <conditionalFormatting sqref="B41">
    <cfRule type="cellIs" dxfId="3796" priority="32" operator="lessThan">
      <formula>$B$8*100</formula>
    </cfRule>
    <cfRule type="cellIs" dxfId="3795" priority="33" operator="greaterThan">
      <formula>$B$8*100</formula>
    </cfRule>
    <cfRule type="cellIs" dxfId="3794" priority="34" operator="greaterThan">
      <formula>$B$8*100</formula>
    </cfRule>
  </conditionalFormatting>
  <conditionalFormatting sqref="B38">
    <cfRule type="cellIs" dxfId="3793" priority="8" operator="equal">
      <formula>"YES"</formula>
    </cfRule>
    <cfRule type="cellIs" dxfId="3792" priority="9" operator="equal">
      <formula>"NO"</formula>
    </cfRule>
  </conditionalFormatting>
  <conditionalFormatting sqref="E23:E26">
    <cfRule type="cellIs" dxfId="3791" priority="4" operator="equal">
      <formula>"NO"</formula>
    </cfRule>
    <cfRule type="cellIs" dxfId="3790" priority="5" operator="equal">
      <formula>"YES"</formula>
    </cfRule>
  </conditionalFormatting>
  <conditionalFormatting sqref="E29">
    <cfRule type="cellIs" dxfId="3789" priority="1" operator="between">
      <formula>10%</formula>
      <formula>12%</formula>
    </cfRule>
    <cfRule type="cellIs" dxfId="3788" priority="2" operator="lessThan">
      <formula>0.1</formula>
    </cfRule>
    <cfRule type="cellIs" dxfId="3787" priority="3" operator="greaterThan">
      <formula>0.12</formula>
    </cfRule>
  </conditionalFormatting>
  <conditionalFormatting sqref="E28">
    <cfRule type="cellIs" dxfId="3786" priority="6" operator="lessThan">
      <formula>$B$8*100</formula>
    </cfRule>
    <cfRule type="cellIs" dxfId="3785" priority="7" operator="greaterThan">
      <formula>$B$8*100</formula>
    </cfRule>
  </conditionalFormatting>
  <hyperlinks>
    <hyperlink ref="A32" r:id="rId1" display="https://www.zillow.com/homes/recently_sold/" xr:uid="{DD856CB8-0E30-429F-8E4E-8449C21DA2B2}"/>
    <hyperlink ref="A21" r:id="rId2" xr:uid="{A50D69E3-F8B2-4FBA-BBB2-96F4925017DF}"/>
    <hyperlink ref="A25" r:id="rId3" display="www.mortgagecalculator.org" xr:uid="{461E53B8-C70D-4832-9236-0372937DABD2}"/>
    <hyperlink ref="A12" r:id="rId4" xr:uid="{6F50C7E4-BA12-406C-8606-46621C11D6C8}"/>
  </hyperlinks>
  <pageMargins left="0.7" right="0.7" top="0.75" bottom="0.75" header="0.3" footer="0.3"/>
  <legacyDrawing r:id="rId5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36745-5096-4FD8-B0AB-C75D5B7E31F2}">
  <sheetPr codeName="Sheet130">
    <tabColor rgb="FFFF0000"/>
  </sheetPr>
  <dimension ref="A1:P42"/>
  <sheetViews>
    <sheetView topLeftCell="A12" workbookViewId="0">
      <selection activeCell="A33" sqref="A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1576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123250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123250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6162.5</v>
      </c>
      <c r="D17" s="19"/>
      <c r="E17" s="20"/>
      <c r="P17" s="21"/>
    </row>
    <row r="18" spans="1:16" x14ac:dyDescent="0.25">
      <c r="A18" s="7" t="s">
        <v>23</v>
      </c>
      <c r="B18" s="17">
        <f>B16-B17</f>
        <v>117087.5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801*2</f>
        <v>1602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1232.5</v>
      </c>
      <c r="D22" s="7" t="s">
        <v>77</v>
      </c>
      <c r="E22" s="17">
        <f>B16*0.01</f>
        <v>1232.5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1032.29</v>
      </c>
      <c r="D25" s="7" t="s">
        <v>38</v>
      </c>
      <c r="E25" s="35">
        <f>B25</f>
        <v>1032.29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1572.79</v>
      </c>
      <c r="D26" s="7" t="s">
        <v>41</v>
      </c>
      <c r="E26" s="17">
        <f>E25+I25+I34</f>
        <v>1572.79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29.210000000000036</v>
      </c>
      <c r="D28" s="7" t="s">
        <v>43</v>
      </c>
      <c r="E28" s="44">
        <f>E21-E25-I25-I34+I24+I33</f>
        <v>-222.58999999999995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5.687951318458425E-2</v>
      </c>
      <c r="D29" s="46" t="s">
        <v>44</v>
      </c>
      <c r="E29" s="47">
        <f>(E28*12)/B17</f>
        <v>-0.43344097363083156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80.100000000000009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80.100000000000009</v>
      </c>
    </row>
    <row r="32" spans="1:16" x14ac:dyDescent="0.25">
      <c r="A32" s="26" t="s">
        <v>49</v>
      </c>
      <c r="B32" s="8">
        <f>B16</f>
        <v>123250</v>
      </c>
      <c r="G32" s="27" t="s">
        <v>50</v>
      </c>
      <c r="H32" s="48">
        <v>0.05</v>
      </c>
      <c r="I32" s="49">
        <f>$B$21*H32</f>
        <v>80.100000000000009</v>
      </c>
    </row>
    <row r="33" spans="1:9" x14ac:dyDescent="0.25">
      <c r="A33" s="7" t="s">
        <v>51</v>
      </c>
      <c r="B33" s="17">
        <f>B32-B18</f>
        <v>6162.5</v>
      </c>
      <c r="G33" s="27" t="s">
        <v>52</v>
      </c>
      <c r="H33" s="48">
        <v>0.1</v>
      </c>
      <c r="I33" s="49">
        <f>$B$21*H33</f>
        <v>160.20000000000002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400.5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82.936979166666674</v>
      </c>
      <c r="D39" s="58"/>
      <c r="E39" s="61"/>
    </row>
    <row r="40" spans="1:9" x14ac:dyDescent="0.25">
      <c r="A40" s="7" t="s">
        <v>58</v>
      </c>
      <c r="B40" s="17">
        <f>B25-B39</f>
        <v>949.35302083333329</v>
      </c>
      <c r="D40" s="58"/>
      <c r="E40" s="61"/>
    </row>
    <row r="41" spans="1:9" x14ac:dyDescent="0.25">
      <c r="A41" s="7" t="s">
        <v>59</v>
      </c>
      <c r="B41" s="43">
        <f>B21-B40-I25-I34</f>
        <v>112.14697916666671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0.21837951318458426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784" priority="28" operator="equal">
      <formula>"NO"</formula>
    </cfRule>
    <cfRule type="cellIs" dxfId="3783" priority="29" operator="equal">
      <formula>"YES"</formula>
    </cfRule>
  </conditionalFormatting>
  <conditionalFormatting sqref="E38">
    <cfRule type="cellIs" dxfId="3782" priority="26" operator="equal">
      <formula>"YES"</formula>
    </cfRule>
    <cfRule type="cellIs" dxfId="3781" priority="27" operator="equal">
      <formula>"NO"</formula>
    </cfRule>
  </conditionalFormatting>
  <conditionalFormatting sqref="B23">
    <cfRule type="cellIs" dxfId="3780" priority="24" operator="equal">
      <formula>"NO"</formula>
    </cfRule>
    <cfRule type="cellIs" dxfId="3779" priority="25" operator="equal">
      <formula>"YES"</formula>
    </cfRule>
  </conditionalFormatting>
  <conditionalFormatting sqref="B12">
    <cfRule type="containsText" dxfId="3778" priority="10" operator="containsText" text="Low">
      <formula>NOT(ISERROR(SEARCH("Low",B12)))</formula>
    </cfRule>
    <cfRule type="containsText" dxfId="3777" priority="11" operator="containsText" text="Medium">
      <formula>NOT(ISERROR(SEARCH("Medium",B12)))</formula>
    </cfRule>
    <cfRule type="containsText" dxfId="3776" priority="12" operator="containsText" text="High">
      <formula>NOT(ISERROR(SEARCH("High",B12)))</formula>
    </cfRule>
  </conditionalFormatting>
  <conditionalFormatting sqref="B29">
    <cfRule type="cellIs" dxfId="3775" priority="20" operator="between">
      <formula>10%</formula>
      <formula>11.9%</formula>
    </cfRule>
    <cfRule type="cellIs" dxfId="3774" priority="22" operator="lessThan">
      <formula>0.1</formula>
    </cfRule>
    <cfRule type="cellIs" dxfId="3773" priority="23" operator="greaterThanOrEqual">
      <formula>0.12</formula>
    </cfRule>
  </conditionalFormatting>
  <conditionalFormatting sqref="B42">
    <cfRule type="cellIs" dxfId="3772" priority="18" operator="between">
      <formula>0.1</formula>
      <formula>0.1199</formula>
    </cfRule>
    <cfRule type="cellIs" dxfId="3771" priority="19" operator="lessThan">
      <formula>0.1</formula>
    </cfRule>
    <cfRule type="cellIs" dxfId="3770" priority="21" operator="greaterThanOrEqual">
      <formula>0.12</formula>
    </cfRule>
  </conditionalFormatting>
  <conditionalFormatting sqref="B10">
    <cfRule type="containsText" dxfId="3769" priority="13" operator="containsText" text="Full">
      <formula>NOT(ISERROR(SEARCH("Full",B10)))</formula>
    </cfRule>
    <cfRule type="containsText" dxfId="3768" priority="14" operator="containsText" text="Heavy">
      <formula>NOT(ISERROR(SEARCH("Heavy",B10)))</formula>
    </cfRule>
    <cfRule type="containsText" dxfId="3767" priority="15" operator="containsText" text="Medium">
      <formula>NOT(ISERROR(SEARCH("Medium",B10)))</formula>
    </cfRule>
    <cfRule type="containsText" dxfId="3766" priority="16" operator="containsText" text="Light">
      <formula>NOT(ISERROR(SEARCH("Light",B10)))</formula>
    </cfRule>
    <cfRule type="containsText" dxfId="3765" priority="17" operator="containsText" text="None">
      <formula>NOT(ISERROR(SEARCH("None",B10)))</formula>
    </cfRule>
  </conditionalFormatting>
  <conditionalFormatting sqref="B28">
    <cfRule type="cellIs" dxfId="3764" priority="30" operator="lessThan">
      <formula>$B$8*100</formula>
    </cfRule>
    <cfRule type="cellIs" dxfId="3763" priority="31" operator="greaterThanOrEqual">
      <formula>$B$8*100</formula>
    </cfRule>
  </conditionalFormatting>
  <conditionalFormatting sqref="B41">
    <cfRule type="cellIs" dxfId="3762" priority="32" operator="lessThan">
      <formula>$B$8*100</formula>
    </cfRule>
    <cfRule type="cellIs" dxfId="3761" priority="33" operator="greaterThan">
      <formula>$B$8*100</formula>
    </cfRule>
    <cfRule type="cellIs" dxfId="3760" priority="34" operator="greaterThan">
      <formula>$B$8*100</formula>
    </cfRule>
  </conditionalFormatting>
  <conditionalFormatting sqref="B38">
    <cfRule type="cellIs" dxfId="3759" priority="8" operator="equal">
      <formula>"YES"</formula>
    </cfRule>
    <cfRule type="cellIs" dxfId="3758" priority="9" operator="equal">
      <formula>"NO"</formula>
    </cfRule>
  </conditionalFormatting>
  <conditionalFormatting sqref="E23:E26">
    <cfRule type="cellIs" dxfId="3757" priority="4" operator="equal">
      <formula>"NO"</formula>
    </cfRule>
    <cfRule type="cellIs" dxfId="3756" priority="5" operator="equal">
      <formula>"YES"</formula>
    </cfRule>
  </conditionalFormatting>
  <conditionalFormatting sqref="E29">
    <cfRule type="cellIs" dxfId="3755" priority="1" operator="between">
      <formula>10%</formula>
      <formula>12%</formula>
    </cfRule>
    <cfRule type="cellIs" dxfId="3754" priority="2" operator="lessThan">
      <formula>0.1</formula>
    </cfRule>
    <cfRule type="cellIs" dxfId="3753" priority="3" operator="greaterThan">
      <formula>0.12</formula>
    </cfRule>
  </conditionalFormatting>
  <conditionalFormatting sqref="E28">
    <cfRule type="cellIs" dxfId="3752" priority="6" operator="lessThan">
      <formula>$B$8*100</formula>
    </cfRule>
    <cfRule type="cellIs" dxfId="3751" priority="7" operator="greaterThan">
      <formula>$B$8*100</formula>
    </cfRule>
  </conditionalFormatting>
  <hyperlinks>
    <hyperlink ref="A32" r:id="rId1" display="https://www.zillow.com/homes/recently_sold/" xr:uid="{1B6D74F4-EF42-464E-B31C-5179A61EF64A}"/>
    <hyperlink ref="A21" r:id="rId2" xr:uid="{A10648BA-15D8-4B98-862B-CD6B080507EA}"/>
    <hyperlink ref="A25" r:id="rId3" display="www.mortgagecalculator.org" xr:uid="{67967055-982C-4B27-BE01-C1930B94EE1A}"/>
    <hyperlink ref="A12" r:id="rId4" xr:uid="{D4FD4B7D-14C1-49BD-92E6-6F8231380F1B}"/>
  </hyperlinks>
  <pageMargins left="0.7" right="0.7" top="0.75" bottom="0.75" header="0.3" footer="0.3"/>
  <legacyDrawing r:id="rId5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E4D79-0B9A-4C41-9F62-11B68AEC94CF}">
  <sheetPr codeName="Sheet131">
    <tabColor rgb="FFFF0000"/>
  </sheetPr>
  <dimension ref="A1:P42"/>
  <sheetViews>
    <sheetView topLeftCell="A12" workbookViewId="0">
      <selection activeCell="A19" sqref="A1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1872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106250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28080</v>
      </c>
      <c r="D15" s="2"/>
      <c r="E15" s="3"/>
    </row>
    <row r="16" spans="1:10" x14ac:dyDescent="0.25">
      <c r="A16" s="7" t="s">
        <v>20</v>
      </c>
      <c r="B16" s="17">
        <f>B15+B13</f>
        <v>134330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4701.55</v>
      </c>
      <c r="D17" s="19"/>
      <c r="E17" s="20"/>
      <c r="P17" s="21"/>
    </row>
    <row r="18" spans="1:16" x14ac:dyDescent="0.25">
      <c r="A18" s="7" t="s">
        <v>23</v>
      </c>
      <c r="B18" s="17">
        <f>B16-B17</f>
        <v>129628.45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770*2</f>
        <v>1540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1343.3</v>
      </c>
      <c r="D22" s="7" t="s">
        <v>77</v>
      </c>
      <c r="E22" s="17">
        <f>B16*0.01</f>
        <v>1343.3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1219</v>
      </c>
      <c r="D25" s="7" t="s">
        <v>38</v>
      </c>
      <c r="E25" s="35">
        <f>B25</f>
        <v>1219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1744</v>
      </c>
      <c r="D26" s="7" t="s">
        <v>41</v>
      </c>
      <c r="E26" s="17">
        <f>E25+I25+I34</f>
        <v>1744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-204</v>
      </c>
      <c r="D28" s="7" t="s">
        <v>43</v>
      </c>
      <c r="E28" s="44">
        <f>E21-E25-I25-I34+I24+I33</f>
        <v>-400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-0.52067935042698688</v>
      </c>
      <c r="D29" s="46" t="s">
        <v>44</v>
      </c>
      <c r="E29" s="47">
        <f>(E28*12)/B17</f>
        <v>-1.0209399027980133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77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77</v>
      </c>
    </row>
    <row r="32" spans="1:16" x14ac:dyDescent="0.25">
      <c r="A32" s="26" t="s">
        <v>49</v>
      </c>
      <c r="B32" s="8">
        <f>B16</f>
        <v>134330</v>
      </c>
      <c r="G32" s="27" t="s">
        <v>50</v>
      </c>
      <c r="H32" s="48">
        <v>0.05</v>
      </c>
      <c r="I32" s="49">
        <f>$B$21*H32</f>
        <v>77</v>
      </c>
    </row>
    <row r="33" spans="1:9" x14ac:dyDescent="0.25">
      <c r="A33" s="7" t="s">
        <v>51</v>
      </c>
      <c r="B33" s="17">
        <f>B32-B18</f>
        <v>4701.5500000000029</v>
      </c>
      <c r="G33" s="27" t="s">
        <v>52</v>
      </c>
      <c r="H33" s="48">
        <v>0.1</v>
      </c>
      <c r="I33" s="49">
        <f>$B$21*H33</f>
        <v>154</v>
      </c>
    </row>
    <row r="34" spans="1:9" ht="15.75" thickBot="1" x14ac:dyDescent="0.3">
      <c r="A34" s="7" t="s">
        <v>53</v>
      </c>
      <c r="B34" s="50">
        <f>B33/B17</f>
        <v>1.0000000000000007</v>
      </c>
      <c r="G34" s="36" t="s">
        <v>39</v>
      </c>
      <c r="H34" s="37"/>
      <c r="I34" s="51">
        <f>SUM(I30:I33)</f>
        <v>385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91.820152083333326</v>
      </c>
      <c r="D39" s="58"/>
      <c r="E39" s="61"/>
    </row>
    <row r="40" spans="1:9" x14ac:dyDescent="0.25">
      <c r="A40" s="7" t="s">
        <v>58</v>
      </c>
      <c r="B40" s="17">
        <f>B25-B39</f>
        <v>1127.1798479166666</v>
      </c>
      <c r="D40" s="58"/>
      <c r="E40" s="61"/>
    </row>
    <row r="41" spans="1:9" x14ac:dyDescent="0.25">
      <c r="A41" s="7" t="s">
        <v>59</v>
      </c>
      <c r="B41" s="43">
        <f>B21-B40-I25-I34</f>
        <v>-112.17984791666663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-0.28632220756984389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750" priority="28" operator="equal">
      <formula>"NO"</formula>
    </cfRule>
    <cfRule type="cellIs" dxfId="3749" priority="29" operator="equal">
      <formula>"YES"</formula>
    </cfRule>
  </conditionalFormatting>
  <conditionalFormatting sqref="E38">
    <cfRule type="cellIs" dxfId="3748" priority="26" operator="equal">
      <formula>"YES"</formula>
    </cfRule>
    <cfRule type="cellIs" dxfId="3747" priority="27" operator="equal">
      <formula>"NO"</formula>
    </cfRule>
  </conditionalFormatting>
  <conditionalFormatting sqref="B23">
    <cfRule type="cellIs" dxfId="3746" priority="24" operator="equal">
      <formula>"NO"</formula>
    </cfRule>
    <cfRule type="cellIs" dxfId="3745" priority="25" operator="equal">
      <formula>"YES"</formula>
    </cfRule>
  </conditionalFormatting>
  <conditionalFormatting sqref="B12">
    <cfRule type="containsText" dxfId="3744" priority="10" operator="containsText" text="Low">
      <formula>NOT(ISERROR(SEARCH("Low",B12)))</formula>
    </cfRule>
    <cfRule type="containsText" dxfId="3743" priority="11" operator="containsText" text="Medium">
      <formula>NOT(ISERROR(SEARCH("Medium",B12)))</formula>
    </cfRule>
    <cfRule type="containsText" dxfId="3742" priority="12" operator="containsText" text="High">
      <formula>NOT(ISERROR(SEARCH("High",B12)))</formula>
    </cfRule>
  </conditionalFormatting>
  <conditionalFormatting sqref="B29">
    <cfRule type="cellIs" dxfId="3741" priority="20" operator="between">
      <formula>10%</formula>
      <formula>11.9%</formula>
    </cfRule>
    <cfRule type="cellIs" dxfId="3740" priority="22" operator="lessThan">
      <formula>0.1</formula>
    </cfRule>
    <cfRule type="cellIs" dxfId="3739" priority="23" operator="greaterThanOrEqual">
      <formula>0.12</formula>
    </cfRule>
  </conditionalFormatting>
  <conditionalFormatting sqref="B42">
    <cfRule type="cellIs" dxfId="3738" priority="18" operator="between">
      <formula>0.1</formula>
      <formula>0.1199</formula>
    </cfRule>
    <cfRule type="cellIs" dxfId="3737" priority="19" operator="lessThan">
      <formula>0.1</formula>
    </cfRule>
    <cfRule type="cellIs" dxfId="3736" priority="21" operator="greaterThanOrEqual">
      <formula>0.12</formula>
    </cfRule>
  </conditionalFormatting>
  <conditionalFormatting sqref="B10">
    <cfRule type="containsText" dxfId="3735" priority="13" operator="containsText" text="Full">
      <formula>NOT(ISERROR(SEARCH("Full",B10)))</formula>
    </cfRule>
    <cfRule type="containsText" dxfId="3734" priority="14" operator="containsText" text="Heavy">
      <formula>NOT(ISERROR(SEARCH("Heavy",B10)))</formula>
    </cfRule>
    <cfRule type="containsText" dxfId="3733" priority="15" operator="containsText" text="Medium">
      <formula>NOT(ISERROR(SEARCH("Medium",B10)))</formula>
    </cfRule>
    <cfRule type="containsText" dxfId="3732" priority="16" operator="containsText" text="Light">
      <formula>NOT(ISERROR(SEARCH("Light",B10)))</formula>
    </cfRule>
    <cfRule type="containsText" dxfId="3731" priority="17" operator="containsText" text="None">
      <formula>NOT(ISERROR(SEARCH("None",B10)))</formula>
    </cfRule>
  </conditionalFormatting>
  <conditionalFormatting sqref="B28">
    <cfRule type="cellIs" dxfId="3730" priority="30" operator="lessThan">
      <formula>$B$8*100</formula>
    </cfRule>
    <cfRule type="cellIs" dxfId="3729" priority="31" operator="greaterThanOrEqual">
      <formula>$B$8*100</formula>
    </cfRule>
  </conditionalFormatting>
  <conditionalFormatting sqref="B41">
    <cfRule type="cellIs" dxfId="3728" priority="32" operator="lessThan">
      <formula>$B$8*100</formula>
    </cfRule>
    <cfRule type="cellIs" dxfId="3727" priority="33" operator="greaterThan">
      <formula>$B$8*100</formula>
    </cfRule>
    <cfRule type="cellIs" dxfId="3726" priority="34" operator="greaterThan">
      <formula>$B$8*100</formula>
    </cfRule>
  </conditionalFormatting>
  <conditionalFormatting sqref="B38">
    <cfRule type="cellIs" dxfId="3725" priority="8" operator="equal">
      <formula>"YES"</formula>
    </cfRule>
    <cfRule type="cellIs" dxfId="3724" priority="9" operator="equal">
      <formula>"NO"</formula>
    </cfRule>
  </conditionalFormatting>
  <conditionalFormatting sqref="E23:E26">
    <cfRule type="cellIs" dxfId="3723" priority="4" operator="equal">
      <formula>"NO"</formula>
    </cfRule>
    <cfRule type="cellIs" dxfId="3722" priority="5" operator="equal">
      <formula>"YES"</formula>
    </cfRule>
  </conditionalFormatting>
  <conditionalFormatting sqref="E29">
    <cfRule type="cellIs" dxfId="3721" priority="1" operator="between">
      <formula>10%</formula>
      <formula>12%</formula>
    </cfRule>
    <cfRule type="cellIs" dxfId="3720" priority="2" operator="lessThan">
      <formula>0.1</formula>
    </cfRule>
    <cfRule type="cellIs" dxfId="3719" priority="3" operator="greaterThan">
      <formula>0.12</formula>
    </cfRule>
  </conditionalFormatting>
  <conditionalFormatting sqref="E28">
    <cfRule type="cellIs" dxfId="3718" priority="6" operator="lessThan">
      <formula>$B$8*100</formula>
    </cfRule>
    <cfRule type="cellIs" dxfId="3717" priority="7" operator="greaterThan">
      <formula>$B$8*100</formula>
    </cfRule>
  </conditionalFormatting>
  <hyperlinks>
    <hyperlink ref="A32" r:id="rId1" display="https://www.zillow.com/homes/recently_sold/" xr:uid="{2C7BE51B-84BF-4894-9E63-31AD87A05142}"/>
    <hyperlink ref="A21" r:id="rId2" xr:uid="{2B3BDCC2-E563-49AD-A724-BC01788048B6}"/>
    <hyperlink ref="A25" r:id="rId3" display="www.mortgagecalculator.org" xr:uid="{5DE86F28-8B69-4087-9A88-DC08A3173540}"/>
    <hyperlink ref="A12" r:id="rId4" xr:uid="{C5A7CA62-8832-4B2A-8273-4B8FE363A0DF}"/>
  </hyperlinks>
  <pageMargins left="0.7" right="0.7" top="0.75" bottom="0.75" header="0.3" footer="0.3"/>
  <legacyDrawing r:id="rId5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94FED-1A52-4B7F-8D65-58ED3A8EB76B}">
  <sheetPr codeName="Sheet132">
    <tabColor rgb="FF92D050"/>
  </sheetPr>
  <dimension ref="A1:P42"/>
  <sheetViews>
    <sheetView topLeftCell="A16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1536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97665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23040</v>
      </c>
      <c r="D15" s="2"/>
      <c r="E15" s="3"/>
    </row>
    <row r="16" spans="1:10" x14ac:dyDescent="0.25">
      <c r="A16" s="7" t="s">
        <v>20</v>
      </c>
      <c r="B16" s="17">
        <f>B15+B13</f>
        <v>120705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4224.6750000000002</v>
      </c>
      <c r="D17" s="19"/>
      <c r="E17" s="20"/>
      <c r="P17" s="21"/>
    </row>
    <row r="18" spans="1:16" x14ac:dyDescent="0.25">
      <c r="A18" s="7" t="s">
        <v>23</v>
      </c>
      <c r="B18" s="17">
        <f>B16-B17</f>
        <v>116480.325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756*2</f>
        <v>1512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1207.05</v>
      </c>
      <c r="D22" s="7" t="s">
        <v>77</v>
      </c>
      <c r="E22" s="17">
        <f>B16*0.01</f>
        <v>1207.05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888.6</v>
      </c>
      <c r="D25" s="7" t="s">
        <v>38</v>
      </c>
      <c r="E25" s="35">
        <f>B25</f>
        <v>888.6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1406.6</v>
      </c>
      <c r="D26" s="7" t="s">
        <v>41</v>
      </c>
      <c r="E26" s="17">
        <f>E25+I25+I34</f>
        <v>1406.6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105.40000000000009</v>
      </c>
      <c r="D28" s="7" t="s">
        <v>43</v>
      </c>
      <c r="E28" s="44">
        <f>E21-E25-I25-I34+I24+I33</f>
        <v>-65.400000000000006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0.29938397628219948</v>
      </c>
      <c r="D29" s="46" t="s">
        <v>44</v>
      </c>
      <c r="E29" s="47">
        <f>(E28*12)/B17</f>
        <v>-0.18576576896447655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75.600000000000009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75.600000000000009</v>
      </c>
    </row>
    <row r="32" spans="1:16" x14ac:dyDescent="0.25">
      <c r="A32" s="26" t="s">
        <v>49</v>
      </c>
      <c r="B32" s="8">
        <f>B16</f>
        <v>120705</v>
      </c>
      <c r="G32" s="27" t="s">
        <v>50</v>
      </c>
      <c r="H32" s="48">
        <v>0.05</v>
      </c>
      <c r="I32" s="49">
        <f>$B$21*H32</f>
        <v>75.600000000000009</v>
      </c>
    </row>
    <row r="33" spans="1:9" x14ac:dyDescent="0.25">
      <c r="A33" s="7" t="s">
        <v>51</v>
      </c>
      <c r="B33" s="17">
        <f>B32-B18</f>
        <v>4224.6750000000029</v>
      </c>
      <c r="G33" s="27" t="s">
        <v>52</v>
      </c>
      <c r="H33" s="48">
        <v>0.1</v>
      </c>
      <c r="I33" s="49">
        <f>$B$21*H33</f>
        <v>151.20000000000002</v>
      </c>
    </row>
    <row r="34" spans="1:9" ht="15.75" thickBot="1" x14ac:dyDescent="0.3">
      <c r="A34" s="7" t="s">
        <v>53</v>
      </c>
      <c r="B34" s="50">
        <f>B33/B17</f>
        <v>1.0000000000000007</v>
      </c>
      <c r="G34" s="36" t="s">
        <v>39</v>
      </c>
      <c r="H34" s="37"/>
      <c r="I34" s="51">
        <f>SUM(I30:I33)</f>
        <v>378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82.50689687500001</v>
      </c>
      <c r="D39" s="58"/>
      <c r="E39" s="61"/>
    </row>
    <row r="40" spans="1:9" x14ac:dyDescent="0.25">
      <c r="A40" s="7" t="s">
        <v>58</v>
      </c>
      <c r="B40" s="17">
        <f>B25-B39</f>
        <v>806.09310312499997</v>
      </c>
      <c r="D40" s="58"/>
      <c r="E40" s="61"/>
    </row>
    <row r="41" spans="1:9" x14ac:dyDescent="0.25">
      <c r="A41" s="7" t="s">
        <v>59</v>
      </c>
      <c r="B41" s="43">
        <f>B21-B40-I25-I34</f>
        <v>187.90689687500003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0.53374111913934219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716" priority="28" operator="equal">
      <formula>"NO"</formula>
    </cfRule>
    <cfRule type="cellIs" dxfId="3715" priority="29" operator="equal">
      <formula>"YES"</formula>
    </cfRule>
  </conditionalFormatting>
  <conditionalFormatting sqref="E38">
    <cfRule type="cellIs" dxfId="3714" priority="26" operator="equal">
      <formula>"YES"</formula>
    </cfRule>
    <cfRule type="cellIs" dxfId="3713" priority="27" operator="equal">
      <formula>"NO"</formula>
    </cfRule>
  </conditionalFormatting>
  <conditionalFormatting sqref="B23">
    <cfRule type="cellIs" dxfId="3712" priority="24" operator="equal">
      <formula>"NO"</formula>
    </cfRule>
    <cfRule type="cellIs" dxfId="3711" priority="25" operator="equal">
      <formula>"YES"</formula>
    </cfRule>
  </conditionalFormatting>
  <conditionalFormatting sqref="B12">
    <cfRule type="containsText" dxfId="3710" priority="10" operator="containsText" text="Low">
      <formula>NOT(ISERROR(SEARCH("Low",B12)))</formula>
    </cfRule>
    <cfRule type="containsText" dxfId="3709" priority="11" operator="containsText" text="Medium">
      <formula>NOT(ISERROR(SEARCH("Medium",B12)))</formula>
    </cfRule>
    <cfRule type="containsText" dxfId="3708" priority="12" operator="containsText" text="High">
      <formula>NOT(ISERROR(SEARCH("High",B12)))</formula>
    </cfRule>
  </conditionalFormatting>
  <conditionalFormatting sqref="B29">
    <cfRule type="cellIs" dxfId="3707" priority="20" operator="between">
      <formula>10%</formula>
      <formula>11.9%</formula>
    </cfRule>
    <cfRule type="cellIs" dxfId="3706" priority="22" operator="lessThan">
      <formula>0.1</formula>
    </cfRule>
    <cfRule type="cellIs" dxfId="3705" priority="23" operator="greaterThanOrEqual">
      <formula>0.12</formula>
    </cfRule>
  </conditionalFormatting>
  <conditionalFormatting sqref="B42">
    <cfRule type="cellIs" dxfId="3704" priority="18" operator="between">
      <formula>0.1</formula>
      <formula>0.1199</formula>
    </cfRule>
    <cfRule type="cellIs" dxfId="3703" priority="19" operator="lessThan">
      <formula>0.1</formula>
    </cfRule>
    <cfRule type="cellIs" dxfId="3702" priority="21" operator="greaterThanOrEqual">
      <formula>0.12</formula>
    </cfRule>
  </conditionalFormatting>
  <conditionalFormatting sqref="B10">
    <cfRule type="containsText" dxfId="3701" priority="13" operator="containsText" text="Full">
      <formula>NOT(ISERROR(SEARCH("Full",B10)))</formula>
    </cfRule>
    <cfRule type="containsText" dxfId="3700" priority="14" operator="containsText" text="Heavy">
      <formula>NOT(ISERROR(SEARCH("Heavy",B10)))</formula>
    </cfRule>
    <cfRule type="containsText" dxfId="3699" priority="15" operator="containsText" text="Medium">
      <formula>NOT(ISERROR(SEARCH("Medium",B10)))</formula>
    </cfRule>
    <cfRule type="containsText" dxfId="3698" priority="16" operator="containsText" text="Light">
      <formula>NOT(ISERROR(SEARCH("Light",B10)))</formula>
    </cfRule>
    <cfRule type="containsText" dxfId="3697" priority="17" operator="containsText" text="None">
      <formula>NOT(ISERROR(SEARCH("None",B10)))</formula>
    </cfRule>
  </conditionalFormatting>
  <conditionalFormatting sqref="B28">
    <cfRule type="cellIs" dxfId="3696" priority="30" operator="lessThan">
      <formula>$B$8*100</formula>
    </cfRule>
    <cfRule type="cellIs" dxfId="3695" priority="31" operator="greaterThanOrEqual">
      <formula>$B$8*100</formula>
    </cfRule>
  </conditionalFormatting>
  <conditionalFormatting sqref="B41">
    <cfRule type="cellIs" dxfId="3694" priority="32" operator="lessThan">
      <formula>$B$8*100</formula>
    </cfRule>
    <cfRule type="cellIs" dxfId="3693" priority="33" operator="greaterThan">
      <formula>$B$8*100</formula>
    </cfRule>
    <cfRule type="cellIs" dxfId="3692" priority="34" operator="greaterThan">
      <formula>$B$8*100</formula>
    </cfRule>
  </conditionalFormatting>
  <conditionalFormatting sqref="B38">
    <cfRule type="cellIs" dxfId="3691" priority="8" operator="equal">
      <formula>"YES"</formula>
    </cfRule>
    <cfRule type="cellIs" dxfId="3690" priority="9" operator="equal">
      <formula>"NO"</formula>
    </cfRule>
  </conditionalFormatting>
  <conditionalFormatting sqref="E23:E26">
    <cfRule type="cellIs" dxfId="3689" priority="4" operator="equal">
      <formula>"NO"</formula>
    </cfRule>
    <cfRule type="cellIs" dxfId="3688" priority="5" operator="equal">
      <formula>"YES"</formula>
    </cfRule>
  </conditionalFormatting>
  <conditionalFormatting sqref="E29">
    <cfRule type="cellIs" dxfId="3687" priority="1" operator="between">
      <formula>10%</formula>
      <formula>12%</formula>
    </cfRule>
    <cfRule type="cellIs" dxfId="3686" priority="2" operator="lessThan">
      <formula>0.1</formula>
    </cfRule>
    <cfRule type="cellIs" dxfId="3685" priority="3" operator="greaterThan">
      <formula>0.12</formula>
    </cfRule>
  </conditionalFormatting>
  <conditionalFormatting sqref="E28">
    <cfRule type="cellIs" dxfId="3684" priority="6" operator="lessThan">
      <formula>$B$8*100</formula>
    </cfRule>
    <cfRule type="cellIs" dxfId="3683" priority="7" operator="greaterThan">
      <formula>$B$8*100</formula>
    </cfRule>
  </conditionalFormatting>
  <hyperlinks>
    <hyperlink ref="A32" r:id="rId1" display="https://www.zillow.com/homes/recently_sold/" xr:uid="{A9217F96-EEE4-471C-A438-60656360944D}"/>
    <hyperlink ref="A21" r:id="rId2" xr:uid="{D76E537F-789C-4238-BADA-A8484BF7D70B}"/>
    <hyperlink ref="A25" r:id="rId3" display="www.mortgagecalculator.org" xr:uid="{836E1067-3334-4C9D-BD2A-FF271372D18D}"/>
    <hyperlink ref="A12" r:id="rId4" xr:uid="{301DB6F9-4895-46A9-8B96-BE5BD3A218E7}"/>
  </hyperlinks>
  <pageMargins left="0.7" right="0.7" top="0.75" bottom="0.75" header="0.3" footer="0.3"/>
  <legacyDrawing r:id="rId5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76067-D253-44F8-9C4F-6CC7EE58D7A0}">
  <sheetPr codeName="Sheet133">
    <tabColor rgb="FF00B050"/>
  </sheetPr>
  <dimension ref="A1:P42"/>
  <sheetViews>
    <sheetView workbookViewId="0">
      <selection activeCell="A22" sqref="A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31900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1106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67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27115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27650</v>
      </c>
      <c r="D15" s="2"/>
      <c r="E15" s="3"/>
    </row>
    <row r="16" spans="1:10" x14ac:dyDescent="0.25">
      <c r="A16" s="7" t="s">
        <v>20</v>
      </c>
      <c r="B16" s="17">
        <f>B15+B13</f>
        <v>54765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1916.7750000000001</v>
      </c>
      <c r="D17" s="19"/>
      <c r="E17" s="20"/>
      <c r="P17" s="21"/>
    </row>
    <row r="18" spans="1:16" x14ac:dyDescent="0.25">
      <c r="A18" s="7" t="s">
        <v>23</v>
      </c>
      <c r="B18" s="17">
        <f>B16-B17</f>
        <v>52848.224999999999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625*2</f>
        <v>1250</v>
      </c>
      <c r="D21" s="23" t="s">
        <v>28</v>
      </c>
      <c r="E21" s="8">
        <v>625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547.65</v>
      </c>
      <c r="D22" s="7" t="s">
        <v>77</v>
      </c>
      <c r="E22" s="17">
        <f>B16*0.01</f>
        <v>547.65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606.41</v>
      </c>
      <c r="D25" s="7" t="s">
        <v>38</v>
      </c>
      <c r="E25" s="35">
        <f>B25</f>
        <v>606.41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1058.9099999999999</v>
      </c>
      <c r="D26" s="7" t="s">
        <v>41</v>
      </c>
      <c r="E26" s="17">
        <f>E25+I25+I34</f>
        <v>1058.9099999999999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191.09000000000015</v>
      </c>
      <c r="D28" s="7" t="s">
        <v>43</v>
      </c>
      <c r="E28" s="44">
        <f>E21-E25-I25-I34+I24+I33</f>
        <v>-168.90999999999997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1.1963219470203867</v>
      </c>
      <c r="D29" s="46" t="s">
        <v>44</v>
      </c>
      <c r="E29" s="47">
        <f>(E28*12)/B17</f>
        <v>-1.0574637085729934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62.5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62.5</v>
      </c>
    </row>
    <row r="32" spans="1:16" x14ac:dyDescent="0.25">
      <c r="A32" s="26" t="s">
        <v>49</v>
      </c>
      <c r="B32" s="8">
        <f>B16</f>
        <v>54765</v>
      </c>
      <c r="G32" s="27" t="s">
        <v>50</v>
      </c>
      <c r="H32" s="48">
        <v>0.05</v>
      </c>
      <c r="I32" s="49">
        <f>$B$21*H32</f>
        <v>62.5</v>
      </c>
    </row>
    <row r="33" spans="1:9" x14ac:dyDescent="0.25">
      <c r="A33" s="7" t="s">
        <v>51</v>
      </c>
      <c r="B33" s="17">
        <f>B32-B18</f>
        <v>1916.7750000000015</v>
      </c>
      <c r="G33" s="27" t="s">
        <v>52</v>
      </c>
      <c r="H33" s="48">
        <v>0.1</v>
      </c>
      <c r="I33" s="49">
        <f>$B$21*H33</f>
        <v>125</v>
      </c>
    </row>
    <row r="34" spans="1:9" ht="15.75" thickBot="1" x14ac:dyDescent="0.3">
      <c r="A34" s="7" t="s">
        <v>53</v>
      </c>
      <c r="B34" s="50">
        <f>B33/B17</f>
        <v>1.0000000000000007</v>
      </c>
      <c r="G34" s="36" t="s">
        <v>39</v>
      </c>
      <c r="H34" s="37"/>
      <c r="I34" s="51">
        <f>SUM(I30:I33)</f>
        <v>312.5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37.434159375</v>
      </c>
      <c r="D39" s="58"/>
      <c r="E39" s="61"/>
    </row>
    <row r="40" spans="1:9" x14ac:dyDescent="0.25">
      <c r="A40" s="7" t="s">
        <v>58</v>
      </c>
      <c r="B40" s="17">
        <f>B25-B39</f>
        <v>568.97584062499993</v>
      </c>
      <c r="D40" s="58"/>
      <c r="E40" s="61"/>
    </row>
    <row r="41" spans="1:9" x14ac:dyDescent="0.25">
      <c r="A41" s="7" t="s">
        <v>59</v>
      </c>
      <c r="B41" s="43">
        <f>B21-B40-I25-I34</f>
        <v>228.52415937500007</v>
      </c>
      <c r="D41" s="58"/>
      <c r="E41" s="61"/>
    </row>
    <row r="42" spans="1:9" ht="15.75" thickBot="1" x14ac:dyDescent="0.3">
      <c r="A42" s="46" t="s">
        <v>44</v>
      </c>
      <c r="B42" s="47">
        <f>(B41*12)/B17</f>
        <v>1.430679089877529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682" priority="28" operator="equal">
      <formula>"NO"</formula>
    </cfRule>
    <cfRule type="cellIs" dxfId="3681" priority="29" operator="equal">
      <formula>"YES"</formula>
    </cfRule>
  </conditionalFormatting>
  <conditionalFormatting sqref="E38">
    <cfRule type="cellIs" dxfId="3680" priority="26" operator="equal">
      <formula>"YES"</formula>
    </cfRule>
    <cfRule type="cellIs" dxfId="3679" priority="27" operator="equal">
      <formula>"NO"</formula>
    </cfRule>
  </conditionalFormatting>
  <conditionalFormatting sqref="B23">
    <cfRule type="cellIs" dxfId="3678" priority="24" operator="equal">
      <formula>"NO"</formula>
    </cfRule>
    <cfRule type="cellIs" dxfId="3677" priority="25" operator="equal">
      <formula>"YES"</formula>
    </cfRule>
  </conditionalFormatting>
  <conditionalFormatting sqref="B12">
    <cfRule type="containsText" dxfId="3676" priority="10" operator="containsText" text="Low">
      <formula>NOT(ISERROR(SEARCH("Low",B12)))</formula>
    </cfRule>
    <cfRule type="containsText" dxfId="3675" priority="11" operator="containsText" text="Medium">
      <formula>NOT(ISERROR(SEARCH("Medium",B12)))</formula>
    </cfRule>
    <cfRule type="containsText" dxfId="3674" priority="12" operator="containsText" text="High">
      <formula>NOT(ISERROR(SEARCH("High",B12)))</formula>
    </cfRule>
  </conditionalFormatting>
  <conditionalFormatting sqref="B29">
    <cfRule type="cellIs" dxfId="3673" priority="20" operator="between">
      <formula>10%</formula>
      <formula>11.9%</formula>
    </cfRule>
    <cfRule type="cellIs" dxfId="3672" priority="22" operator="lessThan">
      <formula>0.1</formula>
    </cfRule>
    <cfRule type="cellIs" dxfId="3671" priority="23" operator="greaterThanOrEqual">
      <formula>0.12</formula>
    </cfRule>
  </conditionalFormatting>
  <conditionalFormatting sqref="B42">
    <cfRule type="cellIs" dxfId="3670" priority="18" operator="between">
      <formula>0.1</formula>
      <formula>0.1199</formula>
    </cfRule>
    <cfRule type="cellIs" dxfId="3669" priority="19" operator="lessThan">
      <formula>0.1</formula>
    </cfRule>
    <cfRule type="cellIs" dxfId="3668" priority="21" operator="greaterThanOrEqual">
      <formula>0.12</formula>
    </cfRule>
  </conditionalFormatting>
  <conditionalFormatting sqref="B10">
    <cfRule type="containsText" dxfId="3667" priority="13" operator="containsText" text="Full">
      <formula>NOT(ISERROR(SEARCH("Full",B10)))</formula>
    </cfRule>
    <cfRule type="containsText" dxfId="3666" priority="14" operator="containsText" text="Heavy">
      <formula>NOT(ISERROR(SEARCH("Heavy",B10)))</formula>
    </cfRule>
    <cfRule type="containsText" dxfId="3665" priority="15" operator="containsText" text="Medium">
      <formula>NOT(ISERROR(SEARCH("Medium",B10)))</formula>
    </cfRule>
    <cfRule type="containsText" dxfId="3664" priority="16" operator="containsText" text="Light">
      <formula>NOT(ISERROR(SEARCH("Light",B10)))</formula>
    </cfRule>
    <cfRule type="containsText" dxfId="3663" priority="17" operator="containsText" text="None">
      <formula>NOT(ISERROR(SEARCH("None",B10)))</formula>
    </cfRule>
  </conditionalFormatting>
  <conditionalFormatting sqref="B28">
    <cfRule type="cellIs" dxfId="3662" priority="30" operator="lessThan">
      <formula>$B$8*100</formula>
    </cfRule>
    <cfRule type="cellIs" dxfId="3661" priority="31" operator="greaterThanOrEqual">
      <formula>$B$8*100</formula>
    </cfRule>
  </conditionalFormatting>
  <conditionalFormatting sqref="B41">
    <cfRule type="cellIs" dxfId="3660" priority="32" operator="lessThan">
      <formula>$B$8*100</formula>
    </cfRule>
    <cfRule type="cellIs" dxfId="3659" priority="33" operator="greaterThan">
      <formula>$B$8*100</formula>
    </cfRule>
    <cfRule type="cellIs" dxfId="3658" priority="34" operator="greaterThan">
      <formula>$B$8*100</formula>
    </cfRule>
  </conditionalFormatting>
  <conditionalFormatting sqref="B38">
    <cfRule type="cellIs" dxfId="3657" priority="8" operator="equal">
      <formula>"YES"</formula>
    </cfRule>
    <cfRule type="cellIs" dxfId="3656" priority="9" operator="equal">
      <formula>"NO"</formula>
    </cfRule>
  </conditionalFormatting>
  <conditionalFormatting sqref="E23:E26">
    <cfRule type="cellIs" dxfId="3655" priority="4" operator="equal">
      <formula>"NO"</formula>
    </cfRule>
    <cfRule type="cellIs" dxfId="3654" priority="5" operator="equal">
      <formula>"YES"</formula>
    </cfRule>
  </conditionalFormatting>
  <conditionalFormatting sqref="E29">
    <cfRule type="cellIs" dxfId="3653" priority="1" operator="between">
      <formula>10%</formula>
      <formula>12%</formula>
    </cfRule>
    <cfRule type="cellIs" dxfId="3652" priority="2" operator="lessThan">
      <formula>0.1</formula>
    </cfRule>
    <cfRule type="cellIs" dxfId="3651" priority="3" operator="greaterThan">
      <formula>0.12</formula>
    </cfRule>
  </conditionalFormatting>
  <conditionalFormatting sqref="E28">
    <cfRule type="cellIs" dxfId="3650" priority="6" operator="lessThan">
      <formula>$B$8*100</formula>
    </cfRule>
    <cfRule type="cellIs" dxfId="3649" priority="7" operator="greaterThan">
      <formula>$B$8*100</formula>
    </cfRule>
  </conditionalFormatting>
  <hyperlinks>
    <hyperlink ref="A32" r:id="rId1" display="https://www.zillow.com/homes/recently_sold/" xr:uid="{4AE4C438-ABA5-4FEF-8743-3FC076B33C64}"/>
    <hyperlink ref="A21" r:id="rId2" xr:uid="{8A40CF48-A2F7-4F4C-8684-7BBB985A6F4D}"/>
    <hyperlink ref="A25" r:id="rId3" display="www.mortgagecalculator.org" xr:uid="{586E79DA-271B-45A3-9644-0FFA88EC50E3}"/>
    <hyperlink ref="A12" r:id="rId4" xr:uid="{A40F9E9C-3673-4817-9ACF-EA7B8507D3F8}"/>
  </hyperlinks>
  <pageMargins left="0.7" right="0.7" top="0.75" bottom="0.75" header="0.3" footer="0.3"/>
  <legacyDrawing r:id="rId5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BF5F-C30A-4154-8F25-CCFA6194ACCD}">
  <sheetPr codeName="Sheet134">
    <tabColor rgb="FF00B050"/>
  </sheetPr>
  <dimension ref="A1:P42"/>
  <sheetViews>
    <sheetView topLeftCell="A19" workbookViewId="0">
      <selection activeCell="A31" sqref="A31:B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132500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2200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73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112625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33000</v>
      </c>
      <c r="D15" s="2"/>
      <c r="E15" s="3"/>
    </row>
    <row r="16" spans="1:10" x14ac:dyDescent="0.25">
      <c r="A16" s="7" t="s">
        <v>20</v>
      </c>
      <c r="B16" s="17">
        <f>B15+B13</f>
        <v>145625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5096.8750000000009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140528.125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920*2</f>
        <v>1840</v>
      </c>
      <c r="D21" s="23" t="s">
        <v>28</v>
      </c>
      <c r="E21" s="8">
        <f>920*2*5/6</f>
        <v>1533.3333333333333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1456.25</v>
      </c>
      <c r="D22" s="7" t="s">
        <v>77</v>
      </c>
      <c r="E22" s="17">
        <f>B16*0.01</f>
        <v>1456.25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YES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1020.44</v>
      </c>
      <c r="D25" s="7" t="s">
        <v>38</v>
      </c>
      <c r="E25" s="35">
        <f>B25</f>
        <v>1020.44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1620.44</v>
      </c>
      <c r="D26" s="7" t="s">
        <v>41</v>
      </c>
      <c r="E26" s="17">
        <f>E25+I25+I34</f>
        <v>1620.44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219.55999999999995</v>
      </c>
      <c r="D28" s="7" t="s">
        <v>43</v>
      </c>
      <c r="E28" s="44">
        <f>E21-E25-I25-I34+I24+I33</f>
        <v>236.8933333333332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0.51692851011649277</v>
      </c>
      <c r="D29" s="46" t="s">
        <v>44</v>
      </c>
      <c r="E29" s="47">
        <f>(E28*12)/B17</f>
        <v>0.55773782955242146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92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92</v>
      </c>
    </row>
    <row r="32" spans="1:16" x14ac:dyDescent="0.25">
      <c r="A32" s="26" t="s">
        <v>49</v>
      </c>
      <c r="B32" s="8">
        <f>B16</f>
        <v>145625</v>
      </c>
      <c r="G32" s="27" t="s">
        <v>50</v>
      </c>
      <c r="H32" s="48">
        <v>0.05</v>
      </c>
      <c r="I32" s="49">
        <f>$B$21*H32</f>
        <v>92</v>
      </c>
    </row>
    <row r="33" spans="1:9" x14ac:dyDescent="0.25">
      <c r="A33" s="7" t="s">
        <v>51</v>
      </c>
      <c r="B33" s="17">
        <f>B32-B18</f>
        <v>5096.875</v>
      </c>
      <c r="G33" s="27" t="s">
        <v>52</v>
      </c>
      <c r="H33" s="48">
        <v>0.1</v>
      </c>
      <c r="I33" s="49">
        <f>$B$21*H33</f>
        <v>184</v>
      </c>
    </row>
    <row r="34" spans="1:9" ht="15.75" thickBot="1" x14ac:dyDescent="0.3">
      <c r="A34" s="7" t="s">
        <v>53</v>
      </c>
      <c r="B34" s="50">
        <f>B33/B17</f>
        <v>0.99999999999999978</v>
      </c>
      <c r="G34" s="36" t="s">
        <v>39</v>
      </c>
      <c r="H34" s="37"/>
      <c r="I34" s="51">
        <f>SUM(I30:I33)</f>
        <v>460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99.540755208333337</v>
      </c>
      <c r="D39" s="58"/>
      <c r="E39" s="61"/>
    </row>
    <row r="40" spans="1:9" x14ac:dyDescent="0.25">
      <c r="A40" s="7" t="s">
        <v>58</v>
      </c>
      <c r="B40" s="17">
        <f>B25-B39</f>
        <v>920.89924479166666</v>
      </c>
      <c r="D40" s="58"/>
      <c r="E40" s="61"/>
    </row>
    <row r="41" spans="1:9" x14ac:dyDescent="0.25">
      <c r="A41" s="7" t="s">
        <v>59</v>
      </c>
      <c r="B41" s="43">
        <f>B21-B40-I25-I34</f>
        <v>319.10075520833334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0.7512856529736357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648" priority="28" operator="equal">
      <formula>"NO"</formula>
    </cfRule>
    <cfRule type="cellIs" dxfId="3647" priority="29" operator="equal">
      <formula>"YES"</formula>
    </cfRule>
  </conditionalFormatting>
  <conditionalFormatting sqref="E38">
    <cfRule type="cellIs" dxfId="3646" priority="26" operator="equal">
      <formula>"YES"</formula>
    </cfRule>
    <cfRule type="cellIs" dxfId="3645" priority="27" operator="equal">
      <formula>"NO"</formula>
    </cfRule>
  </conditionalFormatting>
  <conditionalFormatting sqref="B23">
    <cfRule type="cellIs" dxfId="3644" priority="24" operator="equal">
      <formula>"NO"</formula>
    </cfRule>
    <cfRule type="cellIs" dxfId="3643" priority="25" operator="equal">
      <formula>"YES"</formula>
    </cfRule>
  </conditionalFormatting>
  <conditionalFormatting sqref="B12">
    <cfRule type="containsText" dxfId="3642" priority="10" operator="containsText" text="Low">
      <formula>NOT(ISERROR(SEARCH("Low",B12)))</formula>
    </cfRule>
    <cfRule type="containsText" dxfId="3641" priority="11" operator="containsText" text="Medium">
      <formula>NOT(ISERROR(SEARCH("Medium",B12)))</formula>
    </cfRule>
    <cfRule type="containsText" dxfId="3640" priority="12" operator="containsText" text="High">
      <formula>NOT(ISERROR(SEARCH("High",B12)))</formula>
    </cfRule>
  </conditionalFormatting>
  <conditionalFormatting sqref="B29">
    <cfRule type="cellIs" dxfId="3639" priority="20" operator="between">
      <formula>10%</formula>
      <formula>11.9%</formula>
    </cfRule>
    <cfRule type="cellIs" dxfId="3638" priority="22" operator="lessThan">
      <formula>0.1</formula>
    </cfRule>
    <cfRule type="cellIs" dxfId="3637" priority="23" operator="greaterThanOrEqual">
      <formula>0.12</formula>
    </cfRule>
  </conditionalFormatting>
  <conditionalFormatting sqref="B42">
    <cfRule type="cellIs" dxfId="3636" priority="18" operator="between">
      <formula>0.1</formula>
      <formula>0.1199</formula>
    </cfRule>
    <cfRule type="cellIs" dxfId="3635" priority="19" operator="lessThan">
      <formula>0.1</formula>
    </cfRule>
    <cfRule type="cellIs" dxfId="3634" priority="21" operator="greaterThanOrEqual">
      <formula>0.12</formula>
    </cfRule>
  </conditionalFormatting>
  <conditionalFormatting sqref="B10">
    <cfRule type="containsText" dxfId="3633" priority="13" operator="containsText" text="Full">
      <formula>NOT(ISERROR(SEARCH("Full",B10)))</formula>
    </cfRule>
    <cfRule type="containsText" dxfId="3632" priority="14" operator="containsText" text="Heavy">
      <formula>NOT(ISERROR(SEARCH("Heavy",B10)))</formula>
    </cfRule>
    <cfRule type="containsText" dxfId="3631" priority="15" operator="containsText" text="Medium">
      <formula>NOT(ISERROR(SEARCH("Medium",B10)))</formula>
    </cfRule>
    <cfRule type="containsText" dxfId="3630" priority="16" operator="containsText" text="Light">
      <formula>NOT(ISERROR(SEARCH("Light",B10)))</formula>
    </cfRule>
    <cfRule type="containsText" dxfId="3629" priority="17" operator="containsText" text="None">
      <formula>NOT(ISERROR(SEARCH("None",B10)))</formula>
    </cfRule>
  </conditionalFormatting>
  <conditionalFormatting sqref="B28">
    <cfRule type="cellIs" dxfId="3628" priority="30" operator="lessThan">
      <formula>$B$8*100</formula>
    </cfRule>
    <cfRule type="cellIs" dxfId="3627" priority="31" operator="greaterThanOrEqual">
      <formula>$B$8*100</formula>
    </cfRule>
  </conditionalFormatting>
  <conditionalFormatting sqref="B41">
    <cfRule type="cellIs" dxfId="3626" priority="32" operator="lessThan">
      <formula>$B$8*100</formula>
    </cfRule>
    <cfRule type="cellIs" dxfId="3625" priority="33" operator="greaterThan">
      <formula>$B$8*100</formula>
    </cfRule>
    <cfRule type="cellIs" dxfId="3624" priority="34" operator="greaterThan">
      <formula>$B$8*100</formula>
    </cfRule>
  </conditionalFormatting>
  <conditionalFormatting sqref="B38">
    <cfRule type="cellIs" dxfId="3623" priority="8" operator="equal">
      <formula>"YES"</formula>
    </cfRule>
    <cfRule type="cellIs" dxfId="3622" priority="9" operator="equal">
      <formula>"NO"</formula>
    </cfRule>
  </conditionalFormatting>
  <conditionalFormatting sqref="E23:E26">
    <cfRule type="cellIs" dxfId="3621" priority="4" operator="equal">
      <formula>"NO"</formula>
    </cfRule>
    <cfRule type="cellIs" dxfId="3620" priority="5" operator="equal">
      <formula>"YES"</formula>
    </cfRule>
  </conditionalFormatting>
  <conditionalFormatting sqref="E29">
    <cfRule type="cellIs" dxfId="3619" priority="1" operator="between">
      <formula>10%</formula>
      <formula>12%</formula>
    </cfRule>
    <cfRule type="cellIs" dxfId="3618" priority="2" operator="lessThan">
      <formula>0.1</formula>
    </cfRule>
    <cfRule type="cellIs" dxfId="3617" priority="3" operator="greaterThan">
      <formula>0.12</formula>
    </cfRule>
  </conditionalFormatting>
  <conditionalFormatting sqref="E28">
    <cfRule type="cellIs" dxfId="3616" priority="6" operator="lessThan">
      <formula>$B$8*100</formula>
    </cfRule>
    <cfRule type="cellIs" dxfId="3615" priority="7" operator="greaterThan">
      <formula>$B$8*100</formula>
    </cfRule>
  </conditionalFormatting>
  <hyperlinks>
    <hyperlink ref="A32" r:id="rId1" display="https://www.zillow.com/homes/recently_sold/" xr:uid="{1B28A240-A2BF-4360-9EDE-129B3EE846AC}"/>
    <hyperlink ref="A21" r:id="rId2" xr:uid="{E700B41C-0496-4206-9C2D-E46CFECCBD96}"/>
    <hyperlink ref="A25" r:id="rId3" display="www.mortgagecalculator.org" xr:uid="{86C655AE-1010-42A9-9E68-4C34E1E31837}"/>
    <hyperlink ref="A12" r:id="rId4" xr:uid="{4EE38F8D-CF93-4766-8EC4-249F7584B6E4}"/>
  </hyperlinks>
  <pageMargins left="0.7" right="0.7" top="0.75" bottom="0.75" header="0.3" footer="0.3"/>
  <legacyDrawing r:id="rId5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FE4D7-B691-4B1E-B795-8E00BADE2821}">
  <sheetPr codeName="Sheet135">
    <tabColor rgb="FFFF0000"/>
  </sheetPr>
  <dimension ref="A1:P42"/>
  <sheetViews>
    <sheetView topLeftCell="A12" workbookViewId="0">
      <selection activeCell="B33" sqref="B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1664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139900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6995</v>
      </c>
      <c r="D17" s="19"/>
      <c r="E17" s="20"/>
      <c r="P17" s="21"/>
    </row>
    <row r="18" spans="1:16" x14ac:dyDescent="0.25">
      <c r="A18" s="7" t="s">
        <v>23</v>
      </c>
      <c r="B18" s="17">
        <f>B16-B17</f>
        <v>132905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810*2</f>
        <v>1620</v>
      </c>
      <c r="D21" s="23" t="s">
        <v>28</v>
      </c>
      <c r="E21" s="8">
        <f>810*2*3/4</f>
        <v>1215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1399</v>
      </c>
      <c r="D22" s="7" t="s">
        <v>77</v>
      </c>
      <c r="E22" s="17">
        <f>B16*0.01</f>
        <v>1399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1103.78</v>
      </c>
      <c r="D25" s="7" t="s">
        <v>38</v>
      </c>
      <c r="E25" s="35">
        <f>B25</f>
        <v>1103.78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1648.78</v>
      </c>
      <c r="D26" s="7" t="s">
        <v>41</v>
      </c>
      <c r="E26" s="17">
        <f>E25+I25+I34</f>
        <v>1648.78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-28.779999999999973</v>
      </c>
      <c r="D28" s="7" t="s">
        <v>43</v>
      </c>
      <c r="E28" s="44">
        <f>E21-E25-I25-I34+I24+I33</f>
        <v>-131.77999999999997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-4.9372408863473861E-2</v>
      </c>
      <c r="D29" s="46" t="s">
        <v>44</v>
      </c>
      <c r="E29" s="47">
        <f>(E28*12)/B17</f>
        <v>-0.22607005003573977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81</v>
      </c>
    </row>
    <row r="32" spans="1:16" x14ac:dyDescent="0.25">
      <c r="A32" s="26" t="s">
        <v>49</v>
      </c>
      <c r="B32" s="8">
        <f>B16</f>
        <v>139900</v>
      </c>
      <c r="G32" s="27" t="s">
        <v>50</v>
      </c>
      <c r="H32" s="48">
        <v>0.05</v>
      </c>
      <c r="I32" s="49">
        <f>$B$21*H32</f>
        <v>81</v>
      </c>
    </row>
    <row r="33" spans="1:9" x14ac:dyDescent="0.25">
      <c r="A33" s="7" t="s">
        <v>51</v>
      </c>
      <c r="B33" s="17">
        <f>B32-B18</f>
        <v>6995</v>
      </c>
      <c r="G33" s="27" t="s">
        <v>52</v>
      </c>
      <c r="H33" s="48">
        <v>0.1</v>
      </c>
      <c r="I33" s="49">
        <f>$B$21*H33</f>
        <v>162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405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94.14104166666668</v>
      </c>
      <c r="D39" s="58"/>
      <c r="E39" s="61"/>
    </row>
    <row r="40" spans="1:9" x14ac:dyDescent="0.25">
      <c r="A40" s="7" t="s">
        <v>58</v>
      </c>
      <c r="B40" s="17">
        <f>B25-B39</f>
        <v>1009.6389583333333</v>
      </c>
      <c r="D40" s="58"/>
      <c r="E40" s="61"/>
    </row>
    <row r="41" spans="1:9" x14ac:dyDescent="0.25">
      <c r="A41" s="7" t="s">
        <v>59</v>
      </c>
      <c r="B41" s="43">
        <f>B21-B40-I25-I34</f>
        <v>65.361041666666665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0.11212759113652608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614" priority="28" operator="equal">
      <formula>"NO"</formula>
    </cfRule>
    <cfRule type="cellIs" dxfId="3613" priority="29" operator="equal">
      <formula>"YES"</formula>
    </cfRule>
  </conditionalFormatting>
  <conditionalFormatting sqref="E38">
    <cfRule type="cellIs" dxfId="3612" priority="26" operator="equal">
      <formula>"YES"</formula>
    </cfRule>
    <cfRule type="cellIs" dxfId="3611" priority="27" operator="equal">
      <formula>"NO"</formula>
    </cfRule>
  </conditionalFormatting>
  <conditionalFormatting sqref="B23">
    <cfRule type="cellIs" dxfId="3610" priority="24" operator="equal">
      <formula>"NO"</formula>
    </cfRule>
    <cfRule type="cellIs" dxfId="3609" priority="25" operator="equal">
      <formula>"YES"</formula>
    </cfRule>
  </conditionalFormatting>
  <conditionalFormatting sqref="B12">
    <cfRule type="containsText" dxfId="3608" priority="10" operator="containsText" text="Low">
      <formula>NOT(ISERROR(SEARCH("Low",B12)))</formula>
    </cfRule>
    <cfRule type="containsText" dxfId="3607" priority="11" operator="containsText" text="Medium">
      <formula>NOT(ISERROR(SEARCH("Medium",B12)))</formula>
    </cfRule>
    <cfRule type="containsText" dxfId="3606" priority="12" operator="containsText" text="High">
      <formula>NOT(ISERROR(SEARCH("High",B12)))</formula>
    </cfRule>
  </conditionalFormatting>
  <conditionalFormatting sqref="B29">
    <cfRule type="cellIs" dxfId="3605" priority="20" operator="between">
      <formula>10%</formula>
      <formula>11.9%</formula>
    </cfRule>
    <cfRule type="cellIs" dxfId="3604" priority="22" operator="lessThan">
      <formula>0.1</formula>
    </cfRule>
    <cfRule type="cellIs" dxfId="3603" priority="23" operator="greaterThanOrEqual">
      <formula>0.12</formula>
    </cfRule>
  </conditionalFormatting>
  <conditionalFormatting sqref="B42">
    <cfRule type="cellIs" dxfId="3602" priority="18" operator="between">
      <formula>0.1</formula>
      <formula>0.1199</formula>
    </cfRule>
    <cfRule type="cellIs" dxfId="3601" priority="19" operator="lessThan">
      <formula>0.1</formula>
    </cfRule>
    <cfRule type="cellIs" dxfId="3600" priority="21" operator="greaterThanOrEqual">
      <formula>0.12</formula>
    </cfRule>
  </conditionalFormatting>
  <conditionalFormatting sqref="B10">
    <cfRule type="containsText" dxfId="3599" priority="13" operator="containsText" text="Full">
      <formula>NOT(ISERROR(SEARCH("Full",B10)))</formula>
    </cfRule>
    <cfRule type="containsText" dxfId="3598" priority="14" operator="containsText" text="Heavy">
      <formula>NOT(ISERROR(SEARCH("Heavy",B10)))</formula>
    </cfRule>
    <cfRule type="containsText" dxfId="3597" priority="15" operator="containsText" text="Medium">
      <formula>NOT(ISERROR(SEARCH("Medium",B10)))</formula>
    </cfRule>
    <cfRule type="containsText" dxfId="3596" priority="16" operator="containsText" text="Light">
      <formula>NOT(ISERROR(SEARCH("Light",B10)))</formula>
    </cfRule>
    <cfRule type="containsText" dxfId="3595" priority="17" operator="containsText" text="None">
      <formula>NOT(ISERROR(SEARCH("None",B10)))</formula>
    </cfRule>
  </conditionalFormatting>
  <conditionalFormatting sqref="B28">
    <cfRule type="cellIs" dxfId="3594" priority="30" operator="lessThan">
      <formula>$B$8*100</formula>
    </cfRule>
    <cfRule type="cellIs" dxfId="3593" priority="31" operator="greaterThanOrEqual">
      <formula>$B$8*100</formula>
    </cfRule>
  </conditionalFormatting>
  <conditionalFormatting sqref="B41">
    <cfRule type="cellIs" dxfId="3592" priority="32" operator="lessThan">
      <formula>$B$8*100</formula>
    </cfRule>
    <cfRule type="cellIs" dxfId="3591" priority="33" operator="greaterThan">
      <formula>$B$8*100</formula>
    </cfRule>
    <cfRule type="cellIs" dxfId="3590" priority="34" operator="greaterThan">
      <formula>$B$8*100</formula>
    </cfRule>
  </conditionalFormatting>
  <conditionalFormatting sqref="B38">
    <cfRule type="cellIs" dxfId="3589" priority="8" operator="equal">
      <formula>"YES"</formula>
    </cfRule>
    <cfRule type="cellIs" dxfId="3588" priority="9" operator="equal">
      <formula>"NO"</formula>
    </cfRule>
  </conditionalFormatting>
  <conditionalFormatting sqref="E23:E26">
    <cfRule type="cellIs" dxfId="3587" priority="4" operator="equal">
      <formula>"NO"</formula>
    </cfRule>
    <cfRule type="cellIs" dxfId="3586" priority="5" operator="equal">
      <formula>"YES"</formula>
    </cfRule>
  </conditionalFormatting>
  <conditionalFormatting sqref="E29">
    <cfRule type="cellIs" dxfId="3585" priority="1" operator="between">
      <formula>10%</formula>
      <formula>12%</formula>
    </cfRule>
    <cfRule type="cellIs" dxfId="3584" priority="2" operator="lessThan">
      <formula>0.1</formula>
    </cfRule>
    <cfRule type="cellIs" dxfId="3583" priority="3" operator="greaterThan">
      <formula>0.12</formula>
    </cfRule>
  </conditionalFormatting>
  <conditionalFormatting sqref="E28">
    <cfRule type="cellIs" dxfId="3582" priority="6" operator="lessThan">
      <formula>$B$8*100</formula>
    </cfRule>
    <cfRule type="cellIs" dxfId="3581" priority="7" operator="greaterThan">
      <formula>$B$8*100</formula>
    </cfRule>
  </conditionalFormatting>
  <hyperlinks>
    <hyperlink ref="A32" r:id="rId1" display="https://www.zillow.com/homes/recently_sold/" xr:uid="{E7B7E179-14EB-4CCC-9709-16D510077201}"/>
    <hyperlink ref="A21" r:id="rId2" xr:uid="{90E723F9-D1FF-41DA-B145-A26EB63930DD}"/>
    <hyperlink ref="A25" r:id="rId3" display="www.mortgagecalculator.org" xr:uid="{889A0ECA-976E-4C67-83F8-7F67AEF87D8E}"/>
    <hyperlink ref="A12" r:id="rId4" xr:uid="{4C3EE0F4-C839-4758-A593-0118E1C154D5}"/>
  </hyperlinks>
  <pageMargins left="0.7" right="0.7" top="0.75" bottom="0.75" header="0.3" footer="0.3"/>
  <legacyDrawing r:id="rId5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D79A-0179-4EEF-8309-6BAC42DB63C6}">
  <sheetPr codeName="Sheet136">
    <tabColor rgb="FFFF0000"/>
  </sheetPr>
  <dimension ref="A1:P42"/>
  <sheetViews>
    <sheetView topLeftCell="A14" workbookViewId="0">
      <selection activeCell="B32" sqref="B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1490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123250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123250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6162.5</v>
      </c>
      <c r="D17" s="19"/>
      <c r="E17" s="20"/>
      <c r="P17" s="21"/>
    </row>
    <row r="18" spans="1:16" x14ac:dyDescent="0.25">
      <c r="A18" s="7" t="s">
        <v>23</v>
      </c>
      <c r="B18" s="17">
        <f>B16-B17</f>
        <v>117087.5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634+774</f>
        <v>1408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1232.5</v>
      </c>
      <c r="D22" s="7" t="s">
        <v>77</v>
      </c>
      <c r="E22" s="17">
        <f>B16*0.01</f>
        <v>1232.5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923.95</v>
      </c>
      <c r="D25" s="7" t="s">
        <v>38</v>
      </c>
      <c r="E25" s="35">
        <f>B25</f>
        <v>923.95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1415.95</v>
      </c>
      <c r="D26" s="7" t="s">
        <v>41</v>
      </c>
      <c r="E26" s="17">
        <f>E25+I25+I34</f>
        <v>1415.95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-7.9500000000000455</v>
      </c>
      <c r="D28" s="7" t="s">
        <v>43</v>
      </c>
      <c r="E28" s="44">
        <f>E21-E25-I25-I34+I24+I33</f>
        <v>-85.150000000000034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-1.5480730223123821E-2</v>
      </c>
      <c r="D29" s="46" t="s">
        <v>44</v>
      </c>
      <c r="E29" s="47">
        <f>(E28*12)/B17</f>
        <v>-0.16580933062880332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70.400000000000006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70.400000000000006</v>
      </c>
    </row>
    <row r="32" spans="1:16" x14ac:dyDescent="0.25">
      <c r="A32" s="26" t="s">
        <v>49</v>
      </c>
      <c r="B32" s="8">
        <f>B16</f>
        <v>123250</v>
      </c>
      <c r="G32" s="27" t="s">
        <v>50</v>
      </c>
      <c r="H32" s="48">
        <v>0.05</v>
      </c>
      <c r="I32" s="49">
        <f>$B$21*H32</f>
        <v>70.400000000000006</v>
      </c>
    </row>
    <row r="33" spans="1:9" x14ac:dyDescent="0.25">
      <c r="A33" s="7" t="s">
        <v>51</v>
      </c>
      <c r="B33" s="17">
        <f>B32-B18</f>
        <v>6162.5</v>
      </c>
      <c r="G33" s="27" t="s">
        <v>52</v>
      </c>
      <c r="H33" s="48">
        <v>0.1</v>
      </c>
      <c r="I33" s="49">
        <f>$B$21*H33</f>
        <v>140.80000000000001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352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82.936979166666674</v>
      </c>
      <c r="D39" s="58"/>
      <c r="E39" s="61"/>
    </row>
    <row r="40" spans="1:9" x14ac:dyDescent="0.25">
      <c r="A40" s="7" t="s">
        <v>58</v>
      </c>
      <c r="B40" s="17">
        <f>B25-B39</f>
        <v>841.01302083333337</v>
      </c>
      <c r="D40" s="58"/>
      <c r="E40" s="61"/>
    </row>
    <row r="41" spans="1:9" x14ac:dyDescent="0.25">
      <c r="A41" s="7" t="s">
        <v>59</v>
      </c>
      <c r="B41" s="43">
        <f>B21-B40-I25-I34</f>
        <v>74.986979166666629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0.14601926977687618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580" priority="28" operator="equal">
      <formula>"NO"</formula>
    </cfRule>
    <cfRule type="cellIs" dxfId="3579" priority="29" operator="equal">
      <formula>"YES"</formula>
    </cfRule>
  </conditionalFormatting>
  <conditionalFormatting sqref="E38">
    <cfRule type="cellIs" dxfId="3578" priority="26" operator="equal">
      <formula>"YES"</formula>
    </cfRule>
    <cfRule type="cellIs" dxfId="3577" priority="27" operator="equal">
      <formula>"NO"</formula>
    </cfRule>
  </conditionalFormatting>
  <conditionalFormatting sqref="B23">
    <cfRule type="cellIs" dxfId="3576" priority="24" operator="equal">
      <formula>"NO"</formula>
    </cfRule>
    <cfRule type="cellIs" dxfId="3575" priority="25" operator="equal">
      <formula>"YES"</formula>
    </cfRule>
  </conditionalFormatting>
  <conditionalFormatting sqref="B12">
    <cfRule type="containsText" dxfId="3574" priority="10" operator="containsText" text="Low">
      <formula>NOT(ISERROR(SEARCH("Low",B12)))</formula>
    </cfRule>
    <cfRule type="containsText" dxfId="3573" priority="11" operator="containsText" text="Medium">
      <formula>NOT(ISERROR(SEARCH("Medium",B12)))</formula>
    </cfRule>
    <cfRule type="containsText" dxfId="3572" priority="12" operator="containsText" text="High">
      <formula>NOT(ISERROR(SEARCH("High",B12)))</formula>
    </cfRule>
  </conditionalFormatting>
  <conditionalFormatting sqref="B29">
    <cfRule type="cellIs" dxfId="3571" priority="20" operator="between">
      <formula>10%</formula>
      <formula>11.9%</formula>
    </cfRule>
    <cfRule type="cellIs" dxfId="3570" priority="22" operator="lessThan">
      <formula>0.1</formula>
    </cfRule>
    <cfRule type="cellIs" dxfId="3569" priority="23" operator="greaterThanOrEqual">
      <formula>0.12</formula>
    </cfRule>
  </conditionalFormatting>
  <conditionalFormatting sqref="B42">
    <cfRule type="cellIs" dxfId="3568" priority="18" operator="between">
      <formula>0.1</formula>
      <formula>0.1199</formula>
    </cfRule>
    <cfRule type="cellIs" dxfId="3567" priority="19" operator="lessThan">
      <formula>0.1</formula>
    </cfRule>
    <cfRule type="cellIs" dxfId="3566" priority="21" operator="greaterThanOrEqual">
      <formula>0.12</formula>
    </cfRule>
  </conditionalFormatting>
  <conditionalFormatting sqref="B10">
    <cfRule type="containsText" dxfId="3565" priority="13" operator="containsText" text="Full">
      <formula>NOT(ISERROR(SEARCH("Full",B10)))</formula>
    </cfRule>
    <cfRule type="containsText" dxfId="3564" priority="14" operator="containsText" text="Heavy">
      <formula>NOT(ISERROR(SEARCH("Heavy",B10)))</formula>
    </cfRule>
    <cfRule type="containsText" dxfId="3563" priority="15" operator="containsText" text="Medium">
      <formula>NOT(ISERROR(SEARCH("Medium",B10)))</formula>
    </cfRule>
    <cfRule type="containsText" dxfId="3562" priority="16" operator="containsText" text="Light">
      <formula>NOT(ISERROR(SEARCH("Light",B10)))</formula>
    </cfRule>
    <cfRule type="containsText" dxfId="3561" priority="17" operator="containsText" text="None">
      <formula>NOT(ISERROR(SEARCH("None",B10)))</formula>
    </cfRule>
  </conditionalFormatting>
  <conditionalFormatting sqref="B28">
    <cfRule type="cellIs" dxfId="3560" priority="30" operator="lessThan">
      <formula>$B$8*100</formula>
    </cfRule>
    <cfRule type="cellIs" dxfId="3559" priority="31" operator="greaterThanOrEqual">
      <formula>$B$8*100</formula>
    </cfRule>
  </conditionalFormatting>
  <conditionalFormatting sqref="B41">
    <cfRule type="cellIs" dxfId="3558" priority="32" operator="lessThan">
      <formula>$B$8*100</formula>
    </cfRule>
    <cfRule type="cellIs" dxfId="3557" priority="33" operator="greaterThan">
      <formula>$B$8*100</formula>
    </cfRule>
    <cfRule type="cellIs" dxfId="3556" priority="34" operator="greaterThan">
      <formula>$B$8*100</formula>
    </cfRule>
  </conditionalFormatting>
  <conditionalFormatting sqref="B38">
    <cfRule type="cellIs" dxfId="3555" priority="8" operator="equal">
      <formula>"YES"</formula>
    </cfRule>
    <cfRule type="cellIs" dxfId="3554" priority="9" operator="equal">
      <formula>"NO"</formula>
    </cfRule>
  </conditionalFormatting>
  <conditionalFormatting sqref="E23:E26">
    <cfRule type="cellIs" dxfId="3553" priority="4" operator="equal">
      <formula>"NO"</formula>
    </cfRule>
    <cfRule type="cellIs" dxfId="3552" priority="5" operator="equal">
      <formula>"YES"</formula>
    </cfRule>
  </conditionalFormatting>
  <conditionalFormatting sqref="E29">
    <cfRule type="cellIs" dxfId="3551" priority="1" operator="between">
      <formula>10%</formula>
      <formula>12%</formula>
    </cfRule>
    <cfRule type="cellIs" dxfId="3550" priority="2" operator="lessThan">
      <formula>0.1</formula>
    </cfRule>
    <cfRule type="cellIs" dxfId="3549" priority="3" operator="greaterThan">
      <formula>0.12</formula>
    </cfRule>
  </conditionalFormatting>
  <conditionalFormatting sqref="E28">
    <cfRule type="cellIs" dxfId="3548" priority="6" operator="lessThan">
      <formula>$B$8*100</formula>
    </cfRule>
    <cfRule type="cellIs" dxfId="3547" priority="7" operator="greaterThan">
      <formula>$B$8*100</formula>
    </cfRule>
  </conditionalFormatting>
  <hyperlinks>
    <hyperlink ref="A32" r:id="rId1" display="https://www.zillow.com/homes/recently_sold/" xr:uid="{ECAE7C90-3607-4193-AF60-7F0254473071}"/>
    <hyperlink ref="A21" r:id="rId2" xr:uid="{F071720B-DEBE-4C3F-B650-7E567373EEC6}"/>
    <hyperlink ref="A25" r:id="rId3" display="www.mortgagecalculator.org" xr:uid="{86134D29-BDE2-4718-88ED-5CF985390C6B}"/>
    <hyperlink ref="A12" r:id="rId4" xr:uid="{4C578A92-1DDB-4A35-8668-0F5A5FE7EEA3}"/>
  </hyperlinks>
  <pageMargins left="0.7" right="0.7" top="0.75" bottom="0.75" header="0.3" footer="0.3"/>
  <legacyDrawing r:id="rId5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DE16F-CF5F-422D-9C54-30E32CEF1ED6}">
  <sheetPr codeName="Sheet137">
    <tabColor rgb="FFFF0000"/>
  </sheetPr>
  <dimension ref="A1:P42"/>
  <sheetViews>
    <sheetView topLeftCell="A13" workbookViewId="0">
      <selection activeCell="A33" sqref="A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229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3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3132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113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127415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78300</v>
      </c>
      <c r="D15" s="2"/>
      <c r="E15" s="3"/>
    </row>
    <row r="16" spans="1:10" x14ac:dyDescent="0.25">
      <c r="A16" s="7" t="s">
        <v>20</v>
      </c>
      <c r="B16" s="17">
        <f>B15+B13</f>
        <v>205715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7200.0250000000005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198514.97500000001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773+600*2</f>
        <v>1973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2057.15</v>
      </c>
      <c r="D22" s="7" t="s">
        <v>77</v>
      </c>
      <c r="E22" s="17">
        <f>B16*0.01</f>
        <v>2057.15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1615.99</v>
      </c>
      <c r="D25" s="7" t="s">
        <v>38</v>
      </c>
      <c r="E25" s="35">
        <f>B25</f>
        <v>1615.99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2249.2400000000002</v>
      </c>
      <c r="D26" s="7" t="s">
        <v>41</v>
      </c>
      <c r="E26" s="17">
        <f>E25+I25+I34</f>
        <v>2249.2400000000002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-276.24000000000024</v>
      </c>
      <c r="D28" s="7" t="s">
        <v>43</v>
      </c>
      <c r="E28" s="44">
        <f>E21-E25-I25-I34+I24+I33</f>
        <v>-861.94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-0.46039840139443994</v>
      </c>
      <c r="D29" s="46" t="s">
        <v>44</v>
      </c>
      <c r="E29" s="47">
        <f>(E28*12)/B17</f>
        <v>-1.4365616786052826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98.65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98.65</v>
      </c>
    </row>
    <row r="32" spans="1:16" x14ac:dyDescent="0.25">
      <c r="A32" s="26" t="s">
        <v>49</v>
      </c>
      <c r="B32" s="8">
        <f>B16</f>
        <v>205715</v>
      </c>
      <c r="G32" s="27" t="s">
        <v>50</v>
      </c>
      <c r="H32" s="48">
        <v>0.05</v>
      </c>
      <c r="I32" s="49">
        <f>$B$21*H32</f>
        <v>98.65</v>
      </c>
    </row>
    <row r="33" spans="1:9" x14ac:dyDescent="0.25">
      <c r="A33" s="7" t="s">
        <v>51</v>
      </c>
      <c r="B33" s="17">
        <f>B32-B18</f>
        <v>7200.0249999999942</v>
      </c>
      <c r="G33" s="27" t="s">
        <v>52</v>
      </c>
      <c r="H33" s="48">
        <v>0.1</v>
      </c>
      <c r="I33" s="49">
        <f>$B$21*H33</f>
        <v>197.3</v>
      </c>
    </row>
    <row r="34" spans="1:9" ht="15.75" thickBot="1" x14ac:dyDescent="0.3">
      <c r="A34" s="7" t="s">
        <v>53</v>
      </c>
      <c r="B34" s="50">
        <f>B33/B17</f>
        <v>0.99999999999999911</v>
      </c>
      <c r="G34" s="36" t="s">
        <v>39</v>
      </c>
      <c r="H34" s="37"/>
      <c r="I34" s="51">
        <f>SUM(I30:I33)</f>
        <v>493.25000000000006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140.61477395833336</v>
      </c>
      <c r="D39" s="58"/>
      <c r="E39" s="61"/>
    </row>
    <row r="40" spans="1:9" x14ac:dyDescent="0.25">
      <c r="A40" s="7" t="s">
        <v>58</v>
      </c>
      <c r="B40" s="17">
        <f>B25-B39</f>
        <v>1475.3752260416666</v>
      </c>
      <c r="D40" s="58"/>
      <c r="E40" s="61"/>
    </row>
    <row r="41" spans="1:9" x14ac:dyDescent="0.25">
      <c r="A41" s="7" t="s">
        <v>59</v>
      </c>
      <c r="B41" s="43">
        <f>B21-B40-I25-I34</f>
        <v>-135.62522604166662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-0.22604125853729665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546" priority="28" operator="equal">
      <formula>"NO"</formula>
    </cfRule>
    <cfRule type="cellIs" dxfId="3545" priority="29" operator="equal">
      <formula>"YES"</formula>
    </cfRule>
  </conditionalFormatting>
  <conditionalFormatting sqref="E38">
    <cfRule type="cellIs" dxfId="3544" priority="26" operator="equal">
      <formula>"YES"</formula>
    </cfRule>
    <cfRule type="cellIs" dxfId="3543" priority="27" operator="equal">
      <formula>"NO"</formula>
    </cfRule>
  </conditionalFormatting>
  <conditionalFormatting sqref="B23">
    <cfRule type="cellIs" dxfId="3542" priority="24" operator="equal">
      <formula>"NO"</formula>
    </cfRule>
    <cfRule type="cellIs" dxfId="3541" priority="25" operator="equal">
      <formula>"YES"</formula>
    </cfRule>
  </conditionalFormatting>
  <conditionalFormatting sqref="B12">
    <cfRule type="containsText" dxfId="3540" priority="10" operator="containsText" text="Low">
      <formula>NOT(ISERROR(SEARCH("Low",B12)))</formula>
    </cfRule>
    <cfRule type="containsText" dxfId="3539" priority="11" operator="containsText" text="Medium">
      <formula>NOT(ISERROR(SEARCH("Medium",B12)))</formula>
    </cfRule>
    <cfRule type="containsText" dxfId="3538" priority="12" operator="containsText" text="High">
      <formula>NOT(ISERROR(SEARCH("High",B12)))</formula>
    </cfRule>
  </conditionalFormatting>
  <conditionalFormatting sqref="B29">
    <cfRule type="cellIs" dxfId="3537" priority="20" operator="between">
      <formula>10%</formula>
      <formula>11.9%</formula>
    </cfRule>
    <cfRule type="cellIs" dxfId="3536" priority="22" operator="lessThan">
      <formula>0.1</formula>
    </cfRule>
    <cfRule type="cellIs" dxfId="3535" priority="23" operator="greaterThanOrEqual">
      <formula>0.12</formula>
    </cfRule>
  </conditionalFormatting>
  <conditionalFormatting sqref="B42">
    <cfRule type="cellIs" dxfId="3534" priority="18" operator="between">
      <formula>0.1</formula>
      <formula>0.1199</formula>
    </cfRule>
    <cfRule type="cellIs" dxfId="3533" priority="19" operator="lessThan">
      <formula>0.1</formula>
    </cfRule>
    <cfRule type="cellIs" dxfId="3532" priority="21" operator="greaterThanOrEqual">
      <formula>0.12</formula>
    </cfRule>
  </conditionalFormatting>
  <conditionalFormatting sqref="B10">
    <cfRule type="containsText" dxfId="3531" priority="13" operator="containsText" text="Full">
      <formula>NOT(ISERROR(SEARCH("Full",B10)))</formula>
    </cfRule>
    <cfRule type="containsText" dxfId="3530" priority="14" operator="containsText" text="Heavy">
      <formula>NOT(ISERROR(SEARCH("Heavy",B10)))</formula>
    </cfRule>
    <cfRule type="containsText" dxfId="3529" priority="15" operator="containsText" text="Medium">
      <formula>NOT(ISERROR(SEARCH("Medium",B10)))</formula>
    </cfRule>
    <cfRule type="containsText" dxfId="3528" priority="16" operator="containsText" text="Light">
      <formula>NOT(ISERROR(SEARCH("Light",B10)))</formula>
    </cfRule>
    <cfRule type="containsText" dxfId="3527" priority="17" operator="containsText" text="None">
      <formula>NOT(ISERROR(SEARCH("None",B10)))</formula>
    </cfRule>
  </conditionalFormatting>
  <conditionalFormatting sqref="B28">
    <cfRule type="cellIs" dxfId="3526" priority="30" operator="lessThan">
      <formula>$B$8*100</formula>
    </cfRule>
    <cfRule type="cellIs" dxfId="3525" priority="31" operator="greaterThanOrEqual">
      <formula>$B$8*100</formula>
    </cfRule>
  </conditionalFormatting>
  <conditionalFormatting sqref="B41">
    <cfRule type="cellIs" dxfId="3524" priority="32" operator="lessThan">
      <formula>$B$8*100</formula>
    </cfRule>
    <cfRule type="cellIs" dxfId="3523" priority="33" operator="greaterThan">
      <formula>$B$8*100</formula>
    </cfRule>
    <cfRule type="cellIs" dxfId="3522" priority="34" operator="greaterThan">
      <formula>$B$8*100</formula>
    </cfRule>
  </conditionalFormatting>
  <conditionalFormatting sqref="B38">
    <cfRule type="cellIs" dxfId="3521" priority="8" operator="equal">
      <formula>"YES"</formula>
    </cfRule>
    <cfRule type="cellIs" dxfId="3520" priority="9" operator="equal">
      <formula>"NO"</formula>
    </cfRule>
  </conditionalFormatting>
  <conditionalFormatting sqref="E23:E26">
    <cfRule type="cellIs" dxfId="3519" priority="4" operator="equal">
      <formula>"NO"</formula>
    </cfRule>
    <cfRule type="cellIs" dxfId="3518" priority="5" operator="equal">
      <formula>"YES"</formula>
    </cfRule>
  </conditionalFormatting>
  <conditionalFormatting sqref="E29">
    <cfRule type="cellIs" dxfId="3517" priority="1" operator="between">
      <formula>10%</formula>
      <formula>12%</formula>
    </cfRule>
    <cfRule type="cellIs" dxfId="3516" priority="2" operator="lessThan">
      <formula>0.1</formula>
    </cfRule>
    <cfRule type="cellIs" dxfId="3515" priority="3" operator="greaterThan">
      <formula>0.12</formula>
    </cfRule>
  </conditionalFormatting>
  <conditionalFormatting sqref="E28">
    <cfRule type="cellIs" dxfId="3514" priority="6" operator="lessThan">
      <formula>$B$8*100</formula>
    </cfRule>
    <cfRule type="cellIs" dxfId="3513" priority="7" operator="greaterThan">
      <formula>$B$8*100</formula>
    </cfRule>
  </conditionalFormatting>
  <hyperlinks>
    <hyperlink ref="A32" r:id="rId1" display="https://www.zillow.com/homes/recently_sold/" xr:uid="{0C01BD7B-96F6-455E-B762-F8F5FC95A106}"/>
    <hyperlink ref="A21" r:id="rId2" xr:uid="{01D5217D-51C9-4CA7-BF70-96C0D58420D1}"/>
    <hyperlink ref="A25" r:id="rId3" display="www.mortgagecalculator.org" xr:uid="{866A8857-0D98-4163-A827-F289857BA689}"/>
    <hyperlink ref="A12" r:id="rId4" xr:uid="{6E6EC8CC-DFEF-4A2A-BBC8-FA5B81C72312}"/>
  </hyperlinks>
  <pageMargins left="0.7" right="0.7" top="0.75" bottom="0.75" header="0.3" footer="0.3"/>
  <legacyDrawing r:id="rId5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CFE50-92AB-47F8-AD05-4668091D5B3B}">
  <sheetPr codeName="Sheet138">
    <tabColor rgb="FF92D050"/>
  </sheetPr>
  <dimension ref="A1:P42"/>
  <sheetViews>
    <sheetView topLeftCell="A11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210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72165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48150</v>
      </c>
      <c r="D15" s="2"/>
      <c r="E15" s="3"/>
    </row>
    <row r="16" spans="1:10" x14ac:dyDescent="0.25">
      <c r="A16" s="7" t="s">
        <v>20</v>
      </c>
      <c r="B16" s="17">
        <f>B15+B13</f>
        <v>120315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4211.0250000000005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116103.97500000001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773*2</f>
        <v>1546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1203.1500000000001</v>
      </c>
      <c r="D22" s="7" t="s">
        <v>77</v>
      </c>
      <c r="E22" s="17">
        <f>B16*0.01</f>
        <v>1203.1500000000001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>
        <v>140</v>
      </c>
    </row>
    <row r="25" spans="1:16" ht="15.75" thickBot="1" x14ac:dyDescent="0.3">
      <c r="A25" s="26" t="s">
        <v>37</v>
      </c>
      <c r="B25" s="8">
        <v>853.21</v>
      </c>
      <c r="D25" s="7" t="s">
        <v>38</v>
      </c>
      <c r="E25" s="35">
        <f>B25</f>
        <v>853.21</v>
      </c>
      <c r="G25" s="36" t="s">
        <v>39</v>
      </c>
      <c r="H25" s="37"/>
      <c r="I25" s="38">
        <f>SUM(I21:I24)</f>
        <v>140</v>
      </c>
    </row>
    <row r="26" spans="1:16" x14ac:dyDescent="0.25">
      <c r="A26" s="7" t="s">
        <v>40</v>
      </c>
      <c r="B26" s="17">
        <f>B25+I25+I34</f>
        <v>1379.71</v>
      </c>
      <c r="D26" s="7" t="s">
        <v>41</v>
      </c>
      <c r="E26" s="17">
        <f>E25+I25+I34</f>
        <v>1379.71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166.28999999999996</v>
      </c>
      <c r="D28" s="7" t="s">
        <v>43</v>
      </c>
      <c r="E28" s="44">
        <f>E21-E25-I25-I34+I24+I33</f>
        <v>-35.11000000000007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0.47387037597734499</v>
      </c>
      <c r="D29" s="46" t="s">
        <v>44</v>
      </c>
      <c r="E29" s="47">
        <f>(E28*12)/B17</f>
        <v>-0.1000516501326876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77.300000000000011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77.300000000000011</v>
      </c>
    </row>
    <row r="32" spans="1:16" x14ac:dyDescent="0.25">
      <c r="A32" s="26" t="s">
        <v>49</v>
      </c>
      <c r="B32" s="8">
        <f>B16</f>
        <v>120315</v>
      </c>
      <c r="G32" s="27" t="s">
        <v>50</v>
      </c>
      <c r="H32" s="48">
        <v>0.05</v>
      </c>
      <c r="I32" s="49">
        <f>$B$21*H32</f>
        <v>77.300000000000011</v>
      </c>
    </row>
    <row r="33" spans="1:9" x14ac:dyDescent="0.25">
      <c r="A33" s="7" t="s">
        <v>51</v>
      </c>
      <c r="B33" s="17">
        <f>B32-B18</f>
        <v>4211.0249999999942</v>
      </c>
      <c r="G33" s="27" t="s">
        <v>52</v>
      </c>
      <c r="H33" s="48">
        <v>0.1</v>
      </c>
      <c r="I33" s="49">
        <f>$B$21*H33</f>
        <v>154.60000000000002</v>
      </c>
    </row>
    <row r="34" spans="1:9" ht="15.75" thickBot="1" x14ac:dyDescent="0.3">
      <c r="A34" s="7" t="s">
        <v>53</v>
      </c>
      <c r="B34" s="50">
        <f>B33/B17</f>
        <v>0.99999999999999845</v>
      </c>
      <c r="G34" s="36" t="s">
        <v>39</v>
      </c>
      <c r="H34" s="37"/>
      <c r="I34" s="51">
        <f>SUM(I30:I33)</f>
        <v>386.50000000000006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82.240315625000008</v>
      </c>
      <c r="D39" s="58"/>
      <c r="E39" s="61"/>
    </row>
    <row r="40" spans="1:9" x14ac:dyDescent="0.25">
      <c r="A40" s="7" t="s">
        <v>58</v>
      </c>
      <c r="B40" s="17">
        <f>B25-B39</f>
        <v>770.96968437500004</v>
      </c>
      <c r="D40" s="58"/>
      <c r="E40" s="61"/>
    </row>
    <row r="41" spans="1:9" x14ac:dyDescent="0.25">
      <c r="A41" s="7" t="s">
        <v>59</v>
      </c>
      <c r="B41" s="43">
        <f>B21-B40-I25-I34</f>
        <v>248.5303156249999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0.70822751883448765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512" priority="28" operator="equal">
      <formula>"NO"</formula>
    </cfRule>
    <cfRule type="cellIs" dxfId="3511" priority="29" operator="equal">
      <formula>"YES"</formula>
    </cfRule>
  </conditionalFormatting>
  <conditionalFormatting sqref="E38">
    <cfRule type="cellIs" dxfId="3510" priority="26" operator="equal">
      <formula>"YES"</formula>
    </cfRule>
    <cfRule type="cellIs" dxfId="3509" priority="27" operator="equal">
      <formula>"NO"</formula>
    </cfRule>
  </conditionalFormatting>
  <conditionalFormatting sqref="B23">
    <cfRule type="cellIs" dxfId="3508" priority="24" operator="equal">
      <formula>"NO"</formula>
    </cfRule>
    <cfRule type="cellIs" dxfId="3507" priority="25" operator="equal">
      <formula>"YES"</formula>
    </cfRule>
  </conditionalFormatting>
  <conditionalFormatting sqref="B12">
    <cfRule type="containsText" dxfId="3506" priority="10" operator="containsText" text="Low">
      <formula>NOT(ISERROR(SEARCH("Low",B12)))</formula>
    </cfRule>
    <cfRule type="containsText" dxfId="3505" priority="11" operator="containsText" text="Medium">
      <formula>NOT(ISERROR(SEARCH("Medium",B12)))</formula>
    </cfRule>
    <cfRule type="containsText" dxfId="3504" priority="12" operator="containsText" text="High">
      <formula>NOT(ISERROR(SEARCH("High",B12)))</formula>
    </cfRule>
  </conditionalFormatting>
  <conditionalFormatting sqref="B29">
    <cfRule type="cellIs" dxfId="3503" priority="20" operator="between">
      <formula>10%</formula>
      <formula>11.9%</formula>
    </cfRule>
    <cfRule type="cellIs" dxfId="3502" priority="22" operator="lessThan">
      <formula>0.1</formula>
    </cfRule>
    <cfRule type="cellIs" dxfId="3501" priority="23" operator="greaterThanOrEqual">
      <formula>0.12</formula>
    </cfRule>
  </conditionalFormatting>
  <conditionalFormatting sqref="B42">
    <cfRule type="cellIs" dxfId="3500" priority="18" operator="between">
      <formula>0.1</formula>
      <formula>0.1199</formula>
    </cfRule>
    <cfRule type="cellIs" dxfId="3499" priority="19" operator="lessThan">
      <formula>0.1</formula>
    </cfRule>
    <cfRule type="cellIs" dxfId="3498" priority="21" operator="greaterThanOrEqual">
      <formula>0.12</formula>
    </cfRule>
  </conditionalFormatting>
  <conditionalFormatting sqref="B10">
    <cfRule type="containsText" dxfId="3497" priority="13" operator="containsText" text="Full">
      <formula>NOT(ISERROR(SEARCH("Full",B10)))</formula>
    </cfRule>
    <cfRule type="containsText" dxfId="3496" priority="14" operator="containsText" text="Heavy">
      <formula>NOT(ISERROR(SEARCH("Heavy",B10)))</formula>
    </cfRule>
    <cfRule type="containsText" dxfId="3495" priority="15" operator="containsText" text="Medium">
      <formula>NOT(ISERROR(SEARCH("Medium",B10)))</formula>
    </cfRule>
    <cfRule type="containsText" dxfId="3494" priority="16" operator="containsText" text="Light">
      <formula>NOT(ISERROR(SEARCH("Light",B10)))</formula>
    </cfRule>
    <cfRule type="containsText" dxfId="3493" priority="17" operator="containsText" text="None">
      <formula>NOT(ISERROR(SEARCH("None",B10)))</formula>
    </cfRule>
  </conditionalFormatting>
  <conditionalFormatting sqref="B28">
    <cfRule type="cellIs" dxfId="3492" priority="30" operator="lessThan">
      <formula>$B$8*100</formula>
    </cfRule>
    <cfRule type="cellIs" dxfId="3491" priority="31" operator="greaterThanOrEqual">
      <formula>$B$8*100</formula>
    </cfRule>
  </conditionalFormatting>
  <conditionalFormatting sqref="B41">
    <cfRule type="cellIs" dxfId="3490" priority="32" operator="lessThan">
      <formula>$B$8*100</formula>
    </cfRule>
    <cfRule type="cellIs" dxfId="3489" priority="33" operator="greaterThan">
      <formula>$B$8*100</formula>
    </cfRule>
    <cfRule type="cellIs" dxfId="3488" priority="34" operator="greaterThan">
      <formula>$B$8*100</formula>
    </cfRule>
  </conditionalFormatting>
  <conditionalFormatting sqref="B38">
    <cfRule type="cellIs" dxfId="3487" priority="8" operator="equal">
      <formula>"YES"</formula>
    </cfRule>
    <cfRule type="cellIs" dxfId="3486" priority="9" operator="equal">
      <formula>"NO"</formula>
    </cfRule>
  </conditionalFormatting>
  <conditionalFormatting sqref="E23:E26">
    <cfRule type="cellIs" dxfId="3485" priority="4" operator="equal">
      <formula>"NO"</formula>
    </cfRule>
    <cfRule type="cellIs" dxfId="3484" priority="5" operator="equal">
      <formula>"YES"</formula>
    </cfRule>
  </conditionalFormatting>
  <conditionalFormatting sqref="E29">
    <cfRule type="cellIs" dxfId="3483" priority="1" operator="between">
      <formula>10%</formula>
      <formula>12%</formula>
    </cfRule>
    <cfRule type="cellIs" dxfId="3482" priority="2" operator="lessThan">
      <formula>0.1</formula>
    </cfRule>
    <cfRule type="cellIs" dxfId="3481" priority="3" operator="greaterThan">
      <formula>0.12</formula>
    </cfRule>
  </conditionalFormatting>
  <conditionalFormatting sqref="E28">
    <cfRule type="cellIs" dxfId="3480" priority="6" operator="lessThan">
      <formula>$B$8*100</formula>
    </cfRule>
    <cfRule type="cellIs" dxfId="3479" priority="7" operator="greaterThan">
      <formula>$B$8*100</formula>
    </cfRule>
  </conditionalFormatting>
  <hyperlinks>
    <hyperlink ref="A32" r:id="rId1" display="https://www.zillow.com/homes/recently_sold/" xr:uid="{FF0FC910-2D0F-4854-9860-ED3ACE9F358F}"/>
    <hyperlink ref="A21" r:id="rId2" xr:uid="{C8BF04AB-3211-4FFA-AE73-70552AA09F1D}"/>
    <hyperlink ref="A25" r:id="rId3" display="www.mortgagecalculator.org" xr:uid="{7970E50E-9B51-493A-9812-4EAE68E0D8AE}"/>
    <hyperlink ref="A12" r:id="rId4" xr:uid="{AE9CD26A-2C78-4CF0-B8C6-8D3B0C40488D}"/>
  </hyperlinks>
  <pageMargins left="0.7" right="0.7" top="0.75" bottom="0.75" header="0.3" footer="0.3"/>
  <legacyDrawing r:id="rId5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A8AF-CB8B-4436-8D2E-831D6E358BF3}">
  <sheetPr codeName="Sheet139">
    <tabColor rgb="FFFF0000"/>
  </sheetPr>
  <dimension ref="A1:P42"/>
  <sheetViews>
    <sheetView topLeftCell="A10" workbookViewId="0">
      <selection activeCell="A24" sqref="A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174000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1337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156600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156600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7830</v>
      </c>
      <c r="D17" s="19"/>
      <c r="E17" s="20"/>
      <c r="P17" s="21"/>
    </row>
    <row r="18" spans="1:16" x14ac:dyDescent="0.25">
      <c r="A18" s="7" t="s">
        <v>23</v>
      </c>
      <c r="B18" s="17">
        <f>B16-B17</f>
        <v>148770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1398</f>
        <v>1398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1566</v>
      </c>
      <c r="D22" s="7" t="s">
        <v>77</v>
      </c>
      <c r="E22" s="17">
        <f>B16*0.01</f>
        <v>1566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1044.3599999999999</v>
      </c>
      <c r="D25" s="7" t="s">
        <v>38</v>
      </c>
      <c r="E25" s="35">
        <f>B25</f>
        <v>1044.3599999999999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1393.86</v>
      </c>
      <c r="D26" s="7" t="s">
        <v>41</v>
      </c>
      <c r="E26" s="17">
        <f>E25+I25+I34</f>
        <v>1393.86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4.1400000000001</v>
      </c>
      <c r="D28" s="7" t="s">
        <v>43</v>
      </c>
      <c r="E28" s="44">
        <f>E21-E25-I25-I34+I24+I33</f>
        <v>-204.05999999999989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6.3448275862070498E-3</v>
      </c>
      <c r="D29" s="46" t="s">
        <v>44</v>
      </c>
      <c r="E29" s="47">
        <f>(E28*12)/B17</f>
        <v>-0.31273563218390782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69.900000000000006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69.900000000000006</v>
      </c>
    </row>
    <row r="32" spans="1:16" x14ac:dyDescent="0.25">
      <c r="A32" s="26" t="s">
        <v>49</v>
      </c>
      <c r="B32" s="8">
        <f>B16</f>
        <v>156600</v>
      </c>
      <c r="G32" s="27" t="s">
        <v>50</v>
      </c>
      <c r="H32" s="48">
        <v>0.05</v>
      </c>
      <c r="I32" s="49">
        <f>$B$21*H32</f>
        <v>69.900000000000006</v>
      </c>
    </row>
    <row r="33" spans="1:9" x14ac:dyDescent="0.25">
      <c r="A33" s="7" t="s">
        <v>51</v>
      </c>
      <c r="B33" s="17">
        <f>B32-B18</f>
        <v>7830</v>
      </c>
      <c r="G33" s="27" t="s">
        <v>52</v>
      </c>
      <c r="H33" s="48">
        <v>0.1</v>
      </c>
      <c r="I33" s="49">
        <f>$B$21*H33</f>
        <v>139.80000000000001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349.5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105.37875000000001</v>
      </c>
      <c r="D39" s="58"/>
      <c r="E39" s="61"/>
    </row>
    <row r="40" spans="1:9" x14ac:dyDescent="0.25">
      <c r="A40" s="7" t="s">
        <v>58</v>
      </c>
      <c r="B40" s="17">
        <f>B25-B39</f>
        <v>938.98124999999993</v>
      </c>
      <c r="D40" s="58"/>
      <c r="E40" s="61"/>
    </row>
    <row r="41" spans="1:9" x14ac:dyDescent="0.25">
      <c r="A41" s="7" t="s">
        <v>59</v>
      </c>
      <c r="B41" s="43">
        <f>B21-B40-I25-I34</f>
        <v>109.51875000000007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0.167844827586207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478" priority="28" operator="equal">
      <formula>"NO"</formula>
    </cfRule>
    <cfRule type="cellIs" dxfId="3477" priority="29" operator="equal">
      <formula>"YES"</formula>
    </cfRule>
  </conditionalFormatting>
  <conditionalFormatting sqref="E38">
    <cfRule type="cellIs" dxfId="3476" priority="26" operator="equal">
      <formula>"YES"</formula>
    </cfRule>
    <cfRule type="cellIs" dxfId="3475" priority="27" operator="equal">
      <formula>"NO"</formula>
    </cfRule>
  </conditionalFormatting>
  <conditionalFormatting sqref="B23">
    <cfRule type="cellIs" dxfId="3474" priority="24" operator="equal">
      <formula>"NO"</formula>
    </cfRule>
    <cfRule type="cellIs" dxfId="3473" priority="25" operator="equal">
      <formula>"YES"</formula>
    </cfRule>
  </conditionalFormatting>
  <conditionalFormatting sqref="B12">
    <cfRule type="containsText" dxfId="3472" priority="10" operator="containsText" text="Low">
      <formula>NOT(ISERROR(SEARCH("Low",B12)))</formula>
    </cfRule>
    <cfRule type="containsText" dxfId="3471" priority="11" operator="containsText" text="Medium">
      <formula>NOT(ISERROR(SEARCH("Medium",B12)))</formula>
    </cfRule>
    <cfRule type="containsText" dxfId="3470" priority="12" operator="containsText" text="High">
      <formula>NOT(ISERROR(SEARCH("High",B12)))</formula>
    </cfRule>
  </conditionalFormatting>
  <conditionalFormatting sqref="B29">
    <cfRule type="cellIs" dxfId="3469" priority="20" operator="between">
      <formula>10%</formula>
      <formula>11.9%</formula>
    </cfRule>
    <cfRule type="cellIs" dxfId="3468" priority="22" operator="lessThan">
      <formula>0.1</formula>
    </cfRule>
    <cfRule type="cellIs" dxfId="3467" priority="23" operator="greaterThanOrEqual">
      <formula>0.12</formula>
    </cfRule>
  </conditionalFormatting>
  <conditionalFormatting sqref="B42">
    <cfRule type="cellIs" dxfId="3466" priority="18" operator="between">
      <formula>0.1</formula>
      <formula>0.1199</formula>
    </cfRule>
    <cfRule type="cellIs" dxfId="3465" priority="19" operator="lessThan">
      <formula>0.1</formula>
    </cfRule>
    <cfRule type="cellIs" dxfId="3464" priority="21" operator="greaterThanOrEqual">
      <formula>0.12</formula>
    </cfRule>
  </conditionalFormatting>
  <conditionalFormatting sqref="B10">
    <cfRule type="containsText" dxfId="3463" priority="13" operator="containsText" text="Full">
      <formula>NOT(ISERROR(SEARCH("Full",B10)))</formula>
    </cfRule>
    <cfRule type="containsText" dxfId="3462" priority="14" operator="containsText" text="Heavy">
      <formula>NOT(ISERROR(SEARCH("Heavy",B10)))</formula>
    </cfRule>
    <cfRule type="containsText" dxfId="3461" priority="15" operator="containsText" text="Medium">
      <formula>NOT(ISERROR(SEARCH("Medium",B10)))</formula>
    </cfRule>
    <cfRule type="containsText" dxfId="3460" priority="16" operator="containsText" text="Light">
      <formula>NOT(ISERROR(SEARCH("Light",B10)))</formula>
    </cfRule>
    <cfRule type="containsText" dxfId="3459" priority="17" operator="containsText" text="None">
      <formula>NOT(ISERROR(SEARCH("None",B10)))</formula>
    </cfRule>
  </conditionalFormatting>
  <conditionalFormatting sqref="B28">
    <cfRule type="cellIs" dxfId="3458" priority="30" operator="lessThan">
      <formula>$B$8*100</formula>
    </cfRule>
    <cfRule type="cellIs" dxfId="3457" priority="31" operator="greaterThanOrEqual">
      <formula>$B$8*100</formula>
    </cfRule>
  </conditionalFormatting>
  <conditionalFormatting sqref="B41">
    <cfRule type="cellIs" dxfId="3456" priority="32" operator="lessThan">
      <formula>$B$8*100</formula>
    </cfRule>
    <cfRule type="cellIs" dxfId="3455" priority="33" operator="greaterThan">
      <formula>$B$8*100</formula>
    </cfRule>
    <cfRule type="cellIs" dxfId="3454" priority="34" operator="greaterThan">
      <formula>$B$8*100</formula>
    </cfRule>
  </conditionalFormatting>
  <conditionalFormatting sqref="B38">
    <cfRule type="cellIs" dxfId="3453" priority="8" operator="equal">
      <formula>"YES"</formula>
    </cfRule>
    <cfRule type="cellIs" dxfId="3452" priority="9" operator="equal">
      <formula>"NO"</formula>
    </cfRule>
  </conditionalFormatting>
  <conditionalFormatting sqref="E23:E26">
    <cfRule type="cellIs" dxfId="3451" priority="4" operator="equal">
      <formula>"NO"</formula>
    </cfRule>
    <cfRule type="cellIs" dxfId="3450" priority="5" operator="equal">
      <formula>"YES"</formula>
    </cfRule>
  </conditionalFormatting>
  <conditionalFormatting sqref="E29">
    <cfRule type="cellIs" dxfId="3449" priority="1" operator="between">
      <formula>10%</formula>
      <formula>12%</formula>
    </cfRule>
    <cfRule type="cellIs" dxfId="3448" priority="2" operator="lessThan">
      <formula>0.1</formula>
    </cfRule>
    <cfRule type="cellIs" dxfId="3447" priority="3" operator="greaterThan">
      <formula>0.12</formula>
    </cfRule>
  </conditionalFormatting>
  <conditionalFormatting sqref="E28">
    <cfRule type="cellIs" dxfId="3446" priority="6" operator="lessThan">
      <formula>$B$8*100</formula>
    </cfRule>
    <cfRule type="cellIs" dxfId="3445" priority="7" operator="greaterThan">
      <formula>$B$8*100</formula>
    </cfRule>
  </conditionalFormatting>
  <hyperlinks>
    <hyperlink ref="A32" r:id="rId1" display="https://www.zillow.com/homes/recently_sold/" xr:uid="{5E621858-B692-4419-B028-BBCA81BE018A}"/>
    <hyperlink ref="A21" r:id="rId2" xr:uid="{21B817B9-56A2-4E73-B287-9496FB997A22}"/>
    <hyperlink ref="A25" r:id="rId3" display="www.mortgagecalculator.org" xr:uid="{810C5B46-F086-4062-B8CE-DCB40784ED01}"/>
    <hyperlink ref="A12" r:id="rId4" xr:uid="{D45B0768-1E35-43F6-BC64-E4EA0CE22083}"/>
  </hyperlinks>
  <pageMargins left="0.7" right="0.7" top="0.75" bottom="0.75" header="0.3" footer="0.3"/>
  <legacyDrawing r:id="rId5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DE3B-4019-4A70-A53B-BBB644BBFF90}">
  <sheetPr codeName="Sheet140">
    <tabColor rgb="FFFF0000"/>
  </sheetPr>
  <dimension ref="A1:P42"/>
  <sheetViews>
    <sheetView topLeftCell="A15" workbookViewId="0">
      <selection activeCell="A33" sqref="A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166500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20100</v>
      </c>
      <c r="D15" s="2"/>
      <c r="E15" s="3"/>
    </row>
    <row r="16" spans="1:10" x14ac:dyDescent="0.25">
      <c r="A16" s="7" t="s">
        <v>20</v>
      </c>
      <c r="B16" s="17">
        <f>B15+B13</f>
        <v>186600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6531.0000000000009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180069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1407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1866</v>
      </c>
      <c r="D22" s="7" t="s">
        <v>77</v>
      </c>
      <c r="E22" s="17">
        <f>B16*0.01</f>
        <v>1866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1256.82</v>
      </c>
      <c r="D25" s="7" t="s">
        <v>38</v>
      </c>
      <c r="E25" s="35">
        <f>B25</f>
        <v>1256.82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1608.57</v>
      </c>
      <c r="D26" s="7" t="s">
        <v>41</v>
      </c>
      <c r="E26" s="17">
        <f>E25+I25+I34</f>
        <v>1608.57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-201.56999999999994</v>
      </c>
      <c r="D28" s="7" t="s">
        <v>43</v>
      </c>
      <c r="E28" s="44">
        <f>E21-E25-I25-I34+I24+I33</f>
        <v>-417.86999999999989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-0.37036288470372053</v>
      </c>
      <c r="D29" s="46" t="s">
        <v>44</v>
      </c>
      <c r="E29" s="47">
        <f>(E28*12)/B17</f>
        <v>-0.76779053743683934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70.350000000000009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70.350000000000009</v>
      </c>
    </row>
    <row r="32" spans="1:16" x14ac:dyDescent="0.25">
      <c r="A32" s="26" t="s">
        <v>49</v>
      </c>
      <c r="B32" s="8">
        <f>B16</f>
        <v>186600</v>
      </c>
      <c r="G32" s="27" t="s">
        <v>50</v>
      </c>
      <c r="H32" s="48">
        <v>0.05</v>
      </c>
      <c r="I32" s="49">
        <f>$B$21*H32</f>
        <v>70.350000000000009</v>
      </c>
    </row>
    <row r="33" spans="1:9" x14ac:dyDescent="0.25">
      <c r="A33" s="7" t="s">
        <v>51</v>
      </c>
      <c r="B33" s="17">
        <f>B32-B18</f>
        <v>6531</v>
      </c>
      <c r="G33" s="27" t="s">
        <v>52</v>
      </c>
      <c r="H33" s="48">
        <v>0.1</v>
      </c>
      <c r="I33" s="49">
        <f>$B$21*H33</f>
        <v>140.70000000000002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351.75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127.54887500000001</v>
      </c>
      <c r="D39" s="58"/>
      <c r="E39" s="61"/>
    </row>
    <row r="40" spans="1:9" x14ac:dyDescent="0.25">
      <c r="A40" s="7" t="s">
        <v>58</v>
      </c>
      <c r="B40" s="17">
        <f>B25-B39</f>
        <v>1129.271125</v>
      </c>
      <c r="D40" s="58"/>
      <c r="E40" s="61"/>
    </row>
    <row r="41" spans="1:9" x14ac:dyDescent="0.25">
      <c r="A41" s="7" t="s">
        <v>59</v>
      </c>
      <c r="B41" s="43">
        <f>B21-B40-I25-I34</f>
        <v>-74.021124999999984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-0.13600574184657782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444" priority="28" operator="equal">
      <formula>"NO"</formula>
    </cfRule>
    <cfRule type="cellIs" dxfId="3443" priority="29" operator="equal">
      <formula>"YES"</formula>
    </cfRule>
  </conditionalFormatting>
  <conditionalFormatting sqref="E38">
    <cfRule type="cellIs" dxfId="3442" priority="26" operator="equal">
      <formula>"YES"</formula>
    </cfRule>
    <cfRule type="cellIs" dxfId="3441" priority="27" operator="equal">
      <formula>"NO"</formula>
    </cfRule>
  </conditionalFormatting>
  <conditionalFormatting sqref="B23">
    <cfRule type="cellIs" dxfId="3440" priority="24" operator="equal">
      <formula>"NO"</formula>
    </cfRule>
    <cfRule type="cellIs" dxfId="3439" priority="25" operator="equal">
      <formula>"YES"</formula>
    </cfRule>
  </conditionalFormatting>
  <conditionalFormatting sqref="B12">
    <cfRule type="containsText" dxfId="3438" priority="10" operator="containsText" text="Low">
      <formula>NOT(ISERROR(SEARCH("Low",B12)))</formula>
    </cfRule>
    <cfRule type="containsText" dxfId="3437" priority="11" operator="containsText" text="Medium">
      <formula>NOT(ISERROR(SEARCH("Medium",B12)))</formula>
    </cfRule>
    <cfRule type="containsText" dxfId="3436" priority="12" operator="containsText" text="High">
      <formula>NOT(ISERROR(SEARCH("High",B12)))</formula>
    </cfRule>
  </conditionalFormatting>
  <conditionalFormatting sqref="B29">
    <cfRule type="cellIs" dxfId="3435" priority="20" operator="between">
      <formula>10%</formula>
      <formula>11.9%</formula>
    </cfRule>
    <cfRule type="cellIs" dxfId="3434" priority="22" operator="lessThan">
      <formula>0.1</formula>
    </cfRule>
    <cfRule type="cellIs" dxfId="3433" priority="23" operator="greaterThanOrEqual">
      <formula>0.12</formula>
    </cfRule>
  </conditionalFormatting>
  <conditionalFormatting sqref="B42">
    <cfRule type="cellIs" dxfId="3432" priority="18" operator="between">
      <formula>0.1</formula>
      <formula>0.1199</formula>
    </cfRule>
    <cfRule type="cellIs" dxfId="3431" priority="19" operator="lessThan">
      <formula>0.1</formula>
    </cfRule>
    <cfRule type="cellIs" dxfId="3430" priority="21" operator="greaterThanOrEqual">
      <formula>0.12</formula>
    </cfRule>
  </conditionalFormatting>
  <conditionalFormatting sqref="B10">
    <cfRule type="containsText" dxfId="3429" priority="13" operator="containsText" text="Full">
      <formula>NOT(ISERROR(SEARCH("Full",B10)))</formula>
    </cfRule>
    <cfRule type="containsText" dxfId="3428" priority="14" operator="containsText" text="Heavy">
      <formula>NOT(ISERROR(SEARCH("Heavy",B10)))</formula>
    </cfRule>
    <cfRule type="containsText" dxfId="3427" priority="15" operator="containsText" text="Medium">
      <formula>NOT(ISERROR(SEARCH("Medium",B10)))</formula>
    </cfRule>
    <cfRule type="containsText" dxfId="3426" priority="16" operator="containsText" text="Light">
      <formula>NOT(ISERROR(SEARCH("Light",B10)))</formula>
    </cfRule>
    <cfRule type="containsText" dxfId="3425" priority="17" operator="containsText" text="None">
      <formula>NOT(ISERROR(SEARCH("None",B10)))</formula>
    </cfRule>
  </conditionalFormatting>
  <conditionalFormatting sqref="B28">
    <cfRule type="cellIs" dxfId="3424" priority="30" operator="lessThan">
      <formula>$B$8*100</formula>
    </cfRule>
    <cfRule type="cellIs" dxfId="3423" priority="31" operator="greaterThanOrEqual">
      <formula>$B$8*100</formula>
    </cfRule>
  </conditionalFormatting>
  <conditionalFormatting sqref="B41">
    <cfRule type="cellIs" dxfId="3422" priority="32" operator="lessThan">
      <formula>$B$8*100</formula>
    </cfRule>
    <cfRule type="cellIs" dxfId="3421" priority="33" operator="greaterThan">
      <formula>$B$8*100</formula>
    </cfRule>
    <cfRule type="cellIs" dxfId="3420" priority="34" operator="greaterThan">
      <formula>$B$8*100</formula>
    </cfRule>
  </conditionalFormatting>
  <conditionalFormatting sqref="B38">
    <cfRule type="cellIs" dxfId="3419" priority="8" operator="equal">
      <formula>"YES"</formula>
    </cfRule>
    <cfRule type="cellIs" dxfId="3418" priority="9" operator="equal">
      <formula>"NO"</formula>
    </cfRule>
  </conditionalFormatting>
  <conditionalFormatting sqref="E23:E26">
    <cfRule type="cellIs" dxfId="3417" priority="4" operator="equal">
      <formula>"NO"</formula>
    </cfRule>
    <cfRule type="cellIs" dxfId="3416" priority="5" operator="equal">
      <formula>"YES"</formula>
    </cfRule>
  </conditionalFormatting>
  <conditionalFormatting sqref="E29">
    <cfRule type="cellIs" dxfId="3415" priority="1" operator="between">
      <formula>10%</formula>
      <formula>12%</formula>
    </cfRule>
    <cfRule type="cellIs" dxfId="3414" priority="2" operator="lessThan">
      <formula>0.1</formula>
    </cfRule>
    <cfRule type="cellIs" dxfId="3413" priority="3" operator="greaterThan">
      <formula>0.12</formula>
    </cfRule>
  </conditionalFormatting>
  <conditionalFormatting sqref="E28">
    <cfRule type="cellIs" dxfId="3412" priority="6" operator="lessThan">
      <formula>$B$8*100</formula>
    </cfRule>
    <cfRule type="cellIs" dxfId="3411" priority="7" operator="greaterThan">
      <formula>$B$8*100</formula>
    </cfRule>
  </conditionalFormatting>
  <hyperlinks>
    <hyperlink ref="A32" r:id="rId1" display="https://www.zillow.com/homes/recently_sold/" xr:uid="{61D7230E-DBC5-45FA-B355-7CCCE496F9A0}"/>
    <hyperlink ref="A21" r:id="rId2" xr:uid="{FA291861-2F6B-4E80-8A84-C065455909C1}"/>
    <hyperlink ref="A25" r:id="rId3" display="www.mortgagecalculator.org" xr:uid="{4FC13CC1-0797-45DC-A2EC-519818DF4031}"/>
    <hyperlink ref="A12" r:id="rId4" xr:uid="{73AD522F-0486-4D0A-B867-40ABB41C4C78}"/>
  </hyperlinks>
  <pageMargins left="0.7" right="0.7" top="0.75" bottom="0.75" header="0.3" footer="0.3"/>
  <legacyDrawing r:id="rId5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1FF5C-DCB0-4137-96D2-2D82A7C6BB4B}">
  <sheetPr codeName="Sheet141">
    <tabColor rgb="FFFF0000"/>
  </sheetPr>
  <dimension ref="A1:P42"/>
  <sheetViews>
    <sheetView topLeftCell="A18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250000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2660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225000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11250</v>
      </c>
      <c r="D17" s="19"/>
      <c r="E17" s="20"/>
      <c r="P17" s="21"/>
    </row>
    <row r="18" spans="1:16" x14ac:dyDescent="0.25">
      <c r="A18" s="7" t="s">
        <v>23</v>
      </c>
      <c r="B18" s="17">
        <f>B16-B17</f>
        <v>213750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1885</f>
        <v>1885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2250</v>
      </c>
      <c r="D22" s="7" t="s">
        <v>77</v>
      </c>
      <c r="E22" s="17">
        <f>B16*0.01</f>
        <v>2250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1501.76</v>
      </c>
      <c r="D25" s="7" t="s">
        <v>38</v>
      </c>
      <c r="E25" s="35">
        <f>B25</f>
        <v>1501.76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1973.01</v>
      </c>
      <c r="D26" s="7" t="s">
        <v>41</v>
      </c>
      <c r="E26" s="17">
        <f>E25+I25+I34</f>
        <v>1973.01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-88.009999999999991</v>
      </c>
      <c r="D28" s="7" t="s">
        <v>43</v>
      </c>
      <c r="E28" s="44">
        <f>E21-E25-I25-I34+I24+I33</f>
        <v>-734.51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-9.3877333333333327E-2</v>
      </c>
      <c r="D29" s="46" t="s">
        <v>44</v>
      </c>
      <c r="E29" s="47">
        <f>(E28*12)/B17</f>
        <v>-0.78347733333333325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94.25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94.25</v>
      </c>
    </row>
    <row r="32" spans="1:16" x14ac:dyDescent="0.25">
      <c r="A32" s="26" t="s">
        <v>49</v>
      </c>
      <c r="B32" s="8">
        <f>B16</f>
        <v>225000</v>
      </c>
      <c r="G32" s="27" t="s">
        <v>50</v>
      </c>
      <c r="H32" s="48">
        <v>0.05</v>
      </c>
      <c r="I32" s="49">
        <f>$B$21*H32</f>
        <v>94.25</v>
      </c>
    </row>
    <row r="33" spans="1:9" x14ac:dyDescent="0.25">
      <c r="A33" s="7" t="s">
        <v>51</v>
      </c>
      <c r="B33" s="17">
        <f>B32-B18</f>
        <v>11250</v>
      </c>
      <c r="G33" s="27" t="s">
        <v>52</v>
      </c>
      <c r="H33" s="48">
        <v>0.1</v>
      </c>
      <c r="I33" s="49">
        <f>$B$21*H33</f>
        <v>188.5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471.25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151.40625000000003</v>
      </c>
      <c r="D39" s="58"/>
      <c r="E39" s="61"/>
    </row>
    <row r="40" spans="1:9" x14ac:dyDescent="0.25">
      <c r="A40" s="7" t="s">
        <v>58</v>
      </c>
      <c r="B40" s="17">
        <f>B25-B39</f>
        <v>1350.35375</v>
      </c>
      <c r="D40" s="58"/>
      <c r="E40" s="61"/>
    </row>
    <row r="41" spans="1:9" x14ac:dyDescent="0.25">
      <c r="A41" s="7" t="s">
        <v>59</v>
      </c>
      <c r="B41" s="43">
        <f>B21-B40-I25-I34</f>
        <v>63.396250000000009</v>
      </c>
      <c r="D41" s="58"/>
      <c r="E41" s="61"/>
    </row>
    <row r="42" spans="1:9" ht="15.75" thickBot="1" x14ac:dyDescent="0.3">
      <c r="A42" s="46" t="s">
        <v>44</v>
      </c>
      <c r="B42" s="47">
        <f>(B41*12)/B17</f>
        <v>6.7622666666666678E-2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410" priority="28" operator="equal">
      <formula>"NO"</formula>
    </cfRule>
    <cfRule type="cellIs" dxfId="3409" priority="29" operator="equal">
      <formula>"YES"</formula>
    </cfRule>
  </conditionalFormatting>
  <conditionalFormatting sqref="E38">
    <cfRule type="cellIs" dxfId="3408" priority="26" operator="equal">
      <formula>"YES"</formula>
    </cfRule>
    <cfRule type="cellIs" dxfId="3407" priority="27" operator="equal">
      <formula>"NO"</formula>
    </cfRule>
  </conditionalFormatting>
  <conditionalFormatting sqref="B23">
    <cfRule type="cellIs" dxfId="3406" priority="24" operator="equal">
      <formula>"NO"</formula>
    </cfRule>
    <cfRule type="cellIs" dxfId="3405" priority="25" operator="equal">
      <formula>"YES"</formula>
    </cfRule>
  </conditionalFormatting>
  <conditionalFormatting sqref="B12">
    <cfRule type="containsText" dxfId="3404" priority="10" operator="containsText" text="Low">
      <formula>NOT(ISERROR(SEARCH("Low",B12)))</formula>
    </cfRule>
    <cfRule type="containsText" dxfId="3403" priority="11" operator="containsText" text="Medium">
      <formula>NOT(ISERROR(SEARCH("Medium",B12)))</formula>
    </cfRule>
    <cfRule type="containsText" dxfId="3402" priority="12" operator="containsText" text="High">
      <formula>NOT(ISERROR(SEARCH("High",B12)))</formula>
    </cfRule>
  </conditionalFormatting>
  <conditionalFormatting sqref="B29">
    <cfRule type="cellIs" dxfId="3401" priority="20" operator="between">
      <formula>10%</formula>
      <formula>11.9%</formula>
    </cfRule>
    <cfRule type="cellIs" dxfId="3400" priority="22" operator="lessThan">
      <formula>0.1</formula>
    </cfRule>
    <cfRule type="cellIs" dxfId="3399" priority="23" operator="greaterThanOrEqual">
      <formula>0.12</formula>
    </cfRule>
  </conditionalFormatting>
  <conditionalFormatting sqref="B42">
    <cfRule type="cellIs" dxfId="3398" priority="18" operator="between">
      <formula>0.1</formula>
      <formula>0.1199</formula>
    </cfRule>
    <cfRule type="cellIs" dxfId="3397" priority="19" operator="lessThan">
      <formula>0.1</formula>
    </cfRule>
    <cfRule type="cellIs" dxfId="3396" priority="21" operator="greaterThanOrEqual">
      <formula>0.12</formula>
    </cfRule>
  </conditionalFormatting>
  <conditionalFormatting sqref="B10">
    <cfRule type="containsText" dxfId="3395" priority="13" operator="containsText" text="Full">
      <formula>NOT(ISERROR(SEARCH("Full",B10)))</formula>
    </cfRule>
    <cfRule type="containsText" dxfId="3394" priority="14" operator="containsText" text="Heavy">
      <formula>NOT(ISERROR(SEARCH("Heavy",B10)))</formula>
    </cfRule>
    <cfRule type="containsText" dxfId="3393" priority="15" operator="containsText" text="Medium">
      <formula>NOT(ISERROR(SEARCH("Medium",B10)))</formula>
    </cfRule>
    <cfRule type="containsText" dxfId="3392" priority="16" operator="containsText" text="Light">
      <formula>NOT(ISERROR(SEARCH("Light",B10)))</formula>
    </cfRule>
    <cfRule type="containsText" dxfId="3391" priority="17" operator="containsText" text="None">
      <formula>NOT(ISERROR(SEARCH("None",B10)))</formula>
    </cfRule>
  </conditionalFormatting>
  <conditionalFormatting sqref="B28">
    <cfRule type="cellIs" dxfId="3390" priority="30" operator="lessThan">
      <formula>$B$8*100</formula>
    </cfRule>
    <cfRule type="cellIs" dxfId="3389" priority="31" operator="greaterThanOrEqual">
      <formula>$B$8*100</formula>
    </cfRule>
  </conditionalFormatting>
  <conditionalFormatting sqref="B41">
    <cfRule type="cellIs" dxfId="3388" priority="32" operator="lessThan">
      <formula>$B$8*100</formula>
    </cfRule>
    <cfRule type="cellIs" dxfId="3387" priority="33" operator="greaterThan">
      <formula>$B$8*100</formula>
    </cfRule>
    <cfRule type="cellIs" dxfId="3386" priority="34" operator="greaterThan">
      <formula>$B$8*100</formula>
    </cfRule>
  </conditionalFormatting>
  <conditionalFormatting sqref="B38">
    <cfRule type="cellIs" dxfId="3385" priority="8" operator="equal">
      <formula>"YES"</formula>
    </cfRule>
    <cfRule type="cellIs" dxfId="3384" priority="9" operator="equal">
      <formula>"NO"</formula>
    </cfRule>
  </conditionalFormatting>
  <conditionalFormatting sqref="E23:E26">
    <cfRule type="cellIs" dxfId="3383" priority="4" operator="equal">
      <formula>"NO"</formula>
    </cfRule>
    <cfRule type="cellIs" dxfId="3382" priority="5" operator="equal">
      <formula>"YES"</formula>
    </cfRule>
  </conditionalFormatting>
  <conditionalFormatting sqref="E29">
    <cfRule type="cellIs" dxfId="3381" priority="1" operator="between">
      <formula>10%</formula>
      <formula>12%</formula>
    </cfRule>
    <cfRule type="cellIs" dxfId="3380" priority="2" operator="lessThan">
      <formula>0.1</formula>
    </cfRule>
    <cfRule type="cellIs" dxfId="3379" priority="3" operator="greaterThan">
      <formula>0.12</formula>
    </cfRule>
  </conditionalFormatting>
  <conditionalFormatting sqref="E28">
    <cfRule type="cellIs" dxfId="3378" priority="6" operator="lessThan">
      <formula>$B$8*100</formula>
    </cfRule>
    <cfRule type="cellIs" dxfId="3377" priority="7" operator="greaterThan">
      <formula>$B$8*100</formula>
    </cfRule>
  </conditionalFormatting>
  <hyperlinks>
    <hyperlink ref="A32" r:id="rId1" display="https://www.zillow.com/homes/recently_sold/" xr:uid="{DEAE28D1-D50B-4710-A300-0A9974A43229}"/>
    <hyperlink ref="A21" r:id="rId2" xr:uid="{6529672A-36CA-477B-BD4E-143B22B29102}"/>
    <hyperlink ref="A25" r:id="rId3" display="www.mortgagecalculator.org" xr:uid="{9E185D08-0362-41E9-80C9-5B7CAB46067B}"/>
    <hyperlink ref="A12" r:id="rId4" xr:uid="{4C917384-0B01-4C3B-8C4B-DB7DE9F4D9A8}"/>
  </hyperlinks>
  <pageMargins left="0.7" right="0.7" top="0.75" bottom="0.75" header="0.3" footer="0.3"/>
  <legacyDrawing r:id="rId5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2A98B-0DAA-4391-ACDE-35D111961062}">
  <sheetPr codeName="Sheet142">
    <tabColor rgb="FFFF0000"/>
  </sheetPr>
  <dimension ref="A1:P42"/>
  <sheetViews>
    <sheetView topLeftCell="A13" workbookViewId="0">
      <selection activeCell="B29" sqref="B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204900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1396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204900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204900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10245</v>
      </c>
      <c r="D17" s="19"/>
      <c r="E17" s="20"/>
      <c r="P17" s="21"/>
    </row>
    <row r="18" spans="1:16" x14ac:dyDescent="0.25">
      <c r="A18" s="7" t="s">
        <v>23</v>
      </c>
      <c r="B18" s="17">
        <f>B16-B17</f>
        <v>194655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2049</v>
      </c>
      <c r="D22" s="7" t="s">
        <v>77</v>
      </c>
      <c r="E22" s="17">
        <f>B16*0.01</f>
        <v>2049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1337.41</v>
      </c>
      <c r="D25" s="7" t="s">
        <v>38</v>
      </c>
      <c r="E25" s="35">
        <f>B25</f>
        <v>1337.41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1787.41</v>
      </c>
      <c r="D26" s="7" t="s">
        <v>41</v>
      </c>
      <c r="E26" s="17">
        <f>E25+I25+I34</f>
        <v>1787.41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12.589999999999918</v>
      </c>
      <c r="D28" s="7" t="s">
        <v>43</v>
      </c>
      <c r="E28" s="44">
        <f>E21-E25-I25-I34+I24+I33</f>
        <v>-557.41000000000008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1.4746705710102392E-2</v>
      </c>
      <c r="D29" s="46" t="s">
        <v>44</v>
      </c>
      <c r="E29" s="47">
        <f>(E28*12)/B17</f>
        <v>-0.6528960468521231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</v>
      </c>
    </row>
    <row r="32" spans="1:16" x14ac:dyDescent="0.25">
      <c r="A32" s="26" t="s">
        <v>49</v>
      </c>
      <c r="B32" s="8">
        <f>B16</f>
        <v>204900</v>
      </c>
      <c r="G32" s="27" t="s">
        <v>50</v>
      </c>
      <c r="H32" s="48">
        <v>0.05</v>
      </c>
      <c r="I32" s="49">
        <f>$B$21*H32</f>
        <v>90</v>
      </c>
    </row>
    <row r="33" spans="1:9" x14ac:dyDescent="0.25">
      <c r="A33" s="7" t="s">
        <v>51</v>
      </c>
      <c r="B33" s="17">
        <f>B32-B18</f>
        <v>10245</v>
      </c>
      <c r="G33" s="27" t="s">
        <v>52</v>
      </c>
      <c r="H33" s="48">
        <v>0.1</v>
      </c>
      <c r="I33" s="49">
        <f>$B$21*H33</f>
        <v>180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137.88062500000001</v>
      </c>
      <c r="D39" s="58"/>
      <c r="E39" s="61"/>
    </row>
    <row r="40" spans="1:9" x14ac:dyDescent="0.25">
      <c r="A40" s="7" t="s">
        <v>58</v>
      </c>
      <c r="B40" s="17">
        <f>B25-B39</f>
        <v>1199.5293750000001</v>
      </c>
      <c r="D40" s="58"/>
      <c r="E40" s="61"/>
    </row>
    <row r="41" spans="1:9" x14ac:dyDescent="0.25">
      <c r="A41" s="7" t="s">
        <v>59</v>
      </c>
      <c r="B41" s="43">
        <f>B21-B40-I25-I34</f>
        <v>150.47062499999993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0.1762467057101024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376" priority="28" operator="equal">
      <formula>"NO"</formula>
    </cfRule>
    <cfRule type="cellIs" dxfId="3375" priority="29" operator="equal">
      <formula>"YES"</formula>
    </cfRule>
  </conditionalFormatting>
  <conditionalFormatting sqref="E38">
    <cfRule type="cellIs" dxfId="3374" priority="26" operator="equal">
      <formula>"YES"</formula>
    </cfRule>
    <cfRule type="cellIs" dxfId="3373" priority="27" operator="equal">
      <formula>"NO"</formula>
    </cfRule>
  </conditionalFormatting>
  <conditionalFormatting sqref="B23">
    <cfRule type="cellIs" dxfId="3372" priority="24" operator="equal">
      <formula>"NO"</formula>
    </cfRule>
    <cfRule type="cellIs" dxfId="3371" priority="25" operator="equal">
      <formula>"YES"</formula>
    </cfRule>
  </conditionalFormatting>
  <conditionalFormatting sqref="B12">
    <cfRule type="containsText" dxfId="3370" priority="10" operator="containsText" text="Low">
      <formula>NOT(ISERROR(SEARCH("Low",B12)))</formula>
    </cfRule>
    <cfRule type="containsText" dxfId="3369" priority="11" operator="containsText" text="Medium">
      <formula>NOT(ISERROR(SEARCH("Medium",B12)))</formula>
    </cfRule>
    <cfRule type="containsText" dxfId="3368" priority="12" operator="containsText" text="High">
      <formula>NOT(ISERROR(SEARCH("High",B12)))</formula>
    </cfRule>
  </conditionalFormatting>
  <conditionalFormatting sqref="B29">
    <cfRule type="cellIs" dxfId="3367" priority="20" operator="between">
      <formula>10%</formula>
      <formula>11.9%</formula>
    </cfRule>
    <cfRule type="cellIs" dxfId="3366" priority="22" operator="lessThan">
      <formula>0.1</formula>
    </cfRule>
    <cfRule type="cellIs" dxfId="3365" priority="23" operator="greaterThanOrEqual">
      <formula>0.12</formula>
    </cfRule>
  </conditionalFormatting>
  <conditionalFormatting sqref="B42">
    <cfRule type="cellIs" dxfId="3364" priority="18" operator="between">
      <formula>0.1</formula>
      <formula>0.1199</formula>
    </cfRule>
    <cfRule type="cellIs" dxfId="3363" priority="19" operator="lessThan">
      <formula>0.1</formula>
    </cfRule>
    <cfRule type="cellIs" dxfId="3362" priority="21" operator="greaterThanOrEqual">
      <formula>0.12</formula>
    </cfRule>
  </conditionalFormatting>
  <conditionalFormatting sqref="B10">
    <cfRule type="containsText" dxfId="3361" priority="13" operator="containsText" text="Full">
      <formula>NOT(ISERROR(SEARCH("Full",B10)))</formula>
    </cfRule>
    <cfRule type="containsText" dxfId="3360" priority="14" operator="containsText" text="Heavy">
      <formula>NOT(ISERROR(SEARCH("Heavy",B10)))</formula>
    </cfRule>
    <cfRule type="containsText" dxfId="3359" priority="15" operator="containsText" text="Medium">
      <formula>NOT(ISERROR(SEARCH("Medium",B10)))</formula>
    </cfRule>
    <cfRule type="containsText" dxfId="3358" priority="16" operator="containsText" text="Light">
      <formula>NOT(ISERROR(SEARCH("Light",B10)))</formula>
    </cfRule>
    <cfRule type="containsText" dxfId="3357" priority="17" operator="containsText" text="None">
      <formula>NOT(ISERROR(SEARCH("None",B10)))</formula>
    </cfRule>
  </conditionalFormatting>
  <conditionalFormatting sqref="B28">
    <cfRule type="cellIs" dxfId="3356" priority="30" operator="lessThan">
      <formula>$B$8*100</formula>
    </cfRule>
    <cfRule type="cellIs" dxfId="3355" priority="31" operator="greaterThanOrEqual">
      <formula>$B$8*100</formula>
    </cfRule>
  </conditionalFormatting>
  <conditionalFormatting sqref="B41">
    <cfRule type="cellIs" dxfId="3354" priority="32" operator="lessThan">
      <formula>$B$8*100</formula>
    </cfRule>
    <cfRule type="cellIs" dxfId="3353" priority="33" operator="greaterThan">
      <formula>$B$8*100</formula>
    </cfRule>
    <cfRule type="cellIs" dxfId="3352" priority="34" operator="greaterThan">
      <formula>$B$8*100</formula>
    </cfRule>
  </conditionalFormatting>
  <conditionalFormatting sqref="B38">
    <cfRule type="cellIs" dxfId="3351" priority="8" operator="equal">
      <formula>"YES"</formula>
    </cfRule>
    <cfRule type="cellIs" dxfId="3350" priority="9" operator="equal">
      <formula>"NO"</formula>
    </cfRule>
  </conditionalFormatting>
  <conditionalFormatting sqref="E23:E26">
    <cfRule type="cellIs" dxfId="3349" priority="4" operator="equal">
      <formula>"NO"</formula>
    </cfRule>
    <cfRule type="cellIs" dxfId="3348" priority="5" operator="equal">
      <formula>"YES"</formula>
    </cfRule>
  </conditionalFormatting>
  <conditionalFormatting sqref="E29">
    <cfRule type="cellIs" dxfId="3347" priority="1" operator="between">
      <formula>10%</formula>
      <formula>12%</formula>
    </cfRule>
    <cfRule type="cellIs" dxfId="3346" priority="2" operator="lessThan">
      <formula>0.1</formula>
    </cfRule>
    <cfRule type="cellIs" dxfId="3345" priority="3" operator="greaterThan">
      <formula>0.12</formula>
    </cfRule>
  </conditionalFormatting>
  <conditionalFormatting sqref="E28">
    <cfRule type="cellIs" dxfId="3344" priority="6" operator="lessThan">
      <formula>$B$8*100</formula>
    </cfRule>
    <cfRule type="cellIs" dxfId="3343" priority="7" operator="greaterThan">
      <formula>$B$8*100</formula>
    </cfRule>
  </conditionalFormatting>
  <hyperlinks>
    <hyperlink ref="A32" r:id="rId1" display="https://www.zillow.com/homes/recently_sold/" xr:uid="{99CCC51F-D6C7-4012-BA5A-35D586C24ACE}"/>
    <hyperlink ref="A21" r:id="rId2" xr:uid="{D62CE18D-14DD-4F7B-B142-12050E9B90EE}"/>
    <hyperlink ref="A25" r:id="rId3" display="www.mortgagecalculator.org" xr:uid="{5FFE2177-1F13-4E01-ADC1-27CE4A8C6604}"/>
    <hyperlink ref="A12" r:id="rId4" xr:uid="{B547A686-DDD5-4135-A156-132A882D9BB1}"/>
  </hyperlinks>
  <pageMargins left="0.7" right="0.7" top="0.75" bottom="0.75" header="0.3" footer="0.3"/>
  <legacyDrawing r:id="rId5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9D58-8A8F-400F-9FB7-9990114A5182}">
  <sheetPr codeName="Sheet143">
    <tabColor rgb="FFFF000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209900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1524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209900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10495</v>
      </c>
      <c r="D17" s="19"/>
      <c r="E17" s="20"/>
      <c r="P17" s="21"/>
    </row>
    <row r="18" spans="1:16" x14ac:dyDescent="0.25">
      <c r="A18" s="7" t="s">
        <v>23</v>
      </c>
      <c r="B18" s="17">
        <f>B16-B17</f>
        <v>199405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2099</v>
      </c>
      <c r="D22" s="7" t="s">
        <v>77</v>
      </c>
      <c r="E22" s="17">
        <f>B16*0.01</f>
        <v>2099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1361.71</v>
      </c>
      <c r="D25" s="7" t="s">
        <v>38</v>
      </c>
      <c r="E25" s="35">
        <f>B25</f>
        <v>1361.71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1811.71</v>
      </c>
      <c r="D26" s="7" t="s">
        <v>41</v>
      </c>
      <c r="E26" s="17">
        <f>E25+I25+I34</f>
        <v>1811.71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-11.710000000000036</v>
      </c>
      <c r="D28" s="7" t="s">
        <v>43</v>
      </c>
      <c r="E28" s="44">
        <f>E21-E25-I25-I34+I24+I33</f>
        <v>-581.71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-1.3389232968080081E-2</v>
      </c>
      <c r="D29" s="46" t="s">
        <v>44</v>
      </c>
      <c r="E29" s="47">
        <f>(E28*12)/B17</f>
        <v>-0.66512815626488808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</v>
      </c>
    </row>
    <row r="32" spans="1:16" x14ac:dyDescent="0.25">
      <c r="A32" s="26" t="s">
        <v>49</v>
      </c>
      <c r="B32" s="8">
        <f>B16</f>
        <v>209900</v>
      </c>
      <c r="G32" s="27" t="s">
        <v>50</v>
      </c>
      <c r="H32" s="48">
        <v>0.05</v>
      </c>
      <c r="I32" s="49">
        <f>$B$21*H32</f>
        <v>90</v>
      </c>
    </row>
    <row r="33" spans="1:9" x14ac:dyDescent="0.25">
      <c r="A33" s="7" t="s">
        <v>51</v>
      </c>
      <c r="B33" s="17">
        <f>B32-B18</f>
        <v>10495</v>
      </c>
      <c r="G33" s="27" t="s">
        <v>52</v>
      </c>
      <c r="H33" s="48">
        <v>0.1</v>
      </c>
      <c r="I33" s="49">
        <f>$B$21*H33</f>
        <v>180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141.24520833333335</v>
      </c>
      <c r="D39" s="58"/>
      <c r="E39" s="61"/>
    </row>
    <row r="40" spans="1:9" x14ac:dyDescent="0.25">
      <c r="A40" s="7" t="s">
        <v>58</v>
      </c>
      <c r="B40" s="17">
        <f>B25-B39</f>
        <v>1220.4647916666668</v>
      </c>
      <c r="D40" s="58"/>
      <c r="E40" s="61"/>
    </row>
    <row r="41" spans="1:9" x14ac:dyDescent="0.25">
      <c r="A41" s="7" t="s">
        <v>59</v>
      </c>
      <c r="B41" s="43">
        <f>B21-B40-I25-I34</f>
        <v>129.53520833333323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0.14811076703191983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342" priority="28" operator="equal">
      <formula>"NO"</formula>
    </cfRule>
    <cfRule type="cellIs" dxfId="3341" priority="29" operator="equal">
      <formula>"YES"</formula>
    </cfRule>
  </conditionalFormatting>
  <conditionalFormatting sqref="E38">
    <cfRule type="cellIs" dxfId="3340" priority="26" operator="equal">
      <formula>"YES"</formula>
    </cfRule>
    <cfRule type="cellIs" dxfId="3339" priority="27" operator="equal">
      <formula>"NO"</formula>
    </cfRule>
  </conditionalFormatting>
  <conditionalFormatting sqref="B23">
    <cfRule type="cellIs" dxfId="3338" priority="24" operator="equal">
      <formula>"NO"</formula>
    </cfRule>
    <cfRule type="cellIs" dxfId="3337" priority="25" operator="equal">
      <formula>"YES"</formula>
    </cfRule>
  </conditionalFormatting>
  <conditionalFormatting sqref="B12">
    <cfRule type="containsText" dxfId="3336" priority="10" operator="containsText" text="Low">
      <formula>NOT(ISERROR(SEARCH("Low",B12)))</formula>
    </cfRule>
    <cfRule type="containsText" dxfId="3335" priority="11" operator="containsText" text="Medium">
      <formula>NOT(ISERROR(SEARCH("Medium",B12)))</formula>
    </cfRule>
    <cfRule type="containsText" dxfId="3334" priority="12" operator="containsText" text="High">
      <formula>NOT(ISERROR(SEARCH("High",B12)))</formula>
    </cfRule>
  </conditionalFormatting>
  <conditionalFormatting sqref="B29">
    <cfRule type="cellIs" dxfId="3333" priority="20" operator="between">
      <formula>10%</formula>
      <formula>11.9%</formula>
    </cfRule>
    <cfRule type="cellIs" dxfId="3332" priority="22" operator="lessThan">
      <formula>0.1</formula>
    </cfRule>
    <cfRule type="cellIs" dxfId="3331" priority="23" operator="greaterThanOrEqual">
      <formula>0.12</formula>
    </cfRule>
  </conditionalFormatting>
  <conditionalFormatting sqref="B42">
    <cfRule type="cellIs" dxfId="3330" priority="18" operator="between">
      <formula>0.1</formula>
      <formula>0.1199</formula>
    </cfRule>
    <cfRule type="cellIs" dxfId="3329" priority="19" operator="lessThan">
      <formula>0.1</formula>
    </cfRule>
    <cfRule type="cellIs" dxfId="3328" priority="21" operator="greaterThanOrEqual">
      <formula>0.12</formula>
    </cfRule>
  </conditionalFormatting>
  <conditionalFormatting sqref="B10">
    <cfRule type="containsText" dxfId="3327" priority="13" operator="containsText" text="Full">
      <formula>NOT(ISERROR(SEARCH("Full",B10)))</formula>
    </cfRule>
    <cfRule type="containsText" dxfId="3326" priority="14" operator="containsText" text="Heavy">
      <formula>NOT(ISERROR(SEARCH("Heavy",B10)))</formula>
    </cfRule>
    <cfRule type="containsText" dxfId="3325" priority="15" operator="containsText" text="Medium">
      <formula>NOT(ISERROR(SEARCH("Medium",B10)))</formula>
    </cfRule>
    <cfRule type="containsText" dxfId="3324" priority="16" operator="containsText" text="Light">
      <formula>NOT(ISERROR(SEARCH("Light",B10)))</formula>
    </cfRule>
    <cfRule type="containsText" dxfId="3323" priority="17" operator="containsText" text="None">
      <formula>NOT(ISERROR(SEARCH("None",B10)))</formula>
    </cfRule>
  </conditionalFormatting>
  <conditionalFormatting sqref="B28">
    <cfRule type="cellIs" dxfId="3322" priority="30" operator="lessThan">
      <formula>$B$8*100</formula>
    </cfRule>
    <cfRule type="cellIs" dxfId="3321" priority="31" operator="greaterThanOrEqual">
      <formula>$B$8*100</formula>
    </cfRule>
  </conditionalFormatting>
  <conditionalFormatting sqref="B41">
    <cfRule type="cellIs" dxfId="3320" priority="32" operator="lessThan">
      <formula>$B$8*100</formula>
    </cfRule>
    <cfRule type="cellIs" dxfId="3319" priority="33" operator="greaterThan">
      <formula>$B$8*100</formula>
    </cfRule>
    <cfRule type="cellIs" dxfId="3318" priority="34" operator="greaterThan">
      <formula>$B$8*100</formula>
    </cfRule>
  </conditionalFormatting>
  <conditionalFormatting sqref="B38">
    <cfRule type="cellIs" dxfId="3317" priority="8" operator="equal">
      <formula>"YES"</formula>
    </cfRule>
    <cfRule type="cellIs" dxfId="3316" priority="9" operator="equal">
      <formula>"NO"</formula>
    </cfRule>
  </conditionalFormatting>
  <conditionalFormatting sqref="E23:E26">
    <cfRule type="cellIs" dxfId="3315" priority="4" operator="equal">
      <formula>"NO"</formula>
    </cfRule>
    <cfRule type="cellIs" dxfId="3314" priority="5" operator="equal">
      <formula>"YES"</formula>
    </cfRule>
  </conditionalFormatting>
  <conditionalFormatting sqref="E29">
    <cfRule type="cellIs" dxfId="3313" priority="1" operator="between">
      <formula>10%</formula>
      <formula>12%</formula>
    </cfRule>
    <cfRule type="cellIs" dxfId="3312" priority="2" operator="lessThan">
      <formula>0.1</formula>
    </cfRule>
    <cfRule type="cellIs" dxfId="3311" priority="3" operator="greaterThan">
      <formula>0.12</formula>
    </cfRule>
  </conditionalFormatting>
  <conditionalFormatting sqref="E28">
    <cfRule type="cellIs" dxfId="3310" priority="6" operator="lessThan">
      <formula>$B$8*100</formula>
    </cfRule>
    <cfRule type="cellIs" dxfId="3309" priority="7" operator="greaterThan">
      <formula>$B$8*100</formula>
    </cfRule>
  </conditionalFormatting>
  <hyperlinks>
    <hyperlink ref="A32" r:id="rId1" display="https://www.zillow.com/homes/recently_sold/" xr:uid="{3C9356B0-5A08-4016-9DF0-67FDD8B8A18A}"/>
    <hyperlink ref="A21" r:id="rId2" xr:uid="{993D3221-49E5-474B-8893-DE3EE9460D99}"/>
    <hyperlink ref="A25" r:id="rId3" display="www.mortgagecalculator.org" xr:uid="{830B24ED-7CD1-470F-92AD-3374DEE4B9C5}"/>
    <hyperlink ref="A12" r:id="rId4" xr:uid="{391D7A8E-330F-4296-B028-C237B983AD1D}"/>
  </hyperlinks>
  <pageMargins left="0.7" right="0.7" top="0.75" bottom="0.75" header="0.3" footer="0.3"/>
  <legacyDrawing r:id="rId5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C8F54-5202-48BE-A500-278A288F792E}">
  <sheetPr codeName="Sheet144">
    <tabColor rgb="FFFF0000"/>
  </sheetPr>
  <dimension ref="A1:P42"/>
  <sheetViews>
    <sheetView topLeftCell="A10" workbookViewId="0">
      <selection activeCell="C33" sqref="C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200000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1884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200000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10000</v>
      </c>
      <c r="D17" s="19"/>
      <c r="E17" s="20"/>
      <c r="P17" s="21"/>
    </row>
    <row r="18" spans="1:16" x14ac:dyDescent="0.25">
      <c r="A18" s="7" t="s">
        <v>23</v>
      </c>
      <c r="B18" s="17">
        <f>B16-B17</f>
        <v>190000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2000</v>
      </c>
      <c r="D22" s="7" t="s">
        <v>77</v>
      </c>
      <c r="E22" s="17">
        <f>B16*0.01</f>
        <v>2000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1330.27</v>
      </c>
      <c r="D25" s="7" t="s">
        <v>38</v>
      </c>
      <c r="E25" s="35">
        <f>B25</f>
        <v>1330.27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1780.27</v>
      </c>
      <c r="D26" s="7" t="s">
        <v>41</v>
      </c>
      <c r="E26" s="17">
        <f>E25+I25+I34</f>
        <v>1780.27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19.730000000000018</v>
      </c>
      <c r="D28" s="7" t="s">
        <v>43</v>
      </c>
      <c r="E28" s="44">
        <f>E21-E25-I25-I34+I24+I33</f>
        <v>-550.27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2.3676000000000023E-2</v>
      </c>
      <c r="D29" s="46" t="s">
        <v>44</v>
      </c>
      <c r="E29" s="47">
        <f>(E28*12)/B17</f>
        <v>-0.66032400000000002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</v>
      </c>
    </row>
    <row r="32" spans="1:16" x14ac:dyDescent="0.25">
      <c r="A32" s="26" t="s">
        <v>49</v>
      </c>
      <c r="B32" s="8">
        <f>B16</f>
        <v>200000</v>
      </c>
      <c r="G32" s="27" t="s">
        <v>50</v>
      </c>
      <c r="H32" s="48">
        <v>0.05</v>
      </c>
      <c r="I32" s="49">
        <f>$B$21*H32</f>
        <v>90</v>
      </c>
    </row>
    <row r="33" spans="1:9" x14ac:dyDescent="0.25">
      <c r="A33" s="7" t="s">
        <v>51</v>
      </c>
      <c r="B33" s="17">
        <f>B32-B18</f>
        <v>10000</v>
      </c>
      <c r="G33" s="27" t="s">
        <v>52</v>
      </c>
      <c r="H33" s="48">
        <v>0.1</v>
      </c>
      <c r="I33" s="49">
        <f>$B$21*H33</f>
        <v>180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450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134.58333333333334</v>
      </c>
      <c r="D39" s="58"/>
      <c r="E39" s="61"/>
    </row>
    <row r="40" spans="1:9" x14ac:dyDescent="0.25">
      <c r="A40" s="7" t="s">
        <v>58</v>
      </c>
      <c r="B40" s="17">
        <f>B25-B39</f>
        <v>1195.6866666666667</v>
      </c>
      <c r="D40" s="58"/>
      <c r="E40" s="61"/>
    </row>
    <row r="41" spans="1:9" x14ac:dyDescent="0.25">
      <c r="A41" s="7" t="s">
        <v>59</v>
      </c>
      <c r="B41" s="43">
        <f>B21-B40-I25-I34</f>
        <v>154.31333333333328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0.18517599999999992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308" priority="28" operator="equal">
      <formula>"NO"</formula>
    </cfRule>
    <cfRule type="cellIs" dxfId="3307" priority="29" operator="equal">
      <formula>"YES"</formula>
    </cfRule>
  </conditionalFormatting>
  <conditionalFormatting sqref="E38">
    <cfRule type="cellIs" dxfId="3306" priority="26" operator="equal">
      <formula>"YES"</formula>
    </cfRule>
    <cfRule type="cellIs" dxfId="3305" priority="27" operator="equal">
      <formula>"NO"</formula>
    </cfRule>
  </conditionalFormatting>
  <conditionalFormatting sqref="B23">
    <cfRule type="cellIs" dxfId="3304" priority="24" operator="equal">
      <formula>"NO"</formula>
    </cfRule>
    <cfRule type="cellIs" dxfId="3303" priority="25" operator="equal">
      <formula>"YES"</formula>
    </cfRule>
  </conditionalFormatting>
  <conditionalFormatting sqref="B12">
    <cfRule type="containsText" dxfId="3302" priority="10" operator="containsText" text="Low">
      <formula>NOT(ISERROR(SEARCH("Low",B12)))</formula>
    </cfRule>
    <cfRule type="containsText" dxfId="3301" priority="11" operator="containsText" text="Medium">
      <formula>NOT(ISERROR(SEARCH("Medium",B12)))</formula>
    </cfRule>
    <cfRule type="containsText" dxfId="3300" priority="12" operator="containsText" text="High">
      <formula>NOT(ISERROR(SEARCH("High",B12)))</formula>
    </cfRule>
  </conditionalFormatting>
  <conditionalFormatting sqref="B29">
    <cfRule type="cellIs" dxfId="3299" priority="20" operator="between">
      <formula>10%</formula>
      <formula>11.9%</formula>
    </cfRule>
    <cfRule type="cellIs" dxfId="3298" priority="22" operator="lessThan">
      <formula>0.1</formula>
    </cfRule>
    <cfRule type="cellIs" dxfId="3297" priority="23" operator="greaterThanOrEqual">
      <formula>0.12</formula>
    </cfRule>
  </conditionalFormatting>
  <conditionalFormatting sqref="B42">
    <cfRule type="cellIs" dxfId="3296" priority="18" operator="between">
      <formula>0.1</formula>
      <formula>0.1199</formula>
    </cfRule>
    <cfRule type="cellIs" dxfId="3295" priority="19" operator="lessThan">
      <formula>0.1</formula>
    </cfRule>
    <cfRule type="cellIs" dxfId="3294" priority="21" operator="greaterThanOrEqual">
      <formula>0.12</formula>
    </cfRule>
  </conditionalFormatting>
  <conditionalFormatting sqref="B10">
    <cfRule type="containsText" dxfId="3293" priority="13" operator="containsText" text="Full">
      <formula>NOT(ISERROR(SEARCH("Full",B10)))</formula>
    </cfRule>
    <cfRule type="containsText" dxfId="3292" priority="14" operator="containsText" text="Heavy">
      <formula>NOT(ISERROR(SEARCH("Heavy",B10)))</formula>
    </cfRule>
    <cfRule type="containsText" dxfId="3291" priority="15" operator="containsText" text="Medium">
      <formula>NOT(ISERROR(SEARCH("Medium",B10)))</formula>
    </cfRule>
    <cfRule type="containsText" dxfId="3290" priority="16" operator="containsText" text="Light">
      <formula>NOT(ISERROR(SEARCH("Light",B10)))</formula>
    </cfRule>
    <cfRule type="containsText" dxfId="3289" priority="17" operator="containsText" text="None">
      <formula>NOT(ISERROR(SEARCH("None",B10)))</formula>
    </cfRule>
  </conditionalFormatting>
  <conditionalFormatting sqref="B28">
    <cfRule type="cellIs" dxfId="3288" priority="30" operator="lessThan">
      <formula>$B$8*100</formula>
    </cfRule>
    <cfRule type="cellIs" dxfId="3287" priority="31" operator="greaterThanOrEqual">
      <formula>$B$8*100</formula>
    </cfRule>
  </conditionalFormatting>
  <conditionalFormatting sqref="B41">
    <cfRule type="cellIs" dxfId="3286" priority="32" operator="lessThan">
      <formula>$B$8*100</formula>
    </cfRule>
    <cfRule type="cellIs" dxfId="3285" priority="33" operator="greaterThan">
      <formula>$B$8*100</formula>
    </cfRule>
    <cfRule type="cellIs" dxfId="3284" priority="34" operator="greaterThan">
      <formula>$B$8*100</formula>
    </cfRule>
  </conditionalFormatting>
  <conditionalFormatting sqref="B38">
    <cfRule type="cellIs" dxfId="3283" priority="8" operator="equal">
      <formula>"YES"</formula>
    </cfRule>
    <cfRule type="cellIs" dxfId="3282" priority="9" operator="equal">
      <formula>"NO"</formula>
    </cfRule>
  </conditionalFormatting>
  <conditionalFormatting sqref="E23:E26">
    <cfRule type="cellIs" dxfId="3281" priority="4" operator="equal">
      <formula>"NO"</formula>
    </cfRule>
    <cfRule type="cellIs" dxfId="3280" priority="5" operator="equal">
      <formula>"YES"</formula>
    </cfRule>
  </conditionalFormatting>
  <conditionalFormatting sqref="E29">
    <cfRule type="cellIs" dxfId="3279" priority="1" operator="between">
      <formula>10%</formula>
      <formula>12%</formula>
    </cfRule>
    <cfRule type="cellIs" dxfId="3278" priority="2" operator="lessThan">
      <formula>0.1</formula>
    </cfRule>
    <cfRule type="cellIs" dxfId="3277" priority="3" operator="greaterThan">
      <formula>0.12</formula>
    </cfRule>
  </conditionalFormatting>
  <conditionalFormatting sqref="E28">
    <cfRule type="cellIs" dxfId="3276" priority="6" operator="lessThan">
      <formula>$B$8*100</formula>
    </cfRule>
    <cfRule type="cellIs" dxfId="3275" priority="7" operator="greaterThan">
      <formula>$B$8*100</formula>
    </cfRule>
  </conditionalFormatting>
  <hyperlinks>
    <hyperlink ref="A32" r:id="rId1" display="https://www.zillow.com/homes/recently_sold/" xr:uid="{32402569-C953-44E4-8999-085F4CAA9A7B}"/>
    <hyperlink ref="A21" r:id="rId2" xr:uid="{28C2B0B5-9D35-497C-90EA-78D72C0707D1}"/>
    <hyperlink ref="A25" r:id="rId3" display="www.mortgagecalculator.org" xr:uid="{3B36884C-4255-4D7F-BDD3-8174526B2E6D}"/>
    <hyperlink ref="A12" r:id="rId4" xr:uid="{1BBE3B10-7AD6-4A12-922E-5DA7A9F4740C}"/>
  </hyperlinks>
  <pageMargins left="0.7" right="0.7" top="0.75" bottom="0.75" header="0.3" footer="0.3"/>
  <legacyDrawing r:id="rId5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DB19-3CAD-41BA-8081-DBFCA706A65E}">
  <sheetPr codeName="Sheet145">
    <tabColor rgb="FFFF0000"/>
  </sheetPr>
  <dimension ref="A1:P42"/>
  <sheetViews>
    <sheetView topLeftCell="A7" workbookViewId="0">
      <selection activeCell="B22" sqref="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B7*0.95</f>
        <v>156750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21600</v>
      </c>
      <c r="D15" s="2"/>
      <c r="E15" s="3"/>
    </row>
    <row r="16" spans="1:10" x14ac:dyDescent="0.25">
      <c r="A16" s="7" t="s">
        <v>20</v>
      </c>
      <c r="B16" s="17">
        <f>B15+B13</f>
        <v>178350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6242.2500000000009</v>
      </c>
      <c r="D17" s="19"/>
      <c r="E17" s="20"/>
      <c r="P17" s="21"/>
    </row>
    <row r="18" spans="1:16" x14ac:dyDescent="0.25">
      <c r="A18" s="7" t="s">
        <v>23</v>
      </c>
      <c r="B18" s="17">
        <f>B16-B17</f>
        <v>172107.75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1406</v>
      </c>
      <c r="D21" s="23" t="s">
        <v>28</v>
      </c>
      <c r="E21" s="8">
        <f>600*2</f>
        <v>1200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1783.5</v>
      </c>
      <c r="D22" s="7" t="s">
        <v>77</v>
      </c>
      <c r="E22" s="17">
        <f>B16*0.01</f>
        <v>1783.5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1254.24</v>
      </c>
      <c r="D25" s="7" t="s">
        <v>38</v>
      </c>
      <c r="E25" s="35">
        <f>B25</f>
        <v>1254.24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1605.74</v>
      </c>
      <c r="D26" s="7" t="s">
        <v>41</v>
      </c>
      <c r="E26" s="17">
        <f>E25+I25+I34</f>
        <v>1605.74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-199.74</v>
      </c>
      <c r="D28" s="7" t="s">
        <v>43</v>
      </c>
      <c r="E28" s="44">
        <f>E21-E25-I25-I34+I24+I33</f>
        <v>-265.14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-0.38397693139492967</v>
      </c>
      <c r="D29" s="46" t="s">
        <v>44</v>
      </c>
      <c r="E29" s="47">
        <f>(E28*12)/B17</f>
        <v>-0.50970082902799463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70.3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70.3</v>
      </c>
    </row>
    <row r="32" spans="1:16" x14ac:dyDescent="0.25">
      <c r="A32" s="26" t="s">
        <v>49</v>
      </c>
      <c r="B32" s="8">
        <f>B16</f>
        <v>178350</v>
      </c>
      <c r="G32" s="27" t="s">
        <v>50</v>
      </c>
      <c r="H32" s="48">
        <v>0.05</v>
      </c>
      <c r="I32" s="49">
        <f>$B$21*H32</f>
        <v>70.3</v>
      </c>
    </row>
    <row r="33" spans="1:9" x14ac:dyDescent="0.25">
      <c r="A33" s="7" t="s">
        <v>51</v>
      </c>
      <c r="B33" s="17">
        <f>B32-B18</f>
        <v>6242.25</v>
      </c>
      <c r="G33" s="27" t="s">
        <v>52</v>
      </c>
      <c r="H33" s="48">
        <v>0.1</v>
      </c>
      <c r="I33" s="49">
        <f>$B$21*H33</f>
        <v>140.6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351.5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121.90965625000001</v>
      </c>
      <c r="D39" s="58"/>
      <c r="E39" s="61"/>
    </row>
    <row r="40" spans="1:9" x14ac:dyDescent="0.25">
      <c r="A40" s="7" t="s">
        <v>58</v>
      </c>
      <c r="B40" s="17">
        <f>B25-B39</f>
        <v>1132.3303437499999</v>
      </c>
      <c r="D40" s="58"/>
      <c r="E40" s="61"/>
    </row>
    <row r="41" spans="1:9" x14ac:dyDescent="0.25">
      <c r="A41" s="7" t="s">
        <v>59</v>
      </c>
      <c r="B41" s="43">
        <f>B21-B40-I25-I34</f>
        <v>-77.830343749999884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-0.1496197885377866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274" priority="28" operator="equal">
      <formula>"NO"</formula>
    </cfRule>
    <cfRule type="cellIs" dxfId="3273" priority="29" operator="equal">
      <formula>"YES"</formula>
    </cfRule>
  </conditionalFormatting>
  <conditionalFormatting sqref="E38">
    <cfRule type="cellIs" dxfId="3272" priority="26" operator="equal">
      <formula>"YES"</formula>
    </cfRule>
    <cfRule type="cellIs" dxfId="3271" priority="27" operator="equal">
      <formula>"NO"</formula>
    </cfRule>
  </conditionalFormatting>
  <conditionalFormatting sqref="B23">
    <cfRule type="cellIs" dxfId="3270" priority="24" operator="equal">
      <formula>"NO"</formula>
    </cfRule>
    <cfRule type="cellIs" dxfId="3269" priority="25" operator="equal">
      <formula>"YES"</formula>
    </cfRule>
  </conditionalFormatting>
  <conditionalFormatting sqref="B12">
    <cfRule type="containsText" dxfId="3268" priority="10" operator="containsText" text="Low">
      <formula>NOT(ISERROR(SEARCH("Low",B12)))</formula>
    </cfRule>
    <cfRule type="containsText" dxfId="3267" priority="11" operator="containsText" text="Medium">
      <formula>NOT(ISERROR(SEARCH("Medium",B12)))</formula>
    </cfRule>
    <cfRule type="containsText" dxfId="3266" priority="12" operator="containsText" text="High">
      <formula>NOT(ISERROR(SEARCH("High",B12)))</formula>
    </cfRule>
  </conditionalFormatting>
  <conditionalFormatting sqref="B29">
    <cfRule type="cellIs" dxfId="3265" priority="20" operator="between">
      <formula>10%</formula>
      <formula>11.9%</formula>
    </cfRule>
    <cfRule type="cellIs" dxfId="3264" priority="22" operator="lessThan">
      <formula>0.1</formula>
    </cfRule>
    <cfRule type="cellIs" dxfId="3263" priority="23" operator="greaterThanOrEqual">
      <formula>0.12</formula>
    </cfRule>
  </conditionalFormatting>
  <conditionalFormatting sqref="B42">
    <cfRule type="cellIs" dxfId="3262" priority="18" operator="between">
      <formula>0.1</formula>
      <formula>0.1199</formula>
    </cfRule>
    <cfRule type="cellIs" dxfId="3261" priority="19" operator="lessThan">
      <formula>0.1</formula>
    </cfRule>
    <cfRule type="cellIs" dxfId="3260" priority="21" operator="greaterThanOrEqual">
      <formula>0.12</formula>
    </cfRule>
  </conditionalFormatting>
  <conditionalFormatting sqref="B10">
    <cfRule type="containsText" dxfId="3259" priority="13" operator="containsText" text="Full">
      <formula>NOT(ISERROR(SEARCH("Full",B10)))</formula>
    </cfRule>
    <cfRule type="containsText" dxfId="3258" priority="14" operator="containsText" text="Heavy">
      <formula>NOT(ISERROR(SEARCH("Heavy",B10)))</formula>
    </cfRule>
    <cfRule type="containsText" dxfId="3257" priority="15" operator="containsText" text="Medium">
      <formula>NOT(ISERROR(SEARCH("Medium",B10)))</formula>
    </cfRule>
    <cfRule type="containsText" dxfId="3256" priority="16" operator="containsText" text="Light">
      <formula>NOT(ISERROR(SEARCH("Light",B10)))</formula>
    </cfRule>
    <cfRule type="containsText" dxfId="3255" priority="17" operator="containsText" text="None">
      <formula>NOT(ISERROR(SEARCH("None",B10)))</formula>
    </cfRule>
  </conditionalFormatting>
  <conditionalFormatting sqref="B28">
    <cfRule type="cellIs" dxfId="3254" priority="30" operator="lessThan">
      <formula>$B$8*100</formula>
    </cfRule>
    <cfRule type="cellIs" dxfId="3253" priority="31" operator="greaterThanOrEqual">
      <formula>$B$8*100</formula>
    </cfRule>
  </conditionalFormatting>
  <conditionalFormatting sqref="B41">
    <cfRule type="cellIs" dxfId="3252" priority="32" operator="lessThan">
      <formula>$B$8*100</formula>
    </cfRule>
    <cfRule type="cellIs" dxfId="3251" priority="33" operator="greaterThan">
      <formula>$B$8*100</formula>
    </cfRule>
    <cfRule type="cellIs" dxfId="3250" priority="34" operator="greaterThan">
      <formula>$B$8*100</formula>
    </cfRule>
  </conditionalFormatting>
  <conditionalFormatting sqref="B38">
    <cfRule type="cellIs" dxfId="3249" priority="8" operator="equal">
      <formula>"YES"</formula>
    </cfRule>
    <cfRule type="cellIs" dxfId="3248" priority="9" operator="equal">
      <formula>"NO"</formula>
    </cfRule>
  </conditionalFormatting>
  <conditionalFormatting sqref="E23:E26">
    <cfRule type="cellIs" dxfId="3247" priority="4" operator="equal">
      <formula>"NO"</formula>
    </cfRule>
    <cfRule type="cellIs" dxfId="3246" priority="5" operator="equal">
      <formula>"YES"</formula>
    </cfRule>
  </conditionalFormatting>
  <conditionalFormatting sqref="E29">
    <cfRule type="cellIs" dxfId="3245" priority="1" operator="between">
      <formula>10%</formula>
      <formula>12%</formula>
    </cfRule>
    <cfRule type="cellIs" dxfId="3244" priority="2" operator="lessThan">
      <formula>0.1</formula>
    </cfRule>
    <cfRule type="cellIs" dxfId="3243" priority="3" operator="greaterThan">
      <formula>0.12</formula>
    </cfRule>
  </conditionalFormatting>
  <conditionalFormatting sqref="E28">
    <cfRule type="cellIs" dxfId="3242" priority="6" operator="lessThan">
      <formula>$B$8*100</formula>
    </cfRule>
    <cfRule type="cellIs" dxfId="3241" priority="7" operator="greaterThan">
      <formula>$B$8*100</formula>
    </cfRule>
  </conditionalFormatting>
  <hyperlinks>
    <hyperlink ref="A32" r:id="rId1" display="https://www.zillow.com/homes/recently_sold/" xr:uid="{96661C7B-DB21-4CE4-987E-1E051EEECB49}"/>
    <hyperlink ref="A21" r:id="rId2" xr:uid="{C79DBFE9-CEDD-400C-A421-3253ACEABF18}"/>
    <hyperlink ref="A25" r:id="rId3" display="www.mortgagecalculator.org" xr:uid="{C4DB2244-1020-4454-82E8-4C98BC6F9D8C}"/>
    <hyperlink ref="A12" r:id="rId4" xr:uid="{84DCF43A-EAE5-432D-9861-9DDF4698FC27}"/>
  </hyperlinks>
  <pageMargins left="0.7" right="0.7" top="0.75" bottom="0.75" header="0.3" footer="0.3"/>
  <legacyDrawing r:id="rId5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A558-550E-4E12-A8F1-307E20CBE4BE}">
  <sheetPr codeName="Sheet146">
    <tabColor rgb="FF92D050"/>
  </sheetPr>
  <dimension ref="A1:P42"/>
  <sheetViews>
    <sheetView workbookViewId="0">
      <selection activeCell="B16" sqref="B1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132500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132500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132500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6625</v>
      </c>
      <c r="D17" s="19"/>
      <c r="E17" s="20"/>
      <c r="P17" s="21"/>
    </row>
    <row r="18" spans="1:16" x14ac:dyDescent="0.25">
      <c r="A18" s="7" t="s">
        <v>23</v>
      </c>
      <c r="B18" s="17">
        <f>B16-B17</f>
        <v>125875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1350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1325</v>
      </c>
      <c r="D22" s="7" t="s">
        <v>77</v>
      </c>
      <c r="E22" s="17">
        <f>B16*0.01</f>
        <v>1325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927.24</v>
      </c>
      <c r="D25" s="7" t="s">
        <v>38</v>
      </c>
      <c r="E25" s="35">
        <f>B25</f>
        <v>927.24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1264.74</v>
      </c>
      <c r="D26" s="7" t="s">
        <v>41</v>
      </c>
      <c r="E26" s="17">
        <f>E25+I25+I34</f>
        <v>1264.74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85.259999999999991</v>
      </c>
      <c r="D28" s="7" t="s">
        <v>43</v>
      </c>
      <c r="E28" s="44">
        <f>E21-E25-I25-I34+I24+I33</f>
        <v>-79.740000000000009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0.1544332075471698</v>
      </c>
      <c r="D29" s="46" t="s">
        <v>44</v>
      </c>
      <c r="E29" s="47">
        <f>(E28*12)/B17</f>
        <v>-0.14443471698113208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67.5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67.5</v>
      </c>
    </row>
    <row r="32" spans="1:16" x14ac:dyDescent="0.25">
      <c r="A32" s="26" t="s">
        <v>49</v>
      </c>
      <c r="B32" s="8">
        <f>B16</f>
        <v>132500</v>
      </c>
      <c r="G32" s="27" t="s">
        <v>50</v>
      </c>
      <c r="H32" s="48">
        <v>0.05</v>
      </c>
      <c r="I32" s="49">
        <f>$B$21*H32</f>
        <v>67.5</v>
      </c>
    </row>
    <row r="33" spans="1:9" x14ac:dyDescent="0.25">
      <c r="A33" s="7" t="s">
        <v>51</v>
      </c>
      <c r="B33" s="17">
        <f>B32-B18</f>
        <v>6625</v>
      </c>
      <c r="G33" s="27" t="s">
        <v>52</v>
      </c>
      <c r="H33" s="48">
        <v>0.1</v>
      </c>
      <c r="I33" s="49">
        <f>$B$21*H33</f>
        <v>135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337.5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89.161458333333329</v>
      </c>
      <c r="D39" s="58"/>
      <c r="E39" s="61"/>
    </row>
    <row r="40" spans="1:9" x14ac:dyDescent="0.25">
      <c r="A40" s="7" t="s">
        <v>58</v>
      </c>
      <c r="B40" s="17">
        <f>B25-B39</f>
        <v>838.07854166666664</v>
      </c>
      <c r="D40" s="58"/>
      <c r="E40" s="61"/>
    </row>
    <row r="41" spans="1:9" x14ac:dyDescent="0.25">
      <c r="A41" s="7" t="s">
        <v>59</v>
      </c>
      <c r="B41" s="43">
        <f>B21-B40-I25-I34</f>
        <v>174.42145833333336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0.31593320754716986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240" priority="28" operator="equal">
      <formula>"NO"</formula>
    </cfRule>
    <cfRule type="cellIs" dxfId="3239" priority="29" operator="equal">
      <formula>"YES"</formula>
    </cfRule>
  </conditionalFormatting>
  <conditionalFormatting sqref="E38">
    <cfRule type="cellIs" dxfId="3238" priority="26" operator="equal">
      <formula>"YES"</formula>
    </cfRule>
    <cfRule type="cellIs" dxfId="3237" priority="27" operator="equal">
      <formula>"NO"</formula>
    </cfRule>
  </conditionalFormatting>
  <conditionalFormatting sqref="B23">
    <cfRule type="cellIs" dxfId="3236" priority="24" operator="equal">
      <formula>"NO"</formula>
    </cfRule>
    <cfRule type="cellIs" dxfId="3235" priority="25" operator="equal">
      <formula>"YES"</formula>
    </cfRule>
  </conditionalFormatting>
  <conditionalFormatting sqref="B12">
    <cfRule type="containsText" dxfId="3234" priority="10" operator="containsText" text="Low">
      <formula>NOT(ISERROR(SEARCH("Low",B12)))</formula>
    </cfRule>
    <cfRule type="containsText" dxfId="3233" priority="11" operator="containsText" text="Medium">
      <formula>NOT(ISERROR(SEARCH("Medium",B12)))</formula>
    </cfRule>
    <cfRule type="containsText" dxfId="3232" priority="12" operator="containsText" text="High">
      <formula>NOT(ISERROR(SEARCH("High",B12)))</formula>
    </cfRule>
  </conditionalFormatting>
  <conditionalFormatting sqref="B29">
    <cfRule type="cellIs" dxfId="3231" priority="20" operator="between">
      <formula>10%</formula>
      <formula>11.9%</formula>
    </cfRule>
    <cfRule type="cellIs" dxfId="3230" priority="22" operator="lessThan">
      <formula>0.1</formula>
    </cfRule>
    <cfRule type="cellIs" dxfId="3229" priority="23" operator="greaterThanOrEqual">
      <formula>0.12</formula>
    </cfRule>
  </conditionalFormatting>
  <conditionalFormatting sqref="B42">
    <cfRule type="cellIs" dxfId="3228" priority="18" operator="between">
      <formula>0.1</formula>
      <formula>0.1199</formula>
    </cfRule>
    <cfRule type="cellIs" dxfId="3227" priority="19" operator="lessThan">
      <formula>0.1</formula>
    </cfRule>
    <cfRule type="cellIs" dxfId="3226" priority="21" operator="greaterThanOrEqual">
      <formula>0.12</formula>
    </cfRule>
  </conditionalFormatting>
  <conditionalFormatting sqref="B10">
    <cfRule type="containsText" dxfId="3225" priority="13" operator="containsText" text="Full">
      <formula>NOT(ISERROR(SEARCH("Full",B10)))</formula>
    </cfRule>
    <cfRule type="containsText" dxfId="3224" priority="14" operator="containsText" text="Heavy">
      <formula>NOT(ISERROR(SEARCH("Heavy",B10)))</formula>
    </cfRule>
    <cfRule type="containsText" dxfId="3223" priority="15" operator="containsText" text="Medium">
      <formula>NOT(ISERROR(SEARCH("Medium",B10)))</formula>
    </cfRule>
    <cfRule type="containsText" dxfId="3222" priority="16" operator="containsText" text="Light">
      <formula>NOT(ISERROR(SEARCH("Light",B10)))</formula>
    </cfRule>
    <cfRule type="containsText" dxfId="3221" priority="17" operator="containsText" text="None">
      <formula>NOT(ISERROR(SEARCH("None",B10)))</formula>
    </cfRule>
  </conditionalFormatting>
  <conditionalFormatting sqref="B28">
    <cfRule type="cellIs" dxfId="3220" priority="30" operator="lessThan">
      <formula>$B$8*100</formula>
    </cfRule>
    <cfRule type="cellIs" dxfId="3219" priority="31" operator="greaterThanOrEqual">
      <formula>$B$8*100</formula>
    </cfRule>
  </conditionalFormatting>
  <conditionalFormatting sqref="B41">
    <cfRule type="cellIs" dxfId="3218" priority="32" operator="lessThan">
      <formula>$B$8*100</formula>
    </cfRule>
    <cfRule type="cellIs" dxfId="3217" priority="33" operator="greaterThan">
      <formula>$B$8*100</formula>
    </cfRule>
    <cfRule type="cellIs" dxfId="3216" priority="34" operator="greaterThan">
      <formula>$B$8*100</formula>
    </cfRule>
  </conditionalFormatting>
  <conditionalFormatting sqref="B38">
    <cfRule type="cellIs" dxfId="3215" priority="8" operator="equal">
      <formula>"YES"</formula>
    </cfRule>
    <cfRule type="cellIs" dxfId="3214" priority="9" operator="equal">
      <formula>"NO"</formula>
    </cfRule>
  </conditionalFormatting>
  <conditionalFormatting sqref="E23:E26">
    <cfRule type="cellIs" dxfId="3213" priority="4" operator="equal">
      <formula>"NO"</formula>
    </cfRule>
    <cfRule type="cellIs" dxfId="3212" priority="5" operator="equal">
      <formula>"YES"</formula>
    </cfRule>
  </conditionalFormatting>
  <conditionalFormatting sqref="E29">
    <cfRule type="cellIs" dxfId="3211" priority="1" operator="between">
      <formula>10%</formula>
      <formula>12%</formula>
    </cfRule>
    <cfRule type="cellIs" dxfId="3210" priority="2" operator="lessThan">
      <formula>0.1</formula>
    </cfRule>
    <cfRule type="cellIs" dxfId="3209" priority="3" operator="greaterThan">
      <formula>0.12</formula>
    </cfRule>
  </conditionalFormatting>
  <conditionalFormatting sqref="E28">
    <cfRule type="cellIs" dxfId="3208" priority="6" operator="lessThan">
      <formula>$B$8*100</formula>
    </cfRule>
    <cfRule type="cellIs" dxfId="3207" priority="7" operator="greaterThan">
      <formula>$B$8*100</formula>
    </cfRule>
  </conditionalFormatting>
  <hyperlinks>
    <hyperlink ref="A32" r:id="rId1" display="https://www.zillow.com/homes/recently_sold/" xr:uid="{35891DDC-CCE4-40EB-9669-D0D76B181589}"/>
    <hyperlink ref="A21" r:id="rId2" xr:uid="{305892E5-279E-4E81-849C-33D80964A1C0}"/>
    <hyperlink ref="A25" r:id="rId3" display="www.mortgagecalculator.org" xr:uid="{4114608B-B390-4D3F-B225-889757B772C7}"/>
    <hyperlink ref="A12" r:id="rId4" xr:uid="{E6D2AE25-53F9-4B78-8BCB-0EE2BE887FD5}"/>
  </hyperlinks>
  <pageMargins left="0.7" right="0.7" top="0.75" bottom="0.75" header="0.3" footer="0.3"/>
  <legacyDrawing r:id="rId5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49566-74F8-4ECC-8BE7-B8AF1DA1C259}">
  <sheetPr codeName="Sheet147">
    <tabColor rgb="FFFF0000"/>
  </sheetPr>
  <dimension ref="A1:P42"/>
  <sheetViews>
    <sheetView workbookViewId="0">
      <selection activeCell="B30" sqref="B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1413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101150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21195</v>
      </c>
      <c r="D15" s="2"/>
      <c r="E15" s="3"/>
    </row>
    <row r="16" spans="1:10" x14ac:dyDescent="0.25">
      <c r="A16" s="7" t="s">
        <v>20</v>
      </c>
      <c r="B16" s="17">
        <f>B15+B13</f>
        <v>122345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4282.0750000000007</v>
      </c>
      <c r="D17" s="19"/>
      <c r="E17" s="20"/>
      <c r="P17" s="21"/>
    </row>
    <row r="18" spans="1:16" x14ac:dyDescent="0.25">
      <c r="A18" s="7" t="s">
        <v>23</v>
      </c>
      <c r="B18" s="17">
        <f>B16-B17</f>
        <v>118062.925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1254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1223.45</v>
      </c>
      <c r="D22" s="7" t="s">
        <v>77</v>
      </c>
      <c r="E22" s="17">
        <f>B16*0.01</f>
        <v>1223.45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938.95</v>
      </c>
      <c r="D25" s="7" t="s">
        <v>38</v>
      </c>
      <c r="E25" s="35">
        <f>B25</f>
        <v>938.95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1252.45</v>
      </c>
      <c r="D26" s="7" t="s">
        <v>41</v>
      </c>
      <c r="E26" s="17">
        <f>E25+I25+I34</f>
        <v>1252.45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1.5499999999999545</v>
      </c>
      <c r="D28" s="7" t="s">
        <v>43</v>
      </c>
      <c r="E28" s="44">
        <f>E21-E25-I25-I34+I24+I33</f>
        <v>-77.05000000000004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4.3436885154976151E-3</v>
      </c>
      <c r="D29" s="46" t="s">
        <v>44</v>
      </c>
      <c r="E29" s="47">
        <f>(E28*12)/B17</f>
        <v>-0.2159233549155492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62.7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62.7</v>
      </c>
    </row>
    <row r="32" spans="1:16" x14ac:dyDescent="0.25">
      <c r="A32" s="26" t="s">
        <v>49</v>
      </c>
      <c r="B32" s="8">
        <f>B16</f>
        <v>122345</v>
      </c>
      <c r="G32" s="27" t="s">
        <v>50</v>
      </c>
      <c r="H32" s="48">
        <v>0.05</v>
      </c>
      <c r="I32" s="49">
        <f>$B$21*H32</f>
        <v>62.7</v>
      </c>
    </row>
    <row r="33" spans="1:9" x14ac:dyDescent="0.25">
      <c r="A33" s="7" t="s">
        <v>51</v>
      </c>
      <c r="B33" s="17">
        <f>B32-B18</f>
        <v>4282.0749999999971</v>
      </c>
      <c r="G33" s="27" t="s">
        <v>52</v>
      </c>
      <c r="H33" s="48">
        <v>0.1</v>
      </c>
      <c r="I33" s="49">
        <f>$B$21*H33</f>
        <v>125.4</v>
      </c>
    </row>
    <row r="34" spans="1:9" ht="15.75" thickBot="1" x14ac:dyDescent="0.3">
      <c r="A34" s="7" t="s">
        <v>53</v>
      </c>
      <c r="B34" s="50">
        <f>B33/B17</f>
        <v>0.99999999999999911</v>
      </c>
      <c r="G34" s="36" t="s">
        <v>39</v>
      </c>
      <c r="H34" s="37"/>
      <c r="I34" s="51">
        <f>SUM(I30:I33)</f>
        <v>313.5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83.627905208333345</v>
      </c>
      <c r="D39" s="58"/>
      <c r="E39" s="61"/>
    </row>
    <row r="40" spans="1:9" x14ac:dyDescent="0.25">
      <c r="A40" s="7" t="s">
        <v>58</v>
      </c>
      <c r="B40" s="17">
        <f>B25-B39</f>
        <v>855.3220947916667</v>
      </c>
      <c r="D40" s="58"/>
      <c r="E40" s="61"/>
    </row>
    <row r="41" spans="1:9" x14ac:dyDescent="0.25">
      <c r="A41" s="7" t="s">
        <v>59</v>
      </c>
      <c r="B41" s="43">
        <f>B21-B40-I25-I34</f>
        <v>85.1779052083333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0.23870083137264048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206" priority="28" operator="equal">
      <formula>"NO"</formula>
    </cfRule>
    <cfRule type="cellIs" dxfId="3205" priority="29" operator="equal">
      <formula>"YES"</formula>
    </cfRule>
  </conditionalFormatting>
  <conditionalFormatting sqref="E38">
    <cfRule type="cellIs" dxfId="3204" priority="26" operator="equal">
      <formula>"YES"</formula>
    </cfRule>
    <cfRule type="cellIs" dxfId="3203" priority="27" operator="equal">
      <formula>"NO"</formula>
    </cfRule>
  </conditionalFormatting>
  <conditionalFormatting sqref="B23">
    <cfRule type="cellIs" dxfId="3202" priority="24" operator="equal">
      <formula>"NO"</formula>
    </cfRule>
    <cfRule type="cellIs" dxfId="3201" priority="25" operator="equal">
      <formula>"YES"</formula>
    </cfRule>
  </conditionalFormatting>
  <conditionalFormatting sqref="B12">
    <cfRule type="containsText" dxfId="3200" priority="10" operator="containsText" text="Low">
      <formula>NOT(ISERROR(SEARCH("Low",B12)))</formula>
    </cfRule>
    <cfRule type="containsText" dxfId="3199" priority="11" operator="containsText" text="Medium">
      <formula>NOT(ISERROR(SEARCH("Medium",B12)))</formula>
    </cfRule>
    <cfRule type="containsText" dxfId="3198" priority="12" operator="containsText" text="High">
      <formula>NOT(ISERROR(SEARCH("High",B12)))</formula>
    </cfRule>
  </conditionalFormatting>
  <conditionalFormatting sqref="B29">
    <cfRule type="cellIs" dxfId="3197" priority="20" operator="between">
      <formula>10%</formula>
      <formula>11.9%</formula>
    </cfRule>
    <cfRule type="cellIs" dxfId="3196" priority="22" operator="lessThan">
      <formula>0.1</formula>
    </cfRule>
    <cfRule type="cellIs" dxfId="3195" priority="23" operator="greaterThanOrEqual">
      <formula>0.12</formula>
    </cfRule>
  </conditionalFormatting>
  <conditionalFormatting sqref="B42">
    <cfRule type="cellIs" dxfId="3194" priority="18" operator="between">
      <formula>0.1</formula>
      <formula>0.1199</formula>
    </cfRule>
    <cfRule type="cellIs" dxfId="3193" priority="19" operator="lessThan">
      <formula>0.1</formula>
    </cfRule>
    <cfRule type="cellIs" dxfId="3192" priority="21" operator="greaterThanOrEqual">
      <formula>0.12</formula>
    </cfRule>
  </conditionalFormatting>
  <conditionalFormatting sqref="B10">
    <cfRule type="containsText" dxfId="3191" priority="13" operator="containsText" text="Full">
      <formula>NOT(ISERROR(SEARCH("Full",B10)))</formula>
    </cfRule>
    <cfRule type="containsText" dxfId="3190" priority="14" operator="containsText" text="Heavy">
      <formula>NOT(ISERROR(SEARCH("Heavy",B10)))</formula>
    </cfRule>
    <cfRule type="containsText" dxfId="3189" priority="15" operator="containsText" text="Medium">
      <formula>NOT(ISERROR(SEARCH("Medium",B10)))</formula>
    </cfRule>
    <cfRule type="containsText" dxfId="3188" priority="16" operator="containsText" text="Light">
      <formula>NOT(ISERROR(SEARCH("Light",B10)))</formula>
    </cfRule>
    <cfRule type="containsText" dxfId="3187" priority="17" operator="containsText" text="None">
      <formula>NOT(ISERROR(SEARCH("None",B10)))</formula>
    </cfRule>
  </conditionalFormatting>
  <conditionalFormatting sqref="B28">
    <cfRule type="cellIs" dxfId="3186" priority="30" operator="lessThan">
      <formula>$B$8*100</formula>
    </cfRule>
    <cfRule type="cellIs" dxfId="3185" priority="31" operator="greaterThanOrEqual">
      <formula>$B$8*100</formula>
    </cfRule>
  </conditionalFormatting>
  <conditionalFormatting sqref="B41">
    <cfRule type="cellIs" dxfId="3184" priority="32" operator="lessThan">
      <formula>$B$8*100</formula>
    </cfRule>
    <cfRule type="cellIs" dxfId="3183" priority="33" operator="greaterThan">
      <formula>$B$8*100</formula>
    </cfRule>
    <cfRule type="cellIs" dxfId="3182" priority="34" operator="greaterThan">
      <formula>$B$8*100</formula>
    </cfRule>
  </conditionalFormatting>
  <conditionalFormatting sqref="B38">
    <cfRule type="cellIs" dxfId="3181" priority="8" operator="equal">
      <formula>"YES"</formula>
    </cfRule>
    <cfRule type="cellIs" dxfId="3180" priority="9" operator="equal">
      <formula>"NO"</formula>
    </cfRule>
  </conditionalFormatting>
  <conditionalFormatting sqref="E23:E26">
    <cfRule type="cellIs" dxfId="3179" priority="4" operator="equal">
      <formula>"NO"</formula>
    </cfRule>
    <cfRule type="cellIs" dxfId="3178" priority="5" operator="equal">
      <formula>"YES"</formula>
    </cfRule>
  </conditionalFormatting>
  <conditionalFormatting sqref="E29">
    <cfRule type="cellIs" dxfId="3177" priority="1" operator="between">
      <formula>10%</formula>
      <formula>12%</formula>
    </cfRule>
    <cfRule type="cellIs" dxfId="3176" priority="2" operator="lessThan">
      <formula>0.1</formula>
    </cfRule>
    <cfRule type="cellIs" dxfId="3175" priority="3" operator="greaterThan">
      <formula>0.12</formula>
    </cfRule>
  </conditionalFormatting>
  <conditionalFormatting sqref="E28">
    <cfRule type="cellIs" dxfId="3174" priority="6" operator="lessThan">
      <formula>$B$8*100</formula>
    </cfRule>
    <cfRule type="cellIs" dxfId="3173" priority="7" operator="greaterThan">
      <formula>$B$8*100</formula>
    </cfRule>
  </conditionalFormatting>
  <hyperlinks>
    <hyperlink ref="A32" r:id="rId1" display="https://www.zillow.com/homes/recently_sold/" xr:uid="{018648BB-8713-47C2-985B-3C93C5E6AE63}"/>
    <hyperlink ref="A21" r:id="rId2" xr:uid="{DC9DD6B4-36ED-48B3-9661-0CB0571EE86B}"/>
    <hyperlink ref="A25" r:id="rId3" display="www.mortgagecalculator.org" xr:uid="{C7F107B5-633F-4017-8D93-2FCEE848C580}"/>
    <hyperlink ref="A12" r:id="rId4" xr:uid="{4B5D2CCE-601F-4F0C-ACEC-DA0131C1F128}"/>
  </hyperlinks>
  <pageMargins left="0.7" right="0.7" top="0.75" bottom="0.75" header="0.3" footer="0.3"/>
  <legacyDrawing r:id="rId5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64283-DC3E-4B80-B770-72E63B36F783}">
  <sheetPr codeName="Sheet148">
    <tabColor rgb="FFFF0000"/>
  </sheetPr>
  <dimension ref="A1:P42"/>
  <sheetViews>
    <sheetView topLeftCell="A3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1668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25020</v>
      </c>
      <c r="D15" s="2"/>
      <c r="E15" s="3"/>
    </row>
    <row r="16" spans="1:10" x14ac:dyDescent="0.25">
      <c r="A16" s="7" t="s">
        <v>20</v>
      </c>
      <c r="B16" s="17">
        <f>B15+B13</f>
        <v>143935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5037.7250000000004</v>
      </c>
      <c r="D17" s="19"/>
      <c r="E17" s="20"/>
      <c r="P17" s="21"/>
    </row>
    <row r="18" spans="1:16" x14ac:dyDescent="0.25">
      <c r="A18" s="7" t="s">
        <v>23</v>
      </c>
      <c r="B18" s="17">
        <f>B16-B17</f>
        <v>138897.27499999999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1395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1439.3500000000001</v>
      </c>
      <c r="D22" s="7" t="s">
        <v>77</v>
      </c>
      <c r="E22" s="17">
        <f>B16*0.01</f>
        <v>1439.3500000000001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1086.5</v>
      </c>
      <c r="D25" s="7" t="s">
        <v>38</v>
      </c>
      <c r="E25" s="35">
        <f>B25</f>
        <v>1086.5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1435.25</v>
      </c>
      <c r="D26" s="7" t="s">
        <v>41</v>
      </c>
      <c r="E26" s="17">
        <f>E25+I25+I34</f>
        <v>1435.25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-40.25</v>
      </c>
      <c r="D28" s="7" t="s">
        <v>43</v>
      </c>
      <c r="E28" s="44">
        <f>E21-E25-I25-I34+I24+I33</f>
        <v>-245.75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-9.5876610970229606E-2</v>
      </c>
      <c r="D29" s="46" t="s">
        <v>44</v>
      </c>
      <c r="E29" s="47">
        <f>(E28*12)/B17</f>
        <v>-0.58538328312879317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69.75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69.75</v>
      </c>
    </row>
    <row r="32" spans="1:16" x14ac:dyDescent="0.25">
      <c r="A32" s="26" t="s">
        <v>49</v>
      </c>
      <c r="B32" s="8">
        <f>B16</f>
        <v>143935</v>
      </c>
      <c r="G32" s="27" t="s">
        <v>50</v>
      </c>
      <c r="H32" s="48">
        <v>0.05</v>
      </c>
      <c r="I32" s="49">
        <f>$B$21*H32</f>
        <v>69.75</v>
      </c>
    </row>
    <row r="33" spans="1:9" x14ac:dyDescent="0.25">
      <c r="A33" s="7" t="s">
        <v>51</v>
      </c>
      <c r="B33" s="17">
        <f>B32-B18</f>
        <v>5037.7250000000058</v>
      </c>
      <c r="G33" s="27" t="s">
        <v>52</v>
      </c>
      <c r="H33" s="48">
        <v>0.1</v>
      </c>
      <c r="I33" s="49">
        <f>$B$21*H33</f>
        <v>139.5</v>
      </c>
    </row>
    <row r="34" spans="1:9" ht="15.75" thickBot="1" x14ac:dyDescent="0.3">
      <c r="A34" s="7" t="s">
        <v>53</v>
      </c>
      <c r="B34" s="50">
        <f>B33/B17</f>
        <v>1.0000000000000011</v>
      </c>
      <c r="G34" s="36" t="s">
        <v>39</v>
      </c>
      <c r="H34" s="37"/>
      <c r="I34" s="51">
        <f>SUM(I30:I33)</f>
        <v>348.75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98.385569791666668</v>
      </c>
      <c r="D39" s="58"/>
      <c r="E39" s="61"/>
    </row>
    <row r="40" spans="1:9" x14ac:dyDescent="0.25">
      <c r="A40" s="7" t="s">
        <v>58</v>
      </c>
      <c r="B40" s="17">
        <f>B25-B39</f>
        <v>988.11443020833337</v>
      </c>
      <c r="D40" s="58"/>
      <c r="E40" s="61"/>
    </row>
    <row r="41" spans="1:9" x14ac:dyDescent="0.25">
      <c r="A41" s="7" t="s">
        <v>59</v>
      </c>
      <c r="B41" s="43">
        <f>B21-B40-I25-I34</f>
        <v>58.135569791666626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0.13848053188691314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172" priority="28" operator="equal">
      <formula>"NO"</formula>
    </cfRule>
    <cfRule type="cellIs" dxfId="3171" priority="29" operator="equal">
      <formula>"YES"</formula>
    </cfRule>
  </conditionalFormatting>
  <conditionalFormatting sqref="E38">
    <cfRule type="cellIs" dxfId="3170" priority="26" operator="equal">
      <formula>"YES"</formula>
    </cfRule>
    <cfRule type="cellIs" dxfId="3169" priority="27" operator="equal">
      <formula>"NO"</formula>
    </cfRule>
  </conditionalFormatting>
  <conditionalFormatting sqref="B23">
    <cfRule type="cellIs" dxfId="3168" priority="24" operator="equal">
      <formula>"NO"</formula>
    </cfRule>
    <cfRule type="cellIs" dxfId="3167" priority="25" operator="equal">
      <formula>"YES"</formula>
    </cfRule>
  </conditionalFormatting>
  <conditionalFormatting sqref="B12">
    <cfRule type="containsText" dxfId="3166" priority="10" operator="containsText" text="Low">
      <formula>NOT(ISERROR(SEARCH("Low",B12)))</formula>
    </cfRule>
    <cfRule type="containsText" dxfId="3165" priority="11" operator="containsText" text="Medium">
      <formula>NOT(ISERROR(SEARCH("Medium",B12)))</formula>
    </cfRule>
    <cfRule type="containsText" dxfId="3164" priority="12" operator="containsText" text="High">
      <formula>NOT(ISERROR(SEARCH("High",B12)))</formula>
    </cfRule>
  </conditionalFormatting>
  <conditionalFormatting sqref="B29">
    <cfRule type="cellIs" dxfId="3163" priority="20" operator="between">
      <formula>10%</formula>
      <formula>11.9%</formula>
    </cfRule>
    <cfRule type="cellIs" dxfId="3162" priority="22" operator="lessThan">
      <formula>0.1</formula>
    </cfRule>
    <cfRule type="cellIs" dxfId="3161" priority="23" operator="greaterThanOrEqual">
      <formula>0.12</formula>
    </cfRule>
  </conditionalFormatting>
  <conditionalFormatting sqref="B42">
    <cfRule type="cellIs" dxfId="3160" priority="18" operator="between">
      <formula>0.1</formula>
      <formula>0.1199</formula>
    </cfRule>
    <cfRule type="cellIs" dxfId="3159" priority="19" operator="lessThan">
      <formula>0.1</formula>
    </cfRule>
    <cfRule type="cellIs" dxfId="3158" priority="21" operator="greaterThanOrEqual">
      <formula>0.12</formula>
    </cfRule>
  </conditionalFormatting>
  <conditionalFormatting sqref="B10">
    <cfRule type="containsText" dxfId="3157" priority="13" operator="containsText" text="Full">
      <formula>NOT(ISERROR(SEARCH("Full",B10)))</formula>
    </cfRule>
    <cfRule type="containsText" dxfId="3156" priority="14" operator="containsText" text="Heavy">
      <formula>NOT(ISERROR(SEARCH("Heavy",B10)))</formula>
    </cfRule>
    <cfRule type="containsText" dxfId="3155" priority="15" operator="containsText" text="Medium">
      <formula>NOT(ISERROR(SEARCH("Medium",B10)))</formula>
    </cfRule>
    <cfRule type="containsText" dxfId="3154" priority="16" operator="containsText" text="Light">
      <formula>NOT(ISERROR(SEARCH("Light",B10)))</formula>
    </cfRule>
    <cfRule type="containsText" dxfId="3153" priority="17" operator="containsText" text="None">
      <formula>NOT(ISERROR(SEARCH("None",B10)))</formula>
    </cfRule>
  </conditionalFormatting>
  <conditionalFormatting sqref="B28">
    <cfRule type="cellIs" dxfId="3152" priority="30" operator="lessThan">
      <formula>$B$8*100</formula>
    </cfRule>
    <cfRule type="cellIs" dxfId="3151" priority="31" operator="greaterThanOrEqual">
      <formula>$B$8*100</formula>
    </cfRule>
  </conditionalFormatting>
  <conditionalFormatting sqref="B41">
    <cfRule type="cellIs" dxfId="3150" priority="32" operator="lessThan">
      <formula>$B$8*100</formula>
    </cfRule>
    <cfRule type="cellIs" dxfId="3149" priority="33" operator="greaterThan">
      <formula>$B$8*100</formula>
    </cfRule>
    <cfRule type="cellIs" dxfId="3148" priority="34" operator="greaterThan">
      <formula>$B$8*100</formula>
    </cfRule>
  </conditionalFormatting>
  <conditionalFormatting sqref="B38">
    <cfRule type="cellIs" dxfId="3147" priority="8" operator="equal">
      <formula>"YES"</formula>
    </cfRule>
    <cfRule type="cellIs" dxfId="3146" priority="9" operator="equal">
      <formula>"NO"</formula>
    </cfRule>
  </conditionalFormatting>
  <conditionalFormatting sqref="E23:E26">
    <cfRule type="cellIs" dxfId="3145" priority="4" operator="equal">
      <formula>"NO"</formula>
    </cfRule>
    <cfRule type="cellIs" dxfId="3144" priority="5" operator="equal">
      <formula>"YES"</formula>
    </cfRule>
  </conditionalFormatting>
  <conditionalFormatting sqref="E29">
    <cfRule type="cellIs" dxfId="3143" priority="1" operator="between">
      <formula>10%</formula>
      <formula>12%</formula>
    </cfRule>
    <cfRule type="cellIs" dxfId="3142" priority="2" operator="lessThan">
      <formula>0.1</formula>
    </cfRule>
    <cfRule type="cellIs" dxfId="3141" priority="3" operator="greaterThan">
      <formula>0.12</formula>
    </cfRule>
  </conditionalFormatting>
  <conditionalFormatting sqref="E28">
    <cfRule type="cellIs" dxfId="3140" priority="6" operator="lessThan">
      <formula>$B$8*100</formula>
    </cfRule>
    <cfRule type="cellIs" dxfId="3139" priority="7" operator="greaterThan">
      <formula>$B$8*100</formula>
    </cfRule>
  </conditionalFormatting>
  <hyperlinks>
    <hyperlink ref="A32" r:id="rId1" display="https://www.zillow.com/homes/recently_sold/" xr:uid="{01DE4F37-E3C3-48F3-A66B-5DCB42C27BA6}"/>
    <hyperlink ref="A21" r:id="rId2" xr:uid="{0C91BFAE-E38C-4B94-BD0A-BD7600EFDA86}"/>
    <hyperlink ref="A25" r:id="rId3" display="www.mortgagecalculator.org" xr:uid="{B05F375C-BCFC-4094-B514-EF4E2D0E2B79}"/>
    <hyperlink ref="A12" r:id="rId4" xr:uid="{533586C7-0C21-4DA1-AE0A-2CDBC7D72B36}"/>
  </hyperlinks>
  <pageMargins left="0.7" right="0.7" top="0.75" bottom="0.75" header="0.3" footer="0.3"/>
  <legacyDrawing r:id="rId5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9B1D5-2E20-4B40-BB44-89DC31A1BC6D}">
  <sheetPr codeName="Sheet149">
    <tabColor rgb="FFFF0000"/>
  </sheetPr>
  <dimension ref="A1:P42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1482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160000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160000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8000</v>
      </c>
      <c r="D17" s="19"/>
      <c r="E17" s="20"/>
      <c r="P17" s="21"/>
    </row>
    <row r="18" spans="1:16" x14ac:dyDescent="0.25">
      <c r="A18" s="7" t="s">
        <v>23</v>
      </c>
      <c r="B18" s="17">
        <f>B16-B17</f>
        <v>152000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1450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1600</v>
      </c>
      <c r="D22" s="7" t="s">
        <v>77</v>
      </c>
      <c r="E22" s="17">
        <f>B16*0.01</f>
        <v>1600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1094.21</v>
      </c>
      <c r="D25" s="7" t="s">
        <v>38</v>
      </c>
      <c r="E25" s="35">
        <f>B25</f>
        <v>1094.21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1456.71</v>
      </c>
      <c r="D26" s="7" t="s">
        <v>41</v>
      </c>
      <c r="E26" s="17">
        <f>E25+I25+I34</f>
        <v>1456.71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-6.7100000000000364</v>
      </c>
      <c r="D28" s="7" t="s">
        <v>43</v>
      </c>
      <c r="E28" s="44">
        <f>E21-E25-I25-I34+I24+I33</f>
        <v>-261.71000000000004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-1.0065000000000055E-2</v>
      </c>
      <c r="D29" s="46" t="s">
        <v>44</v>
      </c>
      <c r="E29" s="47">
        <f>(E28*12)/B17</f>
        <v>-0.39256500000000005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72.5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72.5</v>
      </c>
    </row>
    <row r="32" spans="1:16" x14ac:dyDescent="0.25">
      <c r="A32" s="26" t="s">
        <v>49</v>
      </c>
      <c r="B32" s="8">
        <f>B16</f>
        <v>160000</v>
      </c>
      <c r="G32" s="27" t="s">
        <v>50</v>
      </c>
      <c r="H32" s="48">
        <v>0.05</v>
      </c>
      <c r="I32" s="49">
        <f>$B$21*H32</f>
        <v>72.5</v>
      </c>
    </row>
    <row r="33" spans="1:9" x14ac:dyDescent="0.25">
      <c r="A33" s="7" t="s">
        <v>51</v>
      </c>
      <c r="B33" s="17">
        <f>B32-B18</f>
        <v>8000</v>
      </c>
      <c r="G33" s="27" t="s">
        <v>52</v>
      </c>
      <c r="H33" s="48">
        <v>0.1</v>
      </c>
      <c r="I33" s="49">
        <f>$B$21*H33</f>
        <v>145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362.5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107.66666666666667</v>
      </c>
      <c r="D39" s="58"/>
      <c r="E39" s="61"/>
    </row>
    <row r="40" spans="1:9" x14ac:dyDescent="0.25">
      <c r="A40" s="7" t="s">
        <v>58</v>
      </c>
      <c r="B40" s="17">
        <f>B25-B39</f>
        <v>986.54333333333341</v>
      </c>
      <c r="D40" s="58"/>
      <c r="E40" s="61"/>
    </row>
    <row r="41" spans="1:9" x14ac:dyDescent="0.25">
      <c r="A41" s="7" t="s">
        <v>59</v>
      </c>
      <c r="B41" s="43">
        <f>B21-B40-I25-I34</f>
        <v>100.95666666666659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0.15143499999999988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138" priority="28" operator="equal">
      <formula>"NO"</formula>
    </cfRule>
    <cfRule type="cellIs" dxfId="3137" priority="29" operator="equal">
      <formula>"YES"</formula>
    </cfRule>
  </conditionalFormatting>
  <conditionalFormatting sqref="E38">
    <cfRule type="cellIs" dxfId="3136" priority="26" operator="equal">
      <formula>"YES"</formula>
    </cfRule>
    <cfRule type="cellIs" dxfId="3135" priority="27" operator="equal">
      <formula>"NO"</formula>
    </cfRule>
  </conditionalFormatting>
  <conditionalFormatting sqref="B23">
    <cfRule type="cellIs" dxfId="3134" priority="24" operator="equal">
      <formula>"NO"</formula>
    </cfRule>
    <cfRule type="cellIs" dxfId="3133" priority="25" operator="equal">
      <formula>"YES"</formula>
    </cfRule>
  </conditionalFormatting>
  <conditionalFormatting sqref="B12">
    <cfRule type="containsText" dxfId="3132" priority="10" operator="containsText" text="Low">
      <formula>NOT(ISERROR(SEARCH("Low",B12)))</formula>
    </cfRule>
    <cfRule type="containsText" dxfId="3131" priority="11" operator="containsText" text="Medium">
      <formula>NOT(ISERROR(SEARCH("Medium",B12)))</formula>
    </cfRule>
    <cfRule type="containsText" dxfId="3130" priority="12" operator="containsText" text="High">
      <formula>NOT(ISERROR(SEARCH("High",B12)))</formula>
    </cfRule>
  </conditionalFormatting>
  <conditionalFormatting sqref="B29">
    <cfRule type="cellIs" dxfId="3129" priority="20" operator="between">
      <formula>10%</formula>
      <formula>11.9%</formula>
    </cfRule>
    <cfRule type="cellIs" dxfId="3128" priority="22" operator="lessThan">
      <formula>0.1</formula>
    </cfRule>
    <cfRule type="cellIs" dxfId="3127" priority="23" operator="greaterThanOrEqual">
      <formula>0.12</formula>
    </cfRule>
  </conditionalFormatting>
  <conditionalFormatting sqref="B42">
    <cfRule type="cellIs" dxfId="3126" priority="18" operator="between">
      <formula>0.1</formula>
      <formula>0.1199</formula>
    </cfRule>
    <cfRule type="cellIs" dxfId="3125" priority="19" operator="lessThan">
      <formula>0.1</formula>
    </cfRule>
    <cfRule type="cellIs" dxfId="3124" priority="21" operator="greaterThanOrEqual">
      <formula>0.12</formula>
    </cfRule>
  </conditionalFormatting>
  <conditionalFormatting sqref="B10">
    <cfRule type="containsText" dxfId="3123" priority="13" operator="containsText" text="Full">
      <formula>NOT(ISERROR(SEARCH("Full",B10)))</formula>
    </cfRule>
    <cfRule type="containsText" dxfId="3122" priority="14" operator="containsText" text="Heavy">
      <formula>NOT(ISERROR(SEARCH("Heavy",B10)))</formula>
    </cfRule>
    <cfRule type="containsText" dxfId="3121" priority="15" operator="containsText" text="Medium">
      <formula>NOT(ISERROR(SEARCH("Medium",B10)))</formula>
    </cfRule>
    <cfRule type="containsText" dxfId="3120" priority="16" operator="containsText" text="Light">
      <formula>NOT(ISERROR(SEARCH("Light",B10)))</formula>
    </cfRule>
    <cfRule type="containsText" dxfId="3119" priority="17" operator="containsText" text="None">
      <formula>NOT(ISERROR(SEARCH("None",B10)))</formula>
    </cfRule>
  </conditionalFormatting>
  <conditionalFormatting sqref="B28">
    <cfRule type="cellIs" dxfId="3118" priority="30" operator="lessThan">
      <formula>$B$8*100</formula>
    </cfRule>
    <cfRule type="cellIs" dxfId="3117" priority="31" operator="greaterThanOrEqual">
      <formula>$B$8*100</formula>
    </cfRule>
  </conditionalFormatting>
  <conditionalFormatting sqref="B41">
    <cfRule type="cellIs" dxfId="3116" priority="32" operator="lessThan">
      <formula>$B$8*100</formula>
    </cfRule>
    <cfRule type="cellIs" dxfId="3115" priority="33" operator="greaterThan">
      <formula>$B$8*100</formula>
    </cfRule>
    <cfRule type="cellIs" dxfId="3114" priority="34" operator="greaterThan">
      <formula>$B$8*100</formula>
    </cfRule>
  </conditionalFormatting>
  <conditionalFormatting sqref="B38">
    <cfRule type="cellIs" dxfId="3113" priority="8" operator="equal">
      <formula>"YES"</formula>
    </cfRule>
    <cfRule type="cellIs" dxfId="3112" priority="9" operator="equal">
      <formula>"NO"</formula>
    </cfRule>
  </conditionalFormatting>
  <conditionalFormatting sqref="E23:E26">
    <cfRule type="cellIs" dxfId="3111" priority="4" operator="equal">
      <formula>"NO"</formula>
    </cfRule>
    <cfRule type="cellIs" dxfId="3110" priority="5" operator="equal">
      <formula>"YES"</formula>
    </cfRule>
  </conditionalFormatting>
  <conditionalFormatting sqref="E29">
    <cfRule type="cellIs" dxfId="3109" priority="1" operator="between">
      <formula>10%</formula>
      <formula>12%</formula>
    </cfRule>
    <cfRule type="cellIs" dxfId="3108" priority="2" operator="lessThan">
      <formula>0.1</formula>
    </cfRule>
    <cfRule type="cellIs" dxfId="3107" priority="3" operator="greaterThan">
      <formula>0.12</formula>
    </cfRule>
  </conditionalFormatting>
  <conditionalFormatting sqref="E28">
    <cfRule type="cellIs" dxfId="3106" priority="6" operator="lessThan">
      <formula>$B$8*100</formula>
    </cfRule>
    <cfRule type="cellIs" dxfId="3105" priority="7" operator="greaterThan">
      <formula>$B$8*100</formula>
    </cfRule>
  </conditionalFormatting>
  <hyperlinks>
    <hyperlink ref="A32" r:id="rId1" display="https://www.zillow.com/homes/recently_sold/" xr:uid="{CC091BE3-A4A3-4C14-8A3F-1FA413C3148D}"/>
    <hyperlink ref="A21" r:id="rId2" xr:uid="{01377EC1-17B0-425A-ADFE-BBD9B41F567A}"/>
    <hyperlink ref="A25" r:id="rId3" display="www.mortgagecalculator.org" xr:uid="{E2F5719E-40DB-40BD-A10B-225C9176893F}"/>
    <hyperlink ref="A12" r:id="rId4" xr:uid="{C625A498-C27F-4B2D-896E-A11B7F16E09F}"/>
  </hyperlinks>
  <pageMargins left="0.7" right="0.7" top="0.75" bottom="0.75" header="0.3" footer="0.3"/>
  <legacyDrawing r:id="rId5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C4999-E40D-4B93-8017-25E17D7F2A02}">
  <sheetPr codeName="Sheet150">
    <tabColor rgb="FF00B050"/>
  </sheetPr>
  <dimension ref="A1:P42"/>
  <sheetViews>
    <sheetView workbookViewId="0">
      <selection activeCell="B25" sqref="B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2207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175000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8750</v>
      </c>
      <c r="D17" s="19"/>
      <c r="E17" s="20"/>
      <c r="P17" s="21"/>
    </row>
    <row r="18" spans="1:16" x14ac:dyDescent="0.25">
      <c r="A18" s="7" t="s">
        <v>23</v>
      </c>
      <c r="B18" s="17">
        <f>B16-B17</f>
        <v>166250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1799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1750</v>
      </c>
      <c r="D22" s="7" t="s">
        <v>77</v>
      </c>
      <c r="E22" s="17">
        <f>B16*0.01</f>
        <v>1750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1200.44</v>
      </c>
      <c r="D25" s="7" t="s">
        <v>38</v>
      </c>
      <c r="E25" s="35">
        <f>B25</f>
        <v>1200.44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1650.19</v>
      </c>
      <c r="D26" s="7" t="s">
        <v>41</v>
      </c>
      <c r="E26" s="17">
        <f>E25+I25+I34</f>
        <v>1650.19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148.80999999999995</v>
      </c>
      <c r="D28" s="7" t="s">
        <v>43</v>
      </c>
      <c r="E28" s="44">
        <f>E21-E25-I25-I34+I24+I33</f>
        <v>-420.29000000000008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0.20408228571428563</v>
      </c>
      <c r="D29" s="46" t="s">
        <v>44</v>
      </c>
      <c r="E29" s="47">
        <f>(E28*12)/B17</f>
        <v>-0.5763977142857144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89.95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89.95</v>
      </c>
    </row>
    <row r="32" spans="1:16" x14ac:dyDescent="0.25">
      <c r="A32" s="26" t="s">
        <v>49</v>
      </c>
      <c r="B32" s="8">
        <f>B16</f>
        <v>175000</v>
      </c>
      <c r="G32" s="27" t="s">
        <v>50</v>
      </c>
      <c r="H32" s="48">
        <v>0.05</v>
      </c>
      <c r="I32" s="49">
        <f>$B$21*H32</f>
        <v>89.95</v>
      </c>
    </row>
    <row r="33" spans="1:9" x14ac:dyDescent="0.25">
      <c r="A33" s="7" t="s">
        <v>51</v>
      </c>
      <c r="B33" s="17">
        <f>B32-B18</f>
        <v>8750</v>
      </c>
      <c r="G33" s="27" t="s">
        <v>52</v>
      </c>
      <c r="H33" s="48">
        <v>0.1</v>
      </c>
      <c r="I33" s="49">
        <f>$B$21*H33</f>
        <v>179.9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449.75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117.76041666666667</v>
      </c>
      <c r="D39" s="58"/>
      <c r="E39" s="61"/>
    </row>
    <row r="40" spans="1:9" x14ac:dyDescent="0.25">
      <c r="A40" s="7" t="s">
        <v>58</v>
      </c>
      <c r="B40" s="17">
        <f>B25-B39</f>
        <v>1082.6795833333333</v>
      </c>
      <c r="D40" s="58"/>
      <c r="E40" s="61"/>
    </row>
    <row r="41" spans="1:9" x14ac:dyDescent="0.25">
      <c r="A41" s="7" t="s">
        <v>59</v>
      </c>
      <c r="B41" s="43">
        <f>B21-B40-I25-I34</f>
        <v>266.57041666666669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0.36558228571428575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104" priority="28" operator="equal">
      <formula>"NO"</formula>
    </cfRule>
    <cfRule type="cellIs" dxfId="3103" priority="29" operator="equal">
      <formula>"YES"</formula>
    </cfRule>
  </conditionalFormatting>
  <conditionalFormatting sqref="E38">
    <cfRule type="cellIs" dxfId="3102" priority="26" operator="equal">
      <formula>"YES"</formula>
    </cfRule>
    <cfRule type="cellIs" dxfId="3101" priority="27" operator="equal">
      <formula>"NO"</formula>
    </cfRule>
  </conditionalFormatting>
  <conditionalFormatting sqref="B23">
    <cfRule type="cellIs" dxfId="3100" priority="24" operator="equal">
      <formula>"NO"</formula>
    </cfRule>
    <cfRule type="cellIs" dxfId="3099" priority="25" operator="equal">
      <formula>"YES"</formula>
    </cfRule>
  </conditionalFormatting>
  <conditionalFormatting sqref="B12">
    <cfRule type="containsText" dxfId="3098" priority="10" operator="containsText" text="Low">
      <formula>NOT(ISERROR(SEARCH("Low",B12)))</formula>
    </cfRule>
    <cfRule type="containsText" dxfId="3097" priority="11" operator="containsText" text="Medium">
      <formula>NOT(ISERROR(SEARCH("Medium",B12)))</formula>
    </cfRule>
    <cfRule type="containsText" dxfId="3096" priority="12" operator="containsText" text="High">
      <formula>NOT(ISERROR(SEARCH("High",B12)))</formula>
    </cfRule>
  </conditionalFormatting>
  <conditionalFormatting sqref="B29">
    <cfRule type="cellIs" dxfId="3095" priority="20" operator="between">
      <formula>10%</formula>
      <formula>11.9%</formula>
    </cfRule>
    <cfRule type="cellIs" dxfId="3094" priority="22" operator="lessThan">
      <formula>0.1</formula>
    </cfRule>
    <cfRule type="cellIs" dxfId="3093" priority="23" operator="greaterThanOrEqual">
      <formula>0.12</formula>
    </cfRule>
  </conditionalFormatting>
  <conditionalFormatting sqref="B42">
    <cfRule type="cellIs" dxfId="3092" priority="18" operator="between">
      <formula>0.1</formula>
      <formula>0.1199</formula>
    </cfRule>
    <cfRule type="cellIs" dxfId="3091" priority="19" operator="lessThan">
      <formula>0.1</formula>
    </cfRule>
    <cfRule type="cellIs" dxfId="3090" priority="21" operator="greaterThanOrEqual">
      <formula>0.12</formula>
    </cfRule>
  </conditionalFormatting>
  <conditionalFormatting sqref="B10">
    <cfRule type="containsText" dxfId="3089" priority="13" operator="containsText" text="Full">
      <formula>NOT(ISERROR(SEARCH("Full",B10)))</formula>
    </cfRule>
    <cfRule type="containsText" dxfId="3088" priority="14" operator="containsText" text="Heavy">
      <formula>NOT(ISERROR(SEARCH("Heavy",B10)))</formula>
    </cfRule>
    <cfRule type="containsText" dxfId="3087" priority="15" operator="containsText" text="Medium">
      <formula>NOT(ISERROR(SEARCH("Medium",B10)))</formula>
    </cfRule>
    <cfRule type="containsText" dxfId="3086" priority="16" operator="containsText" text="Light">
      <formula>NOT(ISERROR(SEARCH("Light",B10)))</formula>
    </cfRule>
    <cfRule type="containsText" dxfId="3085" priority="17" operator="containsText" text="None">
      <formula>NOT(ISERROR(SEARCH("None",B10)))</formula>
    </cfRule>
  </conditionalFormatting>
  <conditionalFormatting sqref="B28">
    <cfRule type="cellIs" dxfId="3084" priority="30" operator="lessThan">
      <formula>$B$8*100</formula>
    </cfRule>
    <cfRule type="cellIs" dxfId="3083" priority="31" operator="greaterThanOrEqual">
      <formula>$B$8*100</formula>
    </cfRule>
  </conditionalFormatting>
  <conditionalFormatting sqref="B41">
    <cfRule type="cellIs" dxfId="3082" priority="32" operator="lessThan">
      <formula>$B$8*100</formula>
    </cfRule>
    <cfRule type="cellIs" dxfId="3081" priority="33" operator="greaterThan">
      <formula>$B$8*100</formula>
    </cfRule>
    <cfRule type="cellIs" dxfId="3080" priority="34" operator="greaterThan">
      <formula>$B$8*100</formula>
    </cfRule>
  </conditionalFormatting>
  <conditionalFormatting sqref="B38">
    <cfRule type="cellIs" dxfId="3079" priority="8" operator="equal">
      <formula>"YES"</formula>
    </cfRule>
    <cfRule type="cellIs" dxfId="3078" priority="9" operator="equal">
      <formula>"NO"</formula>
    </cfRule>
  </conditionalFormatting>
  <conditionalFormatting sqref="E23:E26">
    <cfRule type="cellIs" dxfId="3077" priority="4" operator="equal">
      <formula>"NO"</formula>
    </cfRule>
    <cfRule type="cellIs" dxfId="3076" priority="5" operator="equal">
      <formula>"YES"</formula>
    </cfRule>
  </conditionalFormatting>
  <conditionalFormatting sqref="E29">
    <cfRule type="cellIs" dxfId="3075" priority="1" operator="between">
      <formula>10%</formula>
      <formula>12%</formula>
    </cfRule>
    <cfRule type="cellIs" dxfId="3074" priority="2" operator="lessThan">
      <formula>0.1</formula>
    </cfRule>
    <cfRule type="cellIs" dxfId="3073" priority="3" operator="greaterThan">
      <formula>0.12</formula>
    </cfRule>
  </conditionalFormatting>
  <conditionalFormatting sqref="E28">
    <cfRule type="cellIs" dxfId="3072" priority="6" operator="lessThan">
      <formula>$B$8*100</formula>
    </cfRule>
    <cfRule type="cellIs" dxfId="3071" priority="7" operator="greaterThan">
      <formula>$B$8*100</formula>
    </cfRule>
  </conditionalFormatting>
  <hyperlinks>
    <hyperlink ref="A32" r:id="rId1" display="https://www.zillow.com/homes/recently_sold/" xr:uid="{57E649CE-61F6-4A70-82E6-5EA45E0CCF04}"/>
    <hyperlink ref="A21" r:id="rId2" xr:uid="{10811115-3B9C-4D88-8FA4-9198635F1A9D}"/>
    <hyperlink ref="A25" r:id="rId3" display="www.mortgagecalculator.org" xr:uid="{E6304EC3-AA29-4F57-8A98-4C76B2EEE92C}"/>
    <hyperlink ref="A12" r:id="rId4" xr:uid="{3353BC43-3FEC-4EF8-B57D-45E74F736A20}"/>
  </hyperlinks>
  <pageMargins left="0.7" right="0.7" top="0.75" bottom="0.75" header="0.3" footer="0.3"/>
  <drawing r:id="rId5"/>
  <legacyDrawing r:id="rId6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4A1BD-C97C-4676-B4EC-6AFEBA6009B7}">
  <sheetPr codeName="Sheet151">
    <tabColor rgb="FFFF0000"/>
  </sheetPr>
  <dimension ref="A1:P42"/>
  <sheetViews>
    <sheetView topLeftCell="A11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212000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1246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B7*0.95</f>
        <v>201400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201400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10070</v>
      </c>
      <c r="D17" s="19"/>
      <c r="E17" s="20"/>
      <c r="P17" s="21"/>
    </row>
    <row r="18" spans="1:16" x14ac:dyDescent="0.25">
      <c r="A18" s="7" t="s">
        <v>23</v>
      </c>
      <c r="B18" s="17">
        <f>B16-B17</f>
        <v>191330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f>1750</f>
        <v>1750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2014</v>
      </c>
      <c r="D22" s="7" t="s">
        <v>77</v>
      </c>
      <c r="E22" s="17">
        <f>B16*0.01</f>
        <v>2014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1312.07</v>
      </c>
      <c r="D25" s="7" t="s">
        <v>38</v>
      </c>
      <c r="E25" s="35">
        <f>B25</f>
        <v>1312.07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1749.57</v>
      </c>
      <c r="D26" s="7" t="s">
        <v>41</v>
      </c>
      <c r="E26" s="17">
        <f>E25+I25+I34</f>
        <v>1749.57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0.43000000000006366</v>
      </c>
      <c r="D28" s="7" t="s">
        <v>43</v>
      </c>
      <c r="E28" s="44">
        <f>E21-E25-I25-I34+I24+I33</f>
        <v>-524.56999999999994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5.1241310824237977E-4</v>
      </c>
      <c r="D29" s="46" t="s">
        <v>44</v>
      </c>
      <c r="E29" s="47">
        <f>(E28*12)/B17</f>
        <v>-0.62510824230387285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87.5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87.5</v>
      </c>
    </row>
    <row r="32" spans="1:16" x14ac:dyDescent="0.25">
      <c r="A32" s="26" t="s">
        <v>49</v>
      </c>
      <c r="B32" s="8">
        <f>B16</f>
        <v>201400</v>
      </c>
      <c r="G32" s="27" t="s">
        <v>50</v>
      </c>
      <c r="H32" s="48">
        <v>0.05</v>
      </c>
      <c r="I32" s="49">
        <f>$B$21*H32</f>
        <v>87.5</v>
      </c>
    </row>
    <row r="33" spans="1:9" x14ac:dyDescent="0.25">
      <c r="A33" s="7" t="s">
        <v>51</v>
      </c>
      <c r="B33" s="17">
        <f>B32-B18</f>
        <v>10070</v>
      </c>
      <c r="G33" s="27" t="s">
        <v>52</v>
      </c>
      <c r="H33" s="48">
        <v>0.1</v>
      </c>
      <c r="I33" s="49">
        <f>$B$21*H33</f>
        <v>175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437.5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135.52541666666667</v>
      </c>
      <c r="D39" s="58"/>
      <c r="E39" s="61"/>
    </row>
    <row r="40" spans="1:9" x14ac:dyDescent="0.25">
      <c r="A40" s="7" t="s">
        <v>58</v>
      </c>
      <c r="B40" s="17">
        <f>B25-B39</f>
        <v>1176.5445833333333</v>
      </c>
      <c r="D40" s="58"/>
      <c r="E40" s="61"/>
    </row>
    <row r="41" spans="1:9" x14ac:dyDescent="0.25">
      <c r="A41" s="7" t="s">
        <v>59</v>
      </c>
      <c r="B41" s="43">
        <f>B21-B40-I25-I34</f>
        <v>135.95541666666668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0.16201241310824233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070" priority="28" operator="equal">
      <formula>"NO"</formula>
    </cfRule>
    <cfRule type="cellIs" dxfId="3069" priority="29" operator="equal">
      <formula>"YES"</formula>
    </cfRule>
  </conditionalFormatting>
  <conditionalFormatting sqref="E38">
    <cfRule type="cellIs" dxfId="3068" priority="26" operator="equal">
      <formula>"YES"</formula>
    </cfRule>
    <cfRule type="cellIs" dxfId="3067" priority="27" operator="equal">
      <formula>"NO"</formula>
    </cfRule>
  </conditionalFormatting>
  <conditionalFormatting sqref="B23">
    <cfRule type="cellIs" dxfId="3066" priority="24" operator="equal">
      <formula>"NO"</formula>
    </cfRule>
    <cfRule type="cellIs" dxfId="3065" priority="25" operator="equal">
      <formula>"YES"</formula>
    </cfRule>
  </conditionalFormatting>
  <conditionalFormatting sqref="B12">
    <cfRule type="containsText" dxfId="3064" priority="10" operator="containsText" text="Low">
      <formula>NOT(ISERROR(SEARCH("Low",B12)))</formula>
    </cfRule>
    <cfRule type="containsText" dxfId="3063" priority="11" operator="containsText" text="Medium">
      <formula>NOT(ISERROR(SEARCH("Medium",B12)))</formula>
    </cfRule>
    <cfRule type="containsText" dxfId="3062" priority="12" operator="containsText" text="High">
      <formula>NOT(ISERROR(SEARCH("High",B12)))</formula>
    </cfRule>
  </conditionalFormatting>
  <conditionalFormatting sqref="B29">
    <cfRule type="cellIs" dxfId="3061" priority="20" operator="between">
      <formula>10%</formula>
      <formula>11.9%</formula>
    </cfRule>
    <cfRule type="cellIs" dxfId="3060" priority="22" operator="lessThan">
      <formula>0.1</formula>
    </cfRule>
    <cfRule type="cellIs" dxfId="3059" priority="23" operator="greaterThanOrEqual">
      <formula>0.12</formula>
    </cfRule>
  </conditionalFormatting>
  <conditionalFormatting sqref="B42">
    <cfRule type="cellIs" dxfId="3058" priority="18" operator="between">
      <formula>0.1</formula>
      <formula>0.1199</formula>
    </cfRule>
    <cfRule type="cellIs" dxfId="3057" priority="19" operator="lessThan">
      <formula>0.1</formula>
    </cfRule>
    <cfRule type="cellIs" dxfId="3056" priority="21" operator="greaterThanOrEqual">
      <formula>0.12</formula>
    </cfRule>
  </conditionalFormatting>
  <conditionalFormatting sqref="B10">
    <cfRule type="containsText" dxfId="3055" priority="13" operator="containsText" text="Full">
      <formula>NOT(ISERROR(SEARCH("Full",B10)))</formula>
    </cfRule>
    <cfRule type="containsText" dxfId="3054" priority="14" operator="containsText" text="Heavy">
      <formula>NOT(ISERROR(SEARCH("Heavy",B10)))</formula>
    </cfRule>
    <cfRule type="containsText" dxfId="3053" priority="15" operator="containsText" text="Medium">
      <formula>NOT(ISERROR(SEARCH("Medium",B10)))</formula>
    </cfRule>
    <cfRule type="containsText" dxfId="3052" priority="16" operator="containsText" text="Light">
      <formula>NOT(ISERROR(SEARCH("Light",B10)))</formula>
    </cfRule>
    <cfRule type="containsText" dxfId="3051" priority="17" operator="containsText" text="None">
      <formula>NOT(ISERROR(SEARCH("None",B10)))</formula>
    </cfRule>
  </conditionalFormatting>
  <conditionalFormatting sqref="B28">
    <cfRule type="cellIs" dxfId="3050" priority="30" operator="lessThan">
      <formula>$B$8*100</formula>
    </cfRule>
    <cfRule type="cellIs" dxfId="3049" priority="31" operator="greaterThanOrEqual">
      <formula>$B$8*100</formula>
    </cfRule>
  </conditionalFormatting>
  <conditionalFormatting sqref="B41">
    <cfRule type="cellIs" dxfId="3048" priority="32" operator="lessThan">
      <formula>$B$8*100</formula>
    </cfRule>
    <cfRule type="cellIs" dxfId="3047" priority="33" operator="greaterThan">
      <formula>$B$8*100</formula>
    </cfRule>
    <cfRule type="cellIs" dxfId="3046" priority="34" operator="greaterThan">
      <formula>$B$8*100</formula>
    </cfRule>
  </conditionalFormatting>
  <conditionalFormatting sqref="B38">
    <cfRule type="cellIs" dxfId="3045" priority="8" operator="equal">
      <formula>"YES"</formula>
    </cfRule>
    <cfRule type="cellIs" dxfId="3044" priority="9" operator="equal">
      <formula>"NO"</formula>
    </cfRule>
  </conditionalFormatting>
  <conditionalFormatting sqref="E23:E26">
    <cfRule type="cellIs" dxfId="3043" priority="4" operator="equal">
      <formula>"NO"</formula>
    </cfRule>
    <cfRule type="cellIs" dxfId="3042" priority="5" operator="equal">
      <formula>"YES"</formula>
    </cfRule>
  </conditionalFormatting>
  <conditionalFormatting sqref="E29">
    <cfRule type="cellIs" dxfId="3041" priority="1" operator="between">
      <formula>10%</formula>
      <formula>12%</formula>
    </cfRule>
    <cfRule type="cellIs" dxfId="3040" priority="2" operator="lessThan">
      <formula>0.1</formula>
    </cfRule>
    <cfRule type="cellIs" dxfId="3039" priority="3" operator="greaterThan">
      <formula>0.12</formula>
    </cfRule>
  </conditionalFormatting>
  <conditionalFormatting sqref="E28">
    <cfRule type="cellIs" dxfId="3038" priority="6" operator="lessThan">
      <formula>$B$8*100</formula>
    </cfRule>
    <cfRule type="cellIs" dxfId="3037" priority="7" operator="greaterThan">
      <formula>$B$8*100</formula>
    </cfRule>
  </conditionalFormatting>
  <hyperlinks>
    <hyperlink ref="A32" r:id="rId1" display="https://www.zillow.com/homes/recently_sold/" xr:uid="{47C1D830-684A-497D-A8FC-86DB2F2E5D05}"/>
    <hyperlink ref="A21" r:id="rId2" xr:uid="{C458FF6D-C002-47DC-808F-B091C94C16E8}"/>
    <hyperlink ref="A25" r:id="rId3" display="www.mortgagecalculator.org" xr:uid="{40E14AC9-1ABE-46BC-9308-CDBEA1EA554B}"/>
    <hyperlink ref="A12" r:id="rId4" xr:uid="{3AF10018-5F83-4996-B11A-4E2D23F772B8}"/>
  </hyperlinks>
  <pageMargins left="0.7" right="0.7" top="0.75" bottom="0.75" header="0.3" footer="0.3"/>
  <drawing r:id="rId5"/>
  <legacyDrawing r:id="rId6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DEE5E-3719-4542-9450-37BE2BC78FA2}">
  <sheetPr codeName="Sheet152">
    <tabColor rgb="FFFF0000"/>
  </sheetPr>
  <dimension ref="A1:P42"/>
  <sheetViews>
    <sheetView topLeftCell="A10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182000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1242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163800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18630</v>
      </c>
      <c r="D15" s="2"/>
      <c r="E15" s="3"/>
    </row>
    <row r="16" spans="1:10" x14ac:dyDescent="0.25">
      <c r="A16" s="7" t="s">
        <v>20</v>
      </c>
      <c r="B16" s="17">
        <f>B15+B13</f>
        <v>182430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6385.05</v>
      </c>
      <c r="D17" s="19"/>
      <c r="E17" s="20"/>
      <c r="P17" s="21"/>
    </row>
    <row r="18" spans="1:16" x14ac:dyDescent="0.25">
      <c r="A18" s="7" t="s">
        <v>23</v>
      </c>
      <c r="B18" s="17">
        <f>B16-B17</f>
        <v>176044.95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1824.3</v>
      </c>
      <c r="D22" s="7" t="s">
        <v>77</v>
      </c>
      <c r="E22" s="17">
        <f>B16*0.01</f>
        <v>1824.3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1298.5</v>
      </c>
      <c r="D25" s="7" t="s">
        <v>38</v>
      </c>
      <c r="E25" s="35">
        <f>B25</f>
        <v>1298.5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1723.5</v>
      </c>
      <c r="D26" s="7" t="s">
        <v>41</v>
      </c>
      <c r="E26" s="17">
        <f>E25+I25+I34</f>
        <v>1723.5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-23.5</v>
      </c>
      <c r="D28" s="7" t="s">
        <v>43</v>
      </c>
      <c r="E28" s="44">
        <f>E21-E25-I25-I34+I24+I33</f>
        <v>-503.5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-4.4165668240655903E-2</v>
      </c>
      <c r="D29" s="46" t="s">
        <v>44</v>
      </c>
      <c r="E29" s="47">
        <f>(E28*12)/B17</f>
        <v>-0.94627293443277649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85</v>
      </c>
    </row>
    <row r="32" spans="1:16" x14ac:dyDescent="0.25">
      <c r="A32" s="26" t="s">
        <v>49</v>
      </c>
      <c r="B32" s="8">
        <f>B16</f>
        <v>182430</v>
      </c>
      <c r="G32" s="27" t="s">
        <v>50</v>
      </c>
      <c r="H32" s="48">
        <v>0.05</v>
      </c>
      <c r="I32" s="49">
        <f>$B$21*H32</f>
        <v>85</v>
      </c>
    </row>
    <row r="33" spans="1:9" x14ac:dyDescent="0.25">
      <c r="A33" s="7" t="s">
        <v>51</v>
      </c>
      <c r="B33" s="17">
        <f>B32-B18</f>
        <v>6385.0499999999884</v>
      </c>
      <c r="G33" s="27" t="s">
        <v>52</v>
      </c>
      <c r="H33" s="48">
        <v>0.1</v>
      </c>
      <c r="I33" s="49">
        <f>$B$21*H33</f>
        <v>170</v>
      </c>
    </row>
    <row r="34" spans="1:9" ht="15.75" thickBot="1" x14ac:dyDescent="0.3">
      <c r="A34" s="7" t="s">
        <v>53</v>
      </c>
      <c r="B34" s="50">
        <f>B33/B17</f>
        <v>0.99999999999999811</v>
      </c>
      <c r="G34" s="36" t="s">
        <v>39</v>
      </c>
      <c r="H34" s="37"/>
      <c r="I34" s="51">
        <f>SUM(I30:I33)</f>
        <v>425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124.69850625000002</v>
      </c>
      <c r="D39" s="58"/>
      <c r="E39" s="61"/>
    </row>
    <row r="40" spans="1:9" x14ac:dyDescent="0.25">
      <c r="A40" s="7" t="s">
        <v>58</v>
      </c>
      <c r="B40" s="17">
        <f>B25-B39</f>
        <v>1173.80149375</v>
      </c>
      <c r="D40" s="58"/>
      <c r="E40" s="61"/>
    </row>
    <row r="41" spans="1:9" x14ac:dyDescent="0.25">
      <c r="A41" s="7" t="s">
        <v>59</v>
      </c>
      <c r="B41" s="43">
        <f>B21-B40-I25-I34</f>
        <v>101.19850625000004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0.19019147461648703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036" priority="28" operator="equal">
      <formula>"NO"</formula>
    </cfRule>
    <cfRule type="cellIs" dxfId="3035" priority="29" operator="equal">
      <formula>"YES"</formula>
    </cfRule>
  </conditionalFormatting>
  <conditionalFormatting sqref="E38">
    <cfRule type="cellIs" dxfId="3034" priority="26" operator="equal">
      <formula>"YES"</formula>
    </cfRule>
    <cfRule type="cellIs" dxfId="3033" priority="27" operator="equal">
      <formula>"NO"</formula>
    </cfRule>
  </conditionalFormatting>
  <conditionalFormatting sqref="B23">
    <cfRule type="cellIs" dxfId="3032" priority="24" operator="equal">
      <formula>"NO"</formula>
    </cfRule>
    <cfRule type="cellIs" dxfId="3031" priority="25" operator="equal">
      <formula>"YES"</formula>
    </cfRule>
  </conditionalFormatting>
  <conditionalFormatting sqref="B12">
    <cfRule type="containsText" dxfId="3030" priority="10" operator="containsText" text="Low">
      <formula>NOT(ISERROR(SEARCH("Low",B12)))</formula>
    </cfRule>
    <cfRule type="containsText" dxfId="3029" priority="11" operator="containsText" text="Medium">
      <formula>NOT(ISERROR(SEARCH("Medium",B12)))</formula>
    </cfRule>
    <cfRule type="containsText" dxfId="3028" priority="12" operator="containsText" text="High">
      <formula>NOT(ISERROR(SEARCH("High",B12)))</formula>
    </cfRule>
  </conditionalFormatting>
  <conditionalFormatting sqref="B29">
    <cfRule type="cellIs" dxfId="3027" priority="20" operator="between">
      <formula>10%</formula>
      <formula>11.9%</formula>
    </cfRule>
    <cfRule type="cellIs" dxfId="3026" priority="22" operator="lessThan">
      <formula>0.1</formula>
    </cfRule>
    <cfRule type="cellIs" dxfId="3025" priority="23" operator="greaterThanOrEqual">
      <formula>0.12</formula>
    </cfRule>
  </conditionalFormatting>
  <conditionalFormatting sqref="B42">
    <cfRule type="cellIs" dxfId="3024" priority="18" operator="between">
      <formula>0.1</formula>
      <formula>0.1199</formula>
    </cfRule>
    <cfRule type="cellIs" dxfId="3023" priority="19" operator="lessThan">
      <formula>0.1</formula>
    </cfRule>
    <cfRule type="cellIs" dxfId="3022" priority="21" operator="greaterThanOrEqual">
      <formula>0.12</formula>
    </cfRule>
  </conditionalFormatting>
  <conditionalFormatting sqref="B10">
    <cfRule type="containsText" dxfId="3021" priority="13" operator="containsText" text="Full">
      <formula>NOT(ISERROR(SEARCH("Full",B10)))</formula>
    </cfRule>
    <cfRule type="containsText" dxfId="3020" priority="14" operator="containsText" text="Heavy">
      <formula>NOT(ISERROR(SEARCH("Heavy",B10)))</formula>
    </cfRule>
    <cfRule type="containsText" dxfId="3019" priority="15" operator="containsText" text="Medium">
      <formula>NOT(ISERROR(SEARCH("Medium",B10)))</formula>
    </cfRule>
    <cfRule type="containsText" dxfId="3018" priority="16" operator="containsText" text="Light">
      <formula>NOT(ISERROR(SEARCH("Light",B10)))</formula>
    </cfRule>
    <cfRule type="containsText" dxfId="3017" priority="17" operator="containsText" text="None">
      <formula>NOT(ISERROR(SEARCH("None",B10)))</formula>
    </cfRule>
  </conditionalFormatting>
  <conditionalFormatting sqref="B28">
    <cfRule type="cellIs" dxfId="3016" priority="30" operator="lessThan">
      <formula>$B$8*100</formula>
    </cfRule>
    <cfRule type="cellIs" dxfId="3015" priority="31" operator="greaterThanOrEqual">
      <formula>$B$8*100</formula>
    </cfRule>
  </conditionalFormatting>
  <conditionalFormatting sqref="B41">
    <cfRule type="cellIs" dxfId="3014" priority="32" operator="lessThan">
      <formula>$B$8*100</formula>
    </cfRule>
    <cfRule type="cellIs" dxfId="3013" priority="33" operator="greaterThan">
      <formula>$B$8*100</formula>
    </cfRule>
    <cfRule type="cellIs" dxfId="3012" priority="34" operator="greaterThan">
      <formula>$B$8*100</formula>
    </cfRule>
  </conditionalFormatting>
  <conditionalFormatting sqref="B38">
    <cfRule type="cellIs" dxfId="3011" priority="8" operator="equal">
      <formula>"YES"</formula>
    </cfRule>
    <cfRule type="cellIs" dxfId="3010" priority="9" operator="equal">
      <formula>"NO"</formula>
    </cfRule>
  </conditionalFormatting>
  <conditionalFormatting sqref="E23:E26">
    <cfRule type="cellIs" dxfId="3009" priority="4" operator="equal">
      <formula>"NO"</formula>
    </cfRule>
    <cfRule type="cellIs" dxfId="3008" priority="5" operator="equal">
      <formula>"YES"</formula>
    </cfRule>
  </conditionalFormatting>
  <conditionalFormatting sqref="E29">
    <cfRule type="cellIs" dxfId="3007" priority="1" operator="between">
      <formula>10%</formula>
      <formula>12%</formula>
    </cfRule>
    <cfRule type="cellIs" dxfId="3006" priority="2" operator="lessThan">
      <formula>0.1</formula>
    </cfRule>
    <cfRule type="cellIs" dxfId="3005" priority="3" operator="greaterThan">
      <formula>0.12</formula>
    </cfRule>
  </conditionalFormatting>
  <conditionalFormatting sqref="E28">
    <cfRule type="cellIs" dxfId="3004" priority="6" operator="lessThan">
      <formula>$B$8*100</formula>
    </cfRule>
    <cfRule type="cellIs" dxfId="3003" priority="7" operator="greaterThan">
      <formula>$B$8*100</formula>
    </cfRule>
  </conditionalFormatting>
  <hyperlinks>
    <hyperlink ref="A32" r:id="rId1" display="https://www.zillow.com/homes/recently_sold/" xr:uid="{06A9DFDF-7801-4F56-A038-3A5B61AB5257}"/>
    <hyperlink ref="A21" r:id="rId2" xr:uid="{0BE63696-4421-4273-9937-E48512E0A3B6}"/>
    <hyperlink ref="A25" r:id="rId3" display="www.mortgagecalculator.org" xr:uid="{C80153CD-A61D-416D-B5A7-2F4DD7314123}"/>
    <hyperlink ref="A12" r:id="rId4" xr:uid="{B25EE90F-16B8-4178-A34E-344215D5320D}"/>
  </hyperlinks>
  <pageMargins left="0.7" right="0.7" top="0.75" bottom="0.75" header="0.3" footer="0.3"/>
  <drawing r:id="rId5"/>
  <legacyDrawing r:id="rId6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53FD-EA55-4DD4-BE74-2EE5EE134C71}">
  <sheetPr codeName="Sheet153">
    <tabColor rgb="FFFF0000"/>
  </sheetPr>
  <dimension ref="A1:P42"/>
  <sheetViews>
    <sheetView topLeftCell="A9" workbookViewId="0">
      <selection activeCell="B29" sqref="B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305000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2513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274500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274500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13725</v>
      </c>
      <c r="D17" s="19"/>
      <c r="E17" s="20"/>
      <c r="P17" s="21"/>
    </row>
    <row r="18" spans="1:16" x14ac:dyDescent="0.25">
      <c r="A18" s="7" t="s">
        <v>23</v>
      </c>
      <c r="B18" s="17">
        <f>B16-B17</f>
        <v>260775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1785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2745</v>
      </c>
      <c r="D22" s="7" t="s">
        <v>77</v>
      </c>
      <c r="E22" s="17">
        <f>B16*0.01</f>
        <v>2745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1833.98</v>
      </c>
      <c r="D25" s="7" t="s">
        <v>38</v>
      </c>
      <c r="E25" s="35">
        <f>B25</f>
        <v>1833.98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2280.23</v>
      </c>
      <c r="D26" s="7" t="s">
        <v>41</v>
      </c>
      <c r="E26" s="17">
        <f>E25+I25+I34</f>
        <v>2280.23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-495.23</v>
      </c>
      <c r="D28" s="7" t="s">
        <v>43</v>
      </c>
      <c r="E28" s="44">
        <f>E21-E25-I25-I34+I24+I33</f>
        <v>-1051.73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-0.43298797814207651</v>
      </c>
      <c r="D29" s="46" t="s">
        <v>44</v>
      </c>
      <c r="E29" s="47">
        <f>(E28*12)/B17</f>
        <v>-0.9195453551912568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89.25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89.25</v>
      </c>
    </row>
    <row r="32" spans="1:16" x14ac:dyDescent="0.25">
      <c r="A32" s="26" t="s">
        <v>49</v>
      </c>
      <c r="B32" s="8">
        <f>B16</f>
        <v>274500</v>
      </c>
      <c r="G32" s="27" t="s">
        <v>50</v>
      </c>
      <c r="H32" s="48">
        <v>0.05</v>
      </c>
      <c r="I32" s="49">
        <f>$B$21*H32</f>
        <v>89.25</v>
      </c>
    </row>
    <row r="33" spans="1:9" x14ac:dyDescent="0.25">
      <c r="A33" s="7" t="s">
        <v>51</v>
      </c>
      <c r="B33" s="17">
        <f>B32-B18</f>
        <v>13725</v>
      </c>
      <c r="G33" s="27" t="s">
        <v>52</v>
      </c>
      <c r="H33" s="48">
        <v>0.1</v>
      </c>
      <c r="I33" s="49">
        <f>$B$21*H33</f>
        <v>178.5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446.25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184.71562500000002</v>
      </c>
      <c r="D39" s="58"/>
      <c r="E39" s="61"/>
    </row>
    <row r="40" spans="1:9" x14ac:dyDescent="0.25">
      <c r="A40" s="7" t="s">
        <v>58</v>
      </c>
      <c r="B40" s="17">
        <f>B25-B39</f>
        <v>1649.264375</v>
      </c>
      <c r="D40" s="58"/>
      <c r="E40" s="61"/>
    </row>
    <row r="41" spans="1:9" x14ac:dyDescent="0.25">
      <c r="A41" s="7" t="s">
        <v>59</v>
      </c>
      <c r="B41" s="43">
        <f>B21-B40-I25-I34</f>
        <v>-310.51437499999997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-0.27148797814207648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3002" priority="28" operator="equal">
      <formula>"NO"</formula>
    </cfRule>
    <cfRule type="cellIs" dxfId="3001" priority="29" operator="equal">
      <formula>"YES"</formula>
    </cfRule>
  </conditionalFormatting>
  <conditionalFormatting sqref="E38">
    <cfRule type="cellIs" dxfId="3000" priority="26" operator="equal">
      <formula>"YES"</formula>
    </cfRule>
    <cfRule type="cellIs" dxfId="2999" priority="27" operator="equal">
      <formula>"NO"</formula>
    </cfRule>
  </conditionalFormatting>
  <conditionalFormatting sqref="B23">
    <cfRule type="cellIs" dxfId="2998" priority="24" operator="equal">
      <formula>"NO"</formula>
    </cfRule>
    <cfRule type="cellIs" dxfId="2997" priority="25" operator="equal">
      <formula>"YES"</formula>
    </cfRule>
  </conditionalFormatting>
  <conditionalFormatting sqref="B12">
    <cfRule type="containsText" dxfId="2996" priority="10" operator="containsText" text="Low">
      <formula>NOT(ISERROR(SEARCH("Low",B12)))</formula>
    </cfRule>
    <cfRule type="containsText" dxfId="2995" priority="11" operator="containsText" text="Medium">
      <formula>NOT(ISERROR(SEARCH("Medium",B12)))</formula>
    </cfRule>
    <cfRule type="containsText" dxfId="2994" priority="12" operator="containsText" text="High">
      <formula>NOT(ISERROR(SEARCH("High",B12)))</formula>
    </cfRule>
  </conditionalFormatting>
  <conditionalFormatting sqref="B29">
    <cfRule type="cellIs" dxfId="2993" priority="20" operator="between">
      <formula>10%</formula>
      <formula>11.9%</formula>
    </cfRule>
    <cfRule type="cellIs" dxfId="2992" priority="22" operator="lessThan">
      <formula>0.1</formula>
    </cfRule>
    <cfRule type="cellIs" dxfId="2991" priority="23" operator="greaterThanOrEqual">
      <formula>0.12</formula>
    </cfRule>
  </conditionalFormatting>
  <conditionalFormatting sqref="B42">
    <cfRule type="cellIs" dxfId="2990" priority="18" operator="between">
      <formula>0.1</formula>
      <formula>0.1199</formula>
    </cfRule>
    <cfRule type="cellIs" dxfId="2989" priority="19" operator="lessThan">
      <formula>0.1</formula>
    </cfRule>
    <cfRule type="cellIs" dxfId="2988" priority="21" operator="greaterThanOrEqual">
      <formula>0.12</formula>
    </cfRule>
  </conditionalFormatting>
  <conditionalFormatting sqref="B10">
    <cfRule type="containsText" dxfId="2987" priority="13" operator="containsText" text="Full">
      <formula>NOT(ISERROR(SEARCH("Full",B10)))</formula>
    </cfRule>
    <cfRule type="containsText" dxfId="2986" priority="14" operator="containsText" text="Heavy">
      <formula>NOT(ISERROR(SEARCH("Heavy",B10)))</formula>
    </cfRule>
    <cfRule type="containsText" dxfId="2985" priority="15" operator="containsText" text="Medium">
      <formula>NOT(ISERROR(SEARCH("Medium",B10)))</formula>
    </cfRule>
    <cfRule type="containsText" dxfId="2984" priority="16" operator="containsText" text="Light">
      <formula>NOT(ISERROR(SEARCH("Light",B10)))</formula>
    </cfRule>
    <cfRule type="containsText" dxfId="2983" priority="17" operator="containsText" text="None">
      <formula>NOT(ISERROR(SEARCH("None",B10)))</formula>
    </cfRule>
  </conditionalFormatting>
  <conditionalFormatting sqref="B28">
    <cfRule type="cellIs" dxfId="2982" priority="30" operator="lessThan">
      <formula>$B$8*100</formula>
    </cfRule>
    <cfRule type="cellIs" dxfId="2981" priority="31" operator="greaterThanOrEqual">
      <formula>$B$8*100</formula>
    </cfRule>
  </conditionalFormatting>
  <conditionalFormatting sqref="B41">
    <cfRule type="cellIs" dxfId="2980" priority="32" operator="lessThan">
      <formula>$B$8*100</formula>
    </cfRule>
    <cfRule type="cellIs" dxfId="2979" priority="33" operator="greaterThan">
      <formula>$B$8*100</formula>
    </cfRule>
    <cfRule type="cellIs" dxfId="2978" priority="34" operator="greaterThan">
      <formula>$B$8*100</formula>
    </cfRule>
  </conditionalFormatting>
  <conditionalFormatting sqref="B38">
    <cfRule type="cellIs" dxfId="2977" priority="8" operator="equal">
      <formula>"YES"</formula>
    </cfRule>
    <cfRule type="cellIs" dxfId="2976" priority="9" operator="equal">
      <formula>"NO"</formula>
    </cfRule>
  </conditionalFormatting>
  <conditionalFormatting sqref="E23:E26">
    <cfRule type="cellIs" dxfId="2975" priority="4" operator="equal">
      <formula>"NO"</formula>
    </cfRule>
    <cfRule type="cellIs" dxfId="2974" priority="5" operator="equal">
      <formula>"YES"</formula>
    </cfRule>
  </conditionalFormatting>
  <conditionalFormatting sqref="E29">
    <cfRule type="cellIs" dxfId="2973" priority="1" operator="between">
      <formula>10%</formula>
      <formula>12%</formula>
    </cfRule>
    <cfRule type="cellIs" dxfId="2972" priority="2" operator="lessThan">
      <formula>0.1</formula>
    </cfRule>
    <cfRule type="cellIs" dxfId="2971" priority="3" operator="greaterThan">
      <formula>0.12</formula>
    </cfRule>
  </conditionalFormatting>
  <conditionalFormatting sqref="E28">
    <cfRule type="cellIs" dxfId="2970" priority="6" operator="lessThan">
      <formula>$B$8*100</formula>
    </cfRule>
    <cfRule type="cellIs" dxfId="2969" priority="7" operator="greaterThan">
      <formula>$B$8*100</formula>
    </cfRule>
  </conditionalFormatting>
  <hyperlinks>
    <hyperlink ref="A32" r:id="rId1" display="https://www.zillow.com/homes/recently_sold/" xr:uid="{CCD894DD-ACFE-4C26-AD75-DBF795B78CF6}"/>
    <hyperlink ref="A21" r:id="rId2" xr:uid="{093470D4-AE77-4517-9CD8-B0FEE58254CD}"/>
    <hyperlink ref="A25" r:id="rId3" display="www.mortgagecalculator.org" xr:uid="{EFB01515-FFFB-4C11-8D56-8C8F7C10C4F7}"/>
    <hyperlink ref="A12" r:id="rId4" xr:uid="{47455E57-3C27-4B2A-A06B-E7C08B4A3379}"/>
  </hyperlinks>
  <pageMargins left="0.7" right="0.7" top="0.75" bottom="0.75" header="0.3" footer="0.3"/>
  <drawing r:id="rId5"/>
  <legacyDrawing r:id="rId6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C59FC-297F-4896-A227-5381EFFDE458}">
  <sheetPr codeName="Sheet154">
    <tabColor rgb="FFFF0000"/>
  </sheetPr>
  <dimension ref="A1:P42"/>
  <sheetViews>
    <sheetView topLeftCell="A8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145900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988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124015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24700</v>
      </c>
      <c r="D15" s="2"/>
      <c r="E15" s="3"/>
    </row>
    <row r="16" spans="1:10" x14ac:dyDescent="0.25">
      <c r="A16" s="7" t="s">
        <v>20</v>
      </c>
      <c r="B16" s="17">
        <f>B15+B13</f>
        <v>148715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5205.0250000000005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143509.97500000001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1487.15</v>
      </c>
      <c r="D22" s="7" t="s">
        <v>77</v>
      </c>
      <c r="E22" s="17">
        <f>B16*0.01</f>
        <v>1487.15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1095</v>
      </c>
      <c r="D25" s="7" t="s">
        <v>38</v>
      </c>
      <c r="E25" s="35">
        <f>B25</f>
        <v>1095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1395</v>
      </c>
      <c r="D26" s="7" t="s">
        <v>41</v>
      </c>
      <c r="E26" s="17">
        <f>E25+I25+I34</f>
        <v>1395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-195</v>
      </c>
      <c r="D28" s="7" t="s">
        <v>43</v>
      </c>
      <c r="E28" s="44">
        <f>E21-E25-I25-I34+I24+I33</f>
        <v>-225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-0.44956556404628217</v>
      </c>
      <c r="D29" s="46" t="s">
        <v>44</v>
      </c>
      <c r="E29" s="47">
        <f>(E28*12)/B17</f>
        <v>-0.51872949697647941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</v>
      </c>
    </row>
    <row r="32" spans="1:16" x14ac:dyDescent="0.25">
      <c r="A32" s="26" t="s">
        <v>49</v>
      </c>
      <c r="B32" s="8">
        <f>B16</f>
        <v>148715</v>
      </c>
      <c r="G32" s="27" t="s">
        <v>50</v>
      </c>
      <c r="H32" s="48">
        <v>0.05</v>
      </c>
      <c r="I32" s="49">
        <f>$B$21*H32</f>
        <v>60</v>
      </c>
    </row>
    <row r="33" spans="1:9" x14ac:dyDescent="0.25">
      <c r="A33" s="7" t="s">
        <v>51</v>
      </c>
      <c r="B33" s="17">
        <f>B32-B18</f>
        <v>5205.0249999999942</v>
      </c>
      <c r="G33" s="27" t="s">
        <v>52</v>
      </c>
      <c r="H33" s="48">
        <v>0.1</v>
      </c>
      <c r="I33" s="49">
        <f>$B$21*H33</f>
        <v>120</v>
      </c>
    </row>
    <row r="34" spans="1:9" ht="15.75" thickBot="1" x14ac:dyDescent="0.3">
      <c r="A34" s="7" t="s">
        <v>53</v>
      </c>
      <c r="B34" s="50">
        <f>B33/B17</f>
        <v>0.99999999999999878</v>
      </c>
      <c r="G34" s="36" t="s">
        <v>39</v>
      </c>
      <c r="H34" s="37"/>
      <c r="I34" s="51">
        <f>SUM(I30:I33)</f>
        <v>300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101.65289895833335</v>
      </c>
      <c r="D39" s="58"/>
      <c r="E39" s="61"/>
    </row>
    <row r="40" spans="1:9" x14ac:dyDescent="0.25">
      <c r="A40" s="7" t="s">
        <v>58</v>
      </c>
      <c r="B40" s="17">
        <f>B25-B39</f>
        <v>993.34710104166663</v>
      </c>
      <c r="D40" s="58"/>
      <c r="E40" s="61"/>
    </row>
    <row r="41" spans="1:9" x14ac:dyDescent="0.25">
      <c r="A41" s="7" t="s">
        <v>59</v>
      </c>
      <c r="B41" s="43">
        <f>B21-B40-I25-I34</f>
        <v>-93.347101041666633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-0.21520842118913924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2968" priority="28" operator="equal">
      <formula>"NO"</formula>
    </cfRule>
    <cfRule type="cellIs" dxfId="2967" priority="29" operator="equal">
      <formula>"YES"</formula>
    </cfRule>
  </conditionalFormatting>
  <conditionalFormatting sqref="E38">
    <cfRule type="cellIs" dxfId="2966" priority="26" operator="equal">
      <formula>"YES"</formula>
    </cfRule>
    <cfRule type="cellIs" dxfId="2965" priority="27" operator="equal">
      <formula>"NO"</formula>
    </cfRule>
  </conditionalFormatting>
  <conditionalFormatting sqref="B23">
    <cfRule type="cellIs" dxfId="2964" priority="24" operator="equal">
      <formula>"NO"</formula>
    </cfRule>
    <cfRule type="cellIs" dxfId="2963" priority="25" operator="equal">
      <formula>"YES"</formula>
    </cfRule>
  </conditionalFormatting>
  <conditionalFormatting sqref="B12">
    <cfRule type="containsText" dxfId="2962" priority="10" operator="containsText" text="Low">
      <formula>NOT(ISERROR(SEARCH("Low",B12)))</formula>
    </cfRule>
    <cfRule type="containsText" dxfId="2961" priority="11" operator="containsText" text="Medium">
      <formula>NOT(ISERROR(SEARCH("Medium",B12)))</formula>
    </cfRule>
    <cfRule type="containsText" dxfId="2960" priority="12" operator="containsText" text="High">
      <formula>NOT(ISERROR(SEARCH("High",B12)))</formula>
    </cfRule>
  </conditionalFormatting>
  <conditionalFormatting sqref="B29">
    <cfRule type="cellIs" dxfId="2959" priority="20" operator="between">
      <formula>10%</formula>
      <formula>11.9%</formula>
    </cfRule>
    <cfRule type="cellIs" dxfId="2958" priority="22" operator="lessThan">
      <formula>0.1</formula>
    </cfRule>
    <cfRule type="cellIs" dxfId="2957" priority="23" operator="greaterThanOrEqual">
      <formula>0.12</formula>
    </cfRule>
  </conditionalFormatting>
  <conditionalFormatting sqref="B42">
    <cfRule type="cellIs" dxfId="2956" priority="18" operator="between">
      <formula>0.1</formula>
      <formula>0.1199</formula>
    </cfRule>
    <cfRule type="cellIs" dxfId="2955" priority="19" operator="lessThan">
      <formula>0.1</formula>
    </cfRule>
    <cfRule type="cellIs" dxfId="2954" priority="21" operator="greaterThanOrEqual">
      <formula>0.12</formula>
    </cfRule>
  </conditionalFormatting>
  <conditionalFormatting sqref="B10">
    <cfRule type="containsText" dxfId="2953" priority="13" operator="containsText" text="Full">
      <formula>NOT(ISERROR(SEARCH("Full",B10)))</formula>
    </cfRule>
    <cfRule type="containsText" dxfId="2952" priority="14" operator="containsText" text="Heavy">
      <formula>NOT(ISERROR(SEARCH("Heavy",B10)))</formula>
    </cfRule>
    <cfRule type="containsText" dxfId="2951" priority="15" operator="containsText" text="Medium">
      <formula>NOT(ISERROR(SEARCH("Medium",B10)))</formula>
    </cfRule>
    <cfRule type="containsText" dxfId="2950" priority="16" operator="containsText" text="Light">
      <formula>NOT(ISERROR(SEARCH("Light",B10)))</formula>
    </cfRule>
    <cfRule type="containsText" dxfId="2949" priority="17" operator="containsText" text="None">
      <formula>NOT(ISERROR(SEARCH("None",B10)))</formula>
    </cfRule>
  </conditionalFormatting>
  <conditionalFormatting sqref="B28">
    <cfRule type="cellIs" dxfId="2948" priority="30" operator="lessThan">
      <formula>$B$8*100</formula>
    </cfRule>
    <cfRule type="cellIs" dxfId="2947" priority="31" operator="greaterThanOrEqual">
      <formula>$B$8*100</formula>
    </cfRule>
  </conditionalFormatting>
  <conditionalFormatting sqref="B41">
    <cfRule type="cellIs" dxfId="2946" priority="32" operator="lessThan">
      <formula>$B$8*100</formula>
    </cfRule>
    <cfRule type="cellIs" dxfId="2945" priority="33" operator="greaterThan">
      <formula>$B$8*100</formula>
    </cfRule>
    <cfRule type="cellIs" dxfId="2944" priority="34" operator="greaterThan">
      <formula>$B$8*100</formula>
    </cfRule>
  </conditionalFormatting>
  <conditionalFormatting sqref="B38">
    <cfRule type="cellIs" dxfId="2943" priority="8" operator="equal">
      <formula>"YES"</formula>
    </cfRule>
    <cfRule type="cellIs" dxfId="2942" priority="9" operator="equal">
      <formula>"NO"</formula>
    </cfRule>
  </conditionalFormatting>
  <conditionalFormatting sqref="E23:E26">
    <cfRule type="cellIs" dxfId="2941" priority="4" operator="equal">
      <formula>"NO"</formula>
    </cfRule>
    <cfRule type="cellIs" dxfId="2940" priority="5" operator="equal">
      <formula>"YES"</formula>
    </cfRule>
  </conditionalFormatting>
  <conditionalFormatting sqref="E29">
    <cfRule type="cellIs" dxfId="2939" priority="1" operator="between">
      <formula>10%</formula>
      <formula>12%</formula>
    </cfRule>
    <cfRule type="cellIs" dxfId="2938" priority="2" operator="lessThan">
      <formula>0.1</formula>
    </cfRule>
    <cfRule type="cellIs" dxfId="2937" priority="3" operator="greaterThan">
      <formula>0.12</formula>
    </cfRule>
  </conditionalFormatting>
  <conditionalFormatting sqref="E28">
    <cfRule type="cellIs" dxfId="2936" priority="6" operator="lessThan">
      <formula>$B$8*100</formula>
    </cfRule>
    <cfRule type="cellIs" dxfId="2935" priority="7" operator="greaterThan">
      <formula>$B$8*100</formula>
    </cfRule>
  </conditionalFormatting>
  <hyperlinks>
    <hyperlink ref="A32" r:id="rId1" display="https://www.zillow.com/homes/recently_sold/" xr:uid="{B53A2016-3E3E-42D8-B8DF-CB4013C95E5A}"/>
    <hyperlink ref="A21" r:id="rId2" xr:uid="{4CA7FC99-FF6A-485A-A5FE-3EFF5501C50C}"/>
    <hyperlink ref="A25" r:id="rId3" display="www.mortgagecalculator.org" xr:uid="{1AEC56BD-0C6C-4AEA-9FB1-C82FC9D6D223}"/>
    <hyperlink ref="A12" r:id="rId4" xr:uid="{BA1263FB-8F78-42C1-8DB0-2804FD57B3AC}"/>
  </hyperlinks>
  <pageMargins left="0.7" right="0.7" top="0.75" bottom="0.75" header="0.3" footer="0.3"/>
  <drawing r:id="rId5"/>
  <legacyDrawing r:id="rId6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8CD0-6902-4083-A1B5-CFAD065B589E}">
  <sheetPr codeName="Sheet155">
    <tabColor rgb="FFFF0000"/>
  </sheetPr>
  <dimension ref="A1:P42"/>
  <sheetViews>
    <sheetView workbookViewId="0">
      <selection activeCell="A20" sqref="A20:B2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148000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1285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148000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148000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7400</v>
      </c>
      <c r="D17" s="19"/>
      <c r="E17" s="20"/>
      <c r="P17" s="21"/>
    </row>
    <row r="18" spans="1:16" x14ac:dyDescent="0.25">
      <c r="A18" s="7" t="s">
        <v>23</v>
      </c>
      <c r="B18" s="17">
        <f>B16-B17</f>
        <v>140600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1200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1480</v>
      </c>
      <c r="D22" s="7" t="s">
        <v>77</v>
      </c>
      <c r="E22" s="17">
        <f>B16*0.01</f>
        <v>1480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1035.9000000000001</v>
      </c>
      <c r="D25" s="7" t="s">
        <v>38</v>
      </c>
      <c r="E25" s="35">
        <f>B25</f>
        <v>1035.9000000000001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1335.9</v>
      </c>
      <c r="D26" s="7" t="s">
        <v>41</v>
      </c>
      <c r="E26" s="17">
        <f>E25+I25+I34</f>
        <v>1335.9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-135.90000000000009</v>
      </c>
      <c r="D28" s="7" t="s">
        <v>43</v>
      </c>
      <c r="E28" s="44">
        <f>E21-E25-I25-I34+I24+I33</f>
        <v>-165.90000000000009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-0.22037837837837854</v>
      </c>
      <c r="D29" s="46" t="s">
        <v>44</v>
      </c>
      <c r="E29" s="47">
        <f>(E28*12)/B17</f>
        <v>-0.26902702702702719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60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60</v>
      </c>
    </row>
    <row r="32" spans="1:16" x14ac:dyDescent="0.25">
      <c r="A32" s="26" t="s">
        <v>49</v>
      </c>
      <c r="B32" s="8">
        <f>B16</f>
        <v>148000</v>
      </c>
      <c r="G32" s="27" t="s">
        <v>50</v>
      </c>
      <c r="H32" s="48">
        <v>0.05</v>
      </c>
      <c r="I32" s="49">
        <f>$B$21*H32</f>
        <v>60</v>
      </c>
    </row>
    <row r="33" spans="1:9" x14ac:dyDescent="0.25">
      <c r="A33" s="7" t="s">
        <v>51</v>
      </c>
      <c r="B33" s="17">
        <f>B32-B18</f>
        <v>7400</v>
      </c>
      <c r="G33" s="27" t="s">
        <v>52</v>
      </c>
      <c r="H33" s="48">
        <v>0.1</v>
      </c>
      <c r="I33" s="49">
        <f>$B$21*H33</f>
        <v>120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300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99.591666666666683</v>
      </c>
      <c r="D39" s="58"/>
      <c r="E39" s="61"/>
    </row>
    <row r="40" spans="1:9" x14ac:dyDescent="0.25">
      <c r="A40" s="7" t="s">
        <v>58</v>
      </c>
      <c r="B40" s="17">
        <f>B25-B39</f>
        <v>936.30833333333339</v>
      </c>
      <c r="D40" s="58"/>
      <c r="E40" s="61"/>
    </row>
    <row r="41" spans="1:9" x14ac:dyDescent="0.25">
      <c r="A41" s="7" t="s">
        <v>59</v>
      </c>
      <c r="B41" s="43">
        <f>B21-B40-I25-I34</f>
        <v>-36.308333333333394</v>
      </c>
      <c r="D41" s="58"/>
      <c r="E41" s="61"/>
    </row>
    <row r="42" spans="1:9" ht="15.75" thickBot="1" x14ac:dyDescent="0.3">
      <c r="A42" s="46" t="s">
        <v>44</v>
      </c>
      <c r="B42" s="47">
        <f>(B41*12)/B17</f>
        <v>-5.8878378378378476E-2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2934" priority="28" operator="equal">
      <formula>"NO"</formula>
    </cfRule>
    <cfRule type="cellIs" dxfId="2933" priority="29" operator="equal">
      <formula>"YES"</formula>
    </cfRule>
  </conditionalFormatting>
  <conditionalFormatting sqref="E38">
    <cfRule type="cellIs" dxfId="2932" priority="26" operator="equal">
      <formula>"YES"</formula>
    </cfRule>
    <cfRule type="cellIs" dxfId="2931" priority="27" operator="equal">
      <formula>"NO"</formula>
    </cfRule>
  </conditionalFormatting>
  <conditionalFormatting sqref="B23">
    <cfRule type="cellIs" dxfId="2930" priority="24" operator="equal">
      <formula>"NO"</formula>
    </cfRule>
    <cfRule type="cellIs" dxfId="2929" priority="25" operator="equal">
      <formula>"YES"</formula>
    </cfRule>
  </conditionalFormatting>
  <conditionalFormatting sqref="B12">
    <cfRule type="containsText" dxfId="2928" priority="10" operator="containsText" text="Low">
      <formula>NOT(ISERROR(SEARCH("Low",B12)))</formula>
    </cfRule>
    <cfRule type="containsText" dxfId="2927" priority="11" operator="containsText" text="Medium">
      <formula>NOT(ISERROR(SEARCH("Medium",B12)))</formula>
    </cfRule>
    <cfRule type="containsText" dxfId="2926" priority="12" operator="containsText" text="High">
      <formula>NOT(ISERROR(SEARCH("High",B12)))</formula>
    </cfRule>
  </conditionalFormatting>
  <conditionalFormatting sqref="B29">
    <cfRule type="cellIs" dxfId="2925" priority="20" operator="between">
      <formula>10%</formula>
      <formula>11.9%</formula>
    </cfRule>
    <cfRule type="cellIs" dxfId="2924" priority="22" operator="lessThan">
      <formula>0.1</formula>
    </cfRule>
    <cfRule type="cellIs" dxfId="2923" priority="23" operator="greaterThanOrEqual">
      <formula>0.12</formula>
    </cfRule>
  </conditionalFormatting>
  <conditionalFormatting sqref="B42">
    <cfRule type="cellIs" dxfId="2922" priority="18" operator="between">
      <formula>0.1</formula>
      <formula>0.1199</formula>
    </cfRule>
    <cfRule type="cellIs" dxfId="2921" priority="19" operator="lessThan">
      <formula>0.1</formula>
    </cfRule>
    <cfRule type="cellIs" dxfId="2920" priority="21" operator="greaterThanOrEqual">
      <formula>0.12</formula>
    </cfRule>
  </conditionalFormatting>
  <conditionalFormatting sqref="B10">
    <cfRule type="containsText" dxfId="2919" priority="13" operator="containsText" text="Full">
      <formula>NOT(ISERROR(SEARCH("Full",B10)))</formula>
    </cfRule>
    <cfRule type="containsText" dxfId="2918" priority="14" operator="containsText" text="Heavy">
      <formula>NOT(ISERROR(SEARCH("Heavy",B10)))</formula>
    </cfRule>
    <cfRule type="containsText" dxfId="2917" priority="15" operator="containsText" text="Medium">
      <formula>NOT(ISERROR(SEARCH("Medium",B10)))</formula>
    </cfRule>
    <cfRule type="containsText" dxfId="2916" priority="16" operator="containsText" text="Light">
      <formula>NOT(ISERROR(SEARCH("Light",B10)))</formula>
    </cfRule>
    <cfRule type="containsText" dxfId="2915" priority="17" operator="containsText" text="None">
      <formula>NOT(ISERROR(SEARCH("None",B10)))</formula>
    </cfRule>
  </conditionalFormatting>
  <conditionalFormatting sqref="B28">
    <cfRule type="cellIs" dxfId="2914" priority="30" operator="lessThan">
      <formula>$B$8*100</formula>
    </cfRule>
    <cfRule type="cellIs" dxfId="2913" priority="31" operator="greaterThanOrEqual">
      <formula>$B$8*100</formula>
    </cfRule>
  </conditionalFormatting>
  <conditionalFormatting sqref="B41">
    <cfRule type="cellIs" dxfId="2912" priority="32" operator="lessThan">
      <formula>$B$8*100</formula>
    </cfRule>
    <cfRule type="cellIs" dxfId="2911" priority="33" operator="greaterThan">
      <formula>$B$8*100</formula>
    </cfRule>
    <cfRule type="cellIs" dxfId="2910" priority="34" operator="greaterThan">
      <formula>$B$8*100</formula>
    </cfRule>
  </conditionalFormatting>
  <conditionalFormatting sqref="B38">
    <cfRule type="cellIs" dxfId="2909" priority="8" operator="equal">
      <formula>"YES"</formula>
    </cfRule>
    <cfRule type="cellIs" dxfId="2908" priority="9" operator="equal">
      <formula>"NO"</formula>
    </cfRule>
  </conditionalFormatting>
  <conditionalFormatting sqref="E23:E26">
    <cfRule type="cellIs" dxfId="2907" priority="4" operator="equal">
      <formula>"NO"</formula>
    </cfRule>
    <cfRule type="cellIs" dxfId="2906" priority="5" operator="equal">
      <formula>"YES"</formula>
    </cfRule>
  </conditionalFormatting>
  <conditionalFormatting sqref="E29">
    <cfRule type="cellIs" dxfId="2905" priority="1" operator="between">
      <formula>10%</formula>
      <formula>12%</formula>
    </cfRule>
    <cfRule type="cellIs" dxfId="2904" priority="2" operator="lessThan">
      <formula>0.1</formula>
    </cfRule>
    <cfRule type="cellIs" dxfId="2903" priority="3" operator="greaterThan">
      <formula>0.12</formula>
    </cfRule>
  </conditionalFormatting>
  <conditionalFormatting sqref="E28">
    <cfRule type="cellIs" dxfId="2902" priority="6" operator="lessThan">
      <formula>$B$8*100</formula>
    </cfRule>
    <cfRule type="cellIs" dxfId="2901" priority="7" operator="greaterThan">
      <formula>$B$8*100</formula>
    </cfRule>
  </conditionalFormatting>
  <hyperlinks>
    <hyperlink ref="A32" r:id="rId1" display="https://www.zillow.com/homes/recently_sold/" xr:uid="{788F07F0-FF6B-417F-A61B-3578F406FC7D}"/>
    <hyperlink ref="A21" r:id="rId2" xr:uid="{9B85FEF5-1116-4876-973E-F38B946FD9BF}"/>
    <hyperlink ref="A25" r:id="rId3" display="www.mortgagecalculator.org" xr:uid="{D1D5B09E-52B4-4B4D-89A4-A9959613DD1C}"/>
    <hyperlink ref="A12" r:id="rId4" xr:uid="{CDA45048-6C52-4422-B704-5F4E36932F99}"/>
  </hyperlinks>
  <pageMargins left="0.7" right="0.7" top="0.75" bottom="0.75" header="0.3" footer="0.3"/>
  <drawing r:id="rId5"/>
  <legacyDrawing r:id="rId6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052DB-31AC-4675-80FB-641E911701E4}">
  <sheetPr codeName="Sheet156">
    <tabColor rgb="FF92D050"/>
  </sheetPr>
  <dimension ref="A1:P42"/>
  <sheetViews>
    <sheetView topLeftCell="A13" workbookViewId="0">
      <selection activeCell="H30" sqref="H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157400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1304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133790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133790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6689.5</v>
      </c>
      <c r="D17" s="19"/>
      <c r="E17" s="20"/>
      <c r="P17" s="21"/>
    </row>
    <row r="18" spans="1:16" x14ac:dyDescent="0.25">
      <c r="A18" s="7" t="s">
        <v>23</v>
      </c>
      <c r="B18" s="17">
        <f>B16-B17</f>
        <v>127100.5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1380</v>
      </c>
      <c r="D21" s="23" t="s">
        <v>28</v>
      </c>
      <c r="E21" s="8">
        <f>1380*2/3</f>
        <v>920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1337.9</v>
      </c>
      <c r="D22" s="7" t="s">
        <v>77</v>
      </c>
      <c r="E22" s="17">
        <f>B16*0.01</f>
        <v>1337.9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YES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941.84</v>
      </c>
      <c r="D25" s="7" t="s">
        <v>38</v>
      </c>
      <c r="E25" s="35">
        <f>B25</f>
        <v>941.84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1259.24</v>
      </c>
      <c r="D26" s="7" t="s">
        <v>41</v>
      </c>
      <c r="E26" s="17">
        <f>E25+I25+I34</f>
        <v>1259.24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120.75999999999999</v>
      </c>
      <c r="D28" s="7" t="s">
        <v>43</v>
      </c>
      <c r="E28" s="44">
        <f>E21-E25-I25-I34+I24+I33</f>
        <v>-201.24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0.21662605575902533</v>
      </c>
      <c r="D29" s="46" t="s">
        <v>44</v>
      </c>
      <c r="E29" s="47">
        <f>(E28*12)/B17</f>
        <v>-0.3609955901038942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0.03</v>
      </c>
      <c r="I30" s="49">
        <f>$B$21*H30</f>
        <v>41.4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69</v>
      </c>
    </row>
    <row r="32" spans="1:16" x14ac:dyDescent="0.25">
      <c r="A32" s="26" t="s">
        <v>49</v>
      </c>
      <c r="B32" s="8">
        <f>B16</f>
        <v>133790</v>
      </c>
      <c r="G32" s="27" t="s">
        <v>50</v>
      </c>
      <c r="H32" s="48">
        <v>0.05</v>
      </c>
      <c r="I32" s="49">
        <f>$B$21*H32</f>
        <v>69</v>
      </c>
    </row>
    <row r="33" spans="1:9" x14ac:dyDescent="0.25">
      <c r="A33" s="7" t="s">
        <v>51</v>
      </c>
      <c r="B33" s="17">
        <f>B32-B18</f>
        <v>6689.5</v>
      </c>
      <c r="G33" s="27" t="s">
        <v>52</v>
      </c>
      <c r="H33" s="48">
        <v>0.1</v>
      </c>
      <c r="I33" s="49">
        <f>$B$21*H33</f>
        <v>138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317.39999999999998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90.029520833333336</v>
      </c>
      <c r="D39" s="58"/>
      <c r="E39" s="61"/>
    </row>
    <row r="40" spans="1:9" x14ac:dyDescent="0.25">
      <c r="A40" s="7" t="s">
        <v>58</v>
      </c>
      <c r="B40" s="17">
        <f>B25-B39</f>
        <v>851.81047916666671</v>
      </c>
      <c r="D40" s="58"/>
      <c r="E40" s="61"/>
    </row>
    <row r="41" spans="1:9" x14ac:dyDescent="0.25">
      <c r="A41" s="7" t="s">
        <v>59</v>
      </c>
      <c r="B41" s="43">
        <f>B21-B40-I25-I34</f>
        <v>210.78952083333331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0.3781260557590253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2900" priority="28" operator="equal">
      <formula>"NO"</formula>
    </cfRule>
    <cfRule type="cellIs" dxfId="2899" priority="29" operator="equal">
      <formula>"YES"</formula>
    </cfRule>
  </conditionalFormatting>
  <conditionalFormatting sqref="E38">
    <cfRule type="cellIs" dxfId="2898" priority="26" operator="equal">
      <formula>"YES"</formula>
    </cfRule>
    <cfRule type="cellIs" dxfId="2897" priority="27" operator="equal">
      <formula>"NO"</formula>
    </cfRule>
  </conditionalFormatting>
  <conditionalFormatting sqref="B23">
    <cfRule type="cellIs" dxfId="2896" priority="24" operator="equal">
      <formula>"NO"</formula>
    </cfRule>
    <cfRule type="cellIs" dxfId="2895" priority="25" operator="equal">
      <formula>"YES"</formula>
    </cfRule>
  </conditionalFormatting>
  <conditionalFormatting sqref="B12">
    <cfRule type="containsText" dxfId="2894" priority="10" operator="containsText" text="Low">
      <formula>NOT(ISERROR(SEARCH("Low",B12)))</formula>
    </cfRule>
    <cfRule type="containsText" dxfId="2893" priority="11" operator="containsText" text="Medium">
      <formula>NOT(ISERROR(SEARCH("Medium",B12)))</formula>
    </cfRule>
    <cfRule type="containsText" dxfId="2892" priority="12" operator="containsText" text="High">
      <formula>NOT(ISERROR(SEARCH("High",B12)))</formula>
    </cfRule>
  </conditionalFormatting>
  <conditionalFormatting sqref="B29">
    <cfRule type="cellIs" dxfId="2891" priority="20" operator="between">
      <formula>10%</formula>
      <formula>11.9%</formula>
    </cfRule>
    <cfRule type="cellIs" dxfId="2890" priority="22" operator="lessThan">
      <formula>0.1</formula>
    </cfRule>
    <cfRule type="cellIs" dxfId="2889" priority="23" operator="greaterThanOrEqual">
      <formula>0.12</formula>
    </cfRule>
  </conditionalFormatting>
  <conditionalFormatting sqref="B42">
    <cfRule type="cellIs" dxfId="2888" priority="18" operator="between">
      <formula>0.1</formula>
      <formula>0.1199</formula>
    </cfRule>
    <cfRule type="cellIs" dxfId="2887" priority="19" operator="lessThan">
      <formula>0.1</formula>
    </cfRule>
    <cfRule type="cellIs" dxfId="2886" priority="21" operator="greaterThanOrEqual">
      <formula>0.12</formula>
    </cfRule>
  </conditionalFormatting>
  <conditionalFormatting sqref="B10">
    <cfRule type="containsText" dxfId="2885" priority="13" operator="containsText" text="Full">
      <formula>NOT(ISERROR(SEARCH("Full",B10)))</formula>
    </cfRule>
    <cfRule type="containsText" dxfId="2884" priority="14" operator="containsText" text="Heavy">
      <formula>NOT(ISERROR(SEARCH("Heavy",B10)))</formula>
    </cfRule>
    <cfRule type="containsText" dxfId="2883" priority="15" operator="containsText" text="Medium">
      <formula>NOT(ISERROR(SEARCH("Medium",B10)))</formula>
    </cfRule>
    <cfRule type="containsText" dxfId="2882" priority="16" operator="containsText" text="Light">
      <formula>NOT(ISERROR(SEARCH("Light",B10)))</formula>
    </cfRule>
    <cfRule type="containsText" dxfId="2881" priority="17" operator="containsText" text="None">
      <formula>NOT(ISERROR(SEARCH("None",B10)))</formula>
    </cfRule>
  </conditionalFormatting>
  <conditionalFormatting sqref="B28">
    <cfRule type="cellIs" dxfId="2880" priority="30" operator="lessThan">
      <formula>$B$8*100</formula>
    </cfRule>
    <cfRule type="cellIs" dxfId="2879" priority="31" operator="greaterThanOrEqual">
      <formula>$B$8*100</formula>
    </cfRule>
  </conditionalFormatting>
  <conditionalFormatting sqref="B41">
    <cfRule type="cellIs" dxfId="2878" priority="32" operator="lessThan">
      <formula>$B$8*100</formula>
    </cfRule>
    <cfRule type="cellIs" dxfId="2877" priority="33" operator="greaterThan">
      <formula>$B$8*100</formula>
    </cfRule>
    <cfRule type="cellIs" dxfId="2876" priority="34" operator="greaterThan">
      <formula>$B$8*100</formula>
    </cfRule>
  </conditionalFormatting>
  <conditionalFormatting sqref="B38">
    <cfRule type="cellIs" dxfId="2875" priority="8" operator="equal">
      <formula>"YES"</formula>
    </cfRule>
    <cfRule type="cellIs" dxfId="2874" priority="9" operator="equal">
      <formula>"NO"</formula>
    </cfRule>
  </conditionalFormatting>
  <conditionalFormatting sqref="E23:E26">
    <cfRule type="cellIs" dxfId="2873" priority="4" operator="equal">
      <formula>"NO"</formula>
    </cfRule>
    <cfRule type="cellIs" dxfId="2872" priority="5" operator="equal">
      <formula>"YES"</formula>
    </cfRule>
  </conditionalFormatting>
  <conditionalFormatting sqref="E29">
    <cfRule type="cellIs" dxfId="2871" priority="1" operator="between">
      <formula>10%</formula>
      <formula>12%</formula>
    </cfRule>
    <cfRule type="cellIs" dxfId="2870" priority="2" operator="lessThan">
      <formula>0.1</formula>
    </cfRule>
    <cfRule type="cellIs" dxfId="2869" priority="3" operator="greaterThan">
      <formula>0.12</formula>
    </cfRule>
  </conditionalFormatting>
  <conditionalFormatting sqref="E28">
    <cfRule type="cellIs" dxfId="2868" priority="6" operator="lessThan">
      <formula>$B$8*100</formula>
    </cfRule>
    <cfRule type="cellIs" dxfId="2867" priority="7" operator="greaterThan">
      <formula>$B$8*100</formula>
    </cfRule>
  </conditionalFormatting>
  <hyperlinks>
    <hyperlink ref="A32" r:id="rId1" display="https://www.zillow.com/homes/recently_sold/" xr:uid="{45918FF4-0C96-4F05-AD48-4E916DBB3395}"/>
    <hyperlink ref="A21" r:id="rId2" xr:uid="{76ED5C69-BF45-4429-A2E4-149D0319EC9B}"/>
    <hyperlink ref="A25" r:id="rId3" display="www.mortgagecalculator.org" xr:uid="{AB8E891D-F8FD-4601-B09F-0B4ACE13DF8D}"/>
    <hyperlink ref="A12" r:id="rId4" xr:uid="{1EE93E1D-DD0B-4DF5-90E4-87049526831C}"/>
  </hyperlinks>
  <pageMargins left="0.7" right="0.7" top="0.75" bottom="0.75" header="0.3" footer="0.3"/>
  <drawing r:id="rId5"/>
  <legacyDrawing r:id="rId6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B9E6-1D28-419E-BDF2-2D61E5134B62}">
  <sheetPr codeName="Sheet157">
    <tabColor rgb="FFFF0000"/>
  </sheetPr>
  <dimension ref="A1:P42"/>
  <sheetViews>
    <sheetView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118900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894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246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101065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13410</v>
      </c>
      <c r="D15" s="2"/>
      <c r="E15" s="3"/>
    </row>
    <row r="16" spans="1:10" x14ac:dyDescent="0.25">
      <c r="A16" s="7" t="s">
        <v>20</v>
      </c>
      <c r="B16" s="17">
        <f>B15+B13</f>
        <v>114475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4006.6250000000005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110468.375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768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1144.75</v>
      </c>
      <c r="D22" s="7" t="s">
        <v>77</v>
      </c>
      <c r="E22" s="17">
        <f>B16*0.01</f>
        <v>1144.75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830</v>
      </c>
      <c r="D25" s="7" t="s">
        <v>38</v>
      </c>
      <c r="E25" s="35">
        <f>B25</f>
        <v>830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1022</v>
      </c>
      <c r="D26" s="7" t="s">
        <v>41</v>
      </c>
      <c r="E26" s="17">
        <f>E25+I25+I34</f>
        <v>1022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-254</v>
      </c>
      <c r="D28" s="7" t="s">
        <v>43</v>
      </c>
      <c r="E28" s="44">
        <f>E21-E25-I25-I34+I24+I33</f>
        <v>104.79999999999998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-0.76074002433469556</v>
      </c>
      <c r="D29" s="46" t="s">
        <v>44</v>
      </c>
      <c r="E29" s="47">
        <f>(E28*12)/B17</f>
        <v>0.31388013602470904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38.400000000000006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38.400000000000006</v>
      </c>
    </row>
    <row r="32" spans="1:16" x14ac:dyDescent="0.25">
      <c r="A32" s="26" t="s">
        <v>49</v>
      </c>
      <c r="B32" s="8">
        <f>B16</f>
        <v>114475</v>
      </c>
      <c r="G32" s="27" t="s">
        <v>50</v>
      </c>
      <c r="H32" s="48">
        <v>0.05</v>
      </c>
      <c r="I32" s="49">
        <f>$B$21*H32</f>
        <v>38.400000000000006</v>
      </c>
    </row>
    <row r="33" spans="1:9" x14ac:dyDescent="0.25">
      <c r="A33" s="7" t="s">
        <v>51</v>
      </c>
      <c r="B33" s="17">
        <f>B32-B18</f>
        <v>4006.625</v>
      </c>
      <c r="G33" s="27" t="s">
        <v>52</v>
      </c>
      <c r="H33" s="48">
        <v>0.1</v>
      </c>
      <c r="I33" s="49">
        <f>$B$21*H33</f>
        <v>76.800000000000011</v>
      </c>
    </row>
    <row r="34" spans="1:9" ht="15.75" thickBot="1" x14ac:dyDescent="0.3">
      <c r="A34" s="7" t="s">
        <v>53</v>
      </c>
      <c r="B34" s="50">
        <f>B33/B17</f>
        <v>0.99999999999999989</v>
      </c>
      <c r="G34" s="36" t="s">
        <v>39</v>
      </c>
      <c r="H34" s="37"/>
      <c r="I34" s="51">
        <f>SUM(I30:I33)</f>
        <v>192.00000000000003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0.96499999999999997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78.248432291666674</v>
      </c>
      <c r="D39" s="58"/>
      <c r="E39" s="61"/>
    </row>
    <row r="40" spans="1:9" x14ac:dyDescent="0.25">
      <c r="A40" s="7" t="s">
        <v>58</v>
      </c>
      <c r="B40" s="17">
        <f>B25-B39</f>
        <v>751.75156770833337</v>
      </c>
      <c r="D40" s="58"/>
      <c r="E40" s="61"/>
    </row>
    <row r="41" spans="1:9" x14ac:dyDescent="0.25">
      <c r="A41" s="7" t="s">
        <v>59</v>
      </c>
      <c r="B41" s="43">
        <f>B21-B40-I25-I34</f>
        <v>-175.7515677083334</v>
      </c>
      <c r="D41" s="58"/>
      <c r="E41" s="61"/>
    </row>
    <row r="42" spans="1:9" ht="15.75" thickBot="1" x14ac:dyDescent="0.3">
      <c r="A42" s="46" t="s">
        <v>44</v>
      </c>
      <c r="B42" s="47">
        <f>(B41*12)/B17</f>
        <v>-0.52638288147755297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2866" priority="28" operator="equal">
      <formula>"NO"</formula>
    </cfRule>
    <cfRule type="cellIs" dxfId="2865" priority="29" operator="equal">
      <formula>"YES"</formula>
    </cfRule>
  </conditionalFormatting>
  <conditionalFormatting sqref="E38">
    <cfRule type="cellIs" dxfId="2864" priority="26" operator="equal">
      <formula>"YES"</formula>
    </cfRule>
    <cfRule type="cellIs" dxfId="2863" priority="27" operator="equal">
      <formula>"NO"</formula>
    </cfRule>
  </conditionalFormatting>
  <conditionalFormatting sqref="B23">
    <cfRule type="cellIs" dxfId="2862" priority="24" operator="equal">
      <formula>"NO"</formula>
    </cfRule>
    <cfRule type="cellIs" dxfId="2861" priority="25" operator="equal">
      <formula>"YES"</formula>
    </cfRule>
  </conditionalFormatting>
  <conditionalFormatting sqref="B12">
    <cfRule type="containsText" dxfId="2860" priority="10" operator="containsText" text="Low">
      <formula>NOT(ISERROR(SEARCH("Low",B12)))</formula>
    </cfRule>
    <cfRule type="containsText" dxfId="2859" priority="11" operator="containsText" text="Medium">
      <formula>NOT(ISERROR(SEARCH("Medium",B12)))</formula>
    </cfRule>
    <cfRule type="containsText" dxfId="2858" priority="12" operator="containsText" text="High">
      <formula>NOT(ISERROR(SEARCH("High",B12)))</formula>
    </cfRule>
  </conditionalFormatting>
  <conditionalFormatting sqref="B29">
    <cfRule type="cellIs" dxfId="2857" priority="20" operator="between">
      <formula>10%</formula>
      <formula>11.9%</formula>
    </cfRule>
    <cfRule type="cellIs" dxfId="2856" priority="22" operator="lessThan">
      <formula>0.1</formula>
    </cfRule>
    <cfRule type="cellIs" dxfId="2855" priority="23" operator="greaterThanOrEqual">
      <formula>0.12</formula>
    </cfRule>
  </conditionalFormatting>
  <conditionalFormatting sqref="B42">
    <cfRule type="cellIs" dxfId="2854" priority="18" operator="between">
      <formula>0.1</formula>
      <formula>0.1199</formula>
    </cfRule>
    <cfRule type="cellIs" dxfId="2853" priority="19" operator="lessThan">
      <formula>0.1</formula>
    </cfRule>
    <cfRule type="cellIs" dxfId="2852" priority="21" operator="greaterThanOrEqual">
      <formula>0.12</formula>
    </cfRule>
  </conditionalFormatting>
  <conditionalFormatting sqref="B10">
    <cfRule type="containsText" dxfId="2851" priority="13" operator="containsText" text="Full">
      <formula>NOT(ISERROR(SEARCH("Full",B10)))</formula>
    </cfRule>
    <cfRule type="containsText" dxfId="2850" priority="14" operator="containsText" text="Heavy">
      <formula>NOT(ISERROR(SEARCH("Heavy",B10)))</formula>
    </cfRule>
    <cfRule type="containsText" dxfId="2849" priority="15" operator="containsText" text="Medium">
      <formula>NOT(ISERROR(SEARCH("Medium",B10)))</formula>
    </cfRule>
    <cfRule type="containsText" dxfId="2848" priority="16" operator="containsText" text="Light">
      <formula>NOT(ISERROR(SEARCH("Light",B10)))</formula>
    </cfRule>
    <cfRule type="containsText" dxfId="2847" priority="17" operator="containsText" text="None">
      <formula>NOT(ISERROR(SEARCH("None",B10)))</formula>
    </cfRule>
  </conditionalFormatting>
  <conditionalFormatting sqref="B28">
    <cfRule type="cellIs" dxfId="2846" priority="30" operator="lessThan">
      <formula>$B$8*100</formula>
    </cfRule>
    <cfRule type="cellIs" dxfId="2845" priority="31" operator="greaterThanOrEqual">
      <formula>$B$8*100</formula>
    </cfRule>
  </conditionalFormatting>
  <conditionalFormatting sqref="B41">
    <cfRule type="cellIs" dxfId="2844" priority="32" operator="lessThan">
      <formula>$B$8*100</formula>
    </cfRule>
    <cfRule type="cellIs" dxfId="2843" priority="33" operator="greaterThan">
      <formula>$B$8*100</formula>
    </cfRule>
    <cfRule type="cellIs" dxfId="2842" priority="34" operator="greaterThan">
      <formula>$B$8*100</formula>
    </cfRule>
  </conditionalFormatting>
  <conditionalFormatting sqref="B38">
    <cfRule type="cellIs" dxfId="2841" priority="8" operator="equal">
      <formula>"YES"</formula>
    </cfRule>
    <cfRule type="cellIs" dxfId="2840" priority="9" operator="equal">
      <formula>"NO"</formula>
    </cfRule>
  </conditionalFormatting>
  <conditionalFormatting sqref="E23:E26">
    <cfRule type="cellIs" dxfId="2839" priority="4" operator="equal">
      <formula>"NO"</formula>
    </cfRule>
    <cfRule type="cellIs" dxfId="2838" priority="5" operator="equal">
      <formula>"YES"</formula>
    </cfRule>
  </conditionalFormatting>
  <conditionalFormatting sqref="E29">
    <cfRule type="cellIs" dxfId="2837" priority="1" operator="between">
      <formula>10%</formula>
      <formula>12%</formula>
    </cfRule>
    <cfRule type="cellIs" dxfId="2836" priority="2" operator="lessThan">
      <formula>0.1</formula>
    </cfRule>
    <cfRule type="cellIs" dxfId="2835" priority="3" operator="greaterThan">
      <formula>0.12</formula>
    </cfRule>
  </conditionalFormatting>
  <conditionalFormatting sqref="E28">
    <cfRule type="cellIs" dxfId="2834" priority="6" operator="lessThan">
      <formula>$B$8*100</formula>
    </cfRule>
    <cfRule type="cellIs" dxfId="2833" priority="7" operator="greaterThan">
      <formula>$B$8*100</formula>
    </cfRule>
  </conditionalFormatting>
  <hyperlinks>
    <hyperlink ref="A32" r:id="rId1" display="https://www.zillow.com/homes/recently_sold/" xr:uid="{F5785F26-1BEB-434C-AD61-2C721AB4F93F}"/>
    <hyperlink ref="A21" r:id="rId2" xr:uid="{4E8DF0F1-22EC-47B7-B735-2A7870B4FE1B}"/>
    <hyperlink ref="A25" r:id="rId3" display="www.mortgagecalculator.org" xr:uid="{F058593E-4BFF-4605-8270-A5966BE384D0}"/>
    <hyperlink ref="A12" r:id="rId4" xr:uid="{E3683BE6-B2F4-436B-B0D1-FA501032378B}"/>
  </hyperlinks>
  <pageMargins left="0.7" right="0.7" top="0.75" bottom="0.75" header="0.3" footer="0.3"/>
  <drawing r:id="rId5"/>
  <legacyDrawing r:id="rId6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A59C4-44F3-4D9B-82B5-EB5377628B1A}">
  <sheetPr codeName="Sheet158">
    <tabColor rgb="FFFF0000"/>
  </sheetPr>
  <dimension ref="A1:P42"/>
  <sheetViews>
    <sheetView topLeftCell="A14" workbookViewId="0">
      <selection activeCell="A31" sqref="A31:B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248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135915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135915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6795.75</v>
      </c>
      <c r="D17" s="19"/>
      <c r="E17" s="20"/>
      <c r="P17" s="21"/>
    </row>
    <row r="18" spans="1:16" x14ac:dyDescent="0.25">
      <c r="A18" s="7" t="s">
        <v>23</v>
      </c>
      <c r="B18" s="17">
        <f>B16-B17</f>
        <v>129119.25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1350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1359.15</v>
      </c>
      <c r="D22" s="7" t="s">
        <v>77</v>
      </c>
      <c r="E22" s="17">
        <f>B16*0.01</f>
        <v>1359.15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952.17</v>
      </c>
      <c r="D25" s="7" t="s">
        <v>38</v>
      </c>
      <c r="E25" s="35">
        <f>B25</f>
        <v>952.17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1289.67</v>
      </c>
      <c r="D26" s="7" t="s">
        <v>41</v>
      </c>
      <c r="E26" s="17">
        <f>E25+I25+I34</f>
        <v>1289.67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60.329999999999927</v>
      </c>
      <c r="D28" s="7" t="s">
        <v>43</v>
      </c>
      <c r="E28" s="44">
        <f>E21-E25-I25-I34+I24+I33</f>
        <v>-104.66999999999996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0.10653128793731363</v>
      </c>
      <c r="D29" s="46" t="s">
        <v>44</v>
      </c>
      <c r="E29" s="47">
        <f>(E28*12)/B17</f>
        <v>-0.1848272817569804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67.5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67.5</v>
      </c>
    </row>
    <row r="32" spans="1:16" x14ac:dyDescent="0.25">
      <c r="A32" s="26" t="s">
        <v>49</v>
      </c>
      <c r="B32" s="8">
        <f>B16</f>
        <v>135915</v>
      </c>
      <c r="G32" s="27" t="s">
        <v>50</v>
      </c>
      <c r="H32" s="48">
        <v>0.05</v>
      </c>
      <c r="I32" s="49">
        <f>$B$21*H32</f>
        <v>67.5</v>
      </c>
    </row>
    <row r="33" spans="1:9" x14ac:dyDescent="0.25">
      <c r="A33" s="7" t="s">
        <v>51</v>
      </c>
      <c r="B33" s="17">
        <f>B32-B18</f>
        <v>6795.75</v>
      </c>
      <c r="G33" s="27" t="s">
        <v>52</v>
      </c>
      <c r="H33" s="48">
        <v>0.1</v>
      </c>
      <c r="I33" s="49">
        <f>$B$21*H33</f>
        <v>135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337.5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91.459468749999999</v>
      </c>
      <c r="D39" s="58"/>
      <c r="E39" s="61"/>
    </row>
    <row r="40" spans="1:9" x14ac:dyDescent="0.25">
      <c r="A40" s="7" t="s">
        <v>58</v>
      </c>
      <c r="B40" s="17">
        <f>B25-B39</f>
        <v>860.71053124999992</v>
      </c>
      <c r="D40" s="58"/>
      <c r="E40" s="61"/>
    </row>
    <row r="41" spans="1:9" x14ac:dyDescent="0.25">
      <c r="A41" s="7" t="s">
        <v>59</v>
      </c>
      <c r="B41" s="43">
        <f>B21-B40-I25-I34</f>
        <v>151.78946875000008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0.2680312879373139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2832" priority="28" operator="equal">
      <formula>"NO"</formula>
    </cfRule>
    <cfRule type="cellIs" dxfId="2831" priority="29" operator="equal">
      <formula>"YES"</formula>
    </cfRule>
  </conditionalFormatting>
  <conditionalFormatting sqref="E38">
    <cfRule type="cellIs" dxfId="2830" priority="26" operator="equal">
      <formula>"YES"</formula>
    </cfRule>
    <cfRule type="cellIs" dxfId="2829" priority="27" operator="equal">
      <formula>"NO"</formula>
    </cfRule>
  </conditionalFormatting>
  <conditionalFormatting sqref="B23">
    <cfRule type="cellIs" dxfId="2828" priority="24" operator="equal">
      <formula>"NO"</formula>
    </cfRule>
    <cfRule type="cellIs" dxfId="2827" priority="25" operator="equal">
      <formula>"YES"</formula>
    </cfRule>
  </conditionalFormatting>
  <conditionalFormatting sqref="B12">
    <cfRule type="containsText" dxfId="2826" priority="10" operator="containsText" text="Low">
      <formula>NOT(ISERROR(SEARCH("Low",B12)))</formula>
    </cfRule>
    <cfRule type="containsText" dxfId="2825" priority="11" operator="containsText" text="Medium">
      <formula>NOT(ISERROR(SEARCH("Medium",B12)))</formula>
    </cfRule>
    <cfRule type="containsText" dxfId="2824" priority="12" operator="containsText" text="High">
      <formula>NOT(ISERROR(SEARCH("High",B12)))</formula>
    </cfRule>
  </conditionalFormatting>
  <conditionalFormatting sqref="B29">
    <cfRule type="cellIs" dxfId="2823" priority="20" operator="between">
      <formula>10%</formula>
      <formula>11.9%</formula>
    </cfRule>
    <cfRule type="cellIs" dxfId="2822" priority="22" operator="lessThan">
      <formula>0.1</formula>
    </cfRule>
    <cfRule type="cellIs" dxfId="2821" priority="23" operator="greaterThanOrEqual">
      <formula>0.12</formula>
    </cfRule>
  </conditionalFormatting>
  <conditionalFormatting sqref="B42">
    <cfRule type="cellIs" dxfId="2820" priority="18" operator="between">
      <formula>0.1</formula>
      <formula>0.1199</formula>
    </cfRule>
    <cfRule type="cellIs" dxfId="2819" priority="19" operator="lessThan">
      <formula>0.1</formula>
    </cfRule>
    <cfRule type="cellIs" dxfId="2818" priority="21" operator="greaterThanOrEqual">
      <formula>0.12</formula>
    </cfRule>
  </conditionalFormatting>
  <conditionalFormatting sqref="B10">
    <cfRule type="containsText" dxfId="2817" priority="13" operator="containsText" text="Full">
      <formula>NOT(ISERROR(SEARCH("Full",B10)))</formula>
    </cfRule>
    <cfRule type="containsText" dxfId="2816" priority="14" operator="containsText" text="Heavy">
      <formula>NOT(ISERROR(SEARCH("Heavy",B10)))</formula>
    </cfRule>
    <cfRule type="containsText" dxfId="2815" priority="15" operator="containsText" text="Medium">
      <formula>NOT(ISERROR(SEARCH("Medium",B10)))</formula>
    </cfRule>
    <cfRule type="containsText" dxfId="2814" priority="16" operator="containsText" text="Light">
      <formula>NOT(ISERROR(SEARCH("Light",B10)))</formula>
    </cfRule>
    <cfRule type="containsText" dxfId="2813" priority="17" operator="containsText" text="None">
      <formula>NOT(ISERROR(SEARCH("None",B10)))</formula>
    </cfRule>
  </conditionalFormatting>
  <conditionalFormatting sqref="B28">
    <cfRule type="cellIs" dxfId="2812" priority="30" operator="lessThan">
      <formula>$B$8*100</formula>
    </cfRule>
    <cfRule type="cellIs" dxfId="2811" priority="31" operator="greaterThanOrEqual">
      <formula>$B$8*100</formula>
    </cfRule>
  </conditionalFormatting>
  <conditionalFormatting sqref="B41">
    <cfRule type="cellIs" dxfId="2810" priority="32" operator="lessThan">
      <formula>$B$8*100</formula>
    </cfRule>
    <cfRule type="cellIs" dxfId="2809" priority="33" operator="greaterThan">
      <formula>$B$8*100</formula>
    </cfRule>
    <cfRule type="cellIs" dxfId="2808" priority="34" operator="greaterThan">
      <formula>$B$8*100</formula>
    </cfRule>
  </conditionalFormatting>
  <conditionalFormatting sqref="B38">
    <cfRule type="cellIs" dxfId="2807" priority="8" operator="equal">
      <formula>"YES"</formula>
    </cfRule>
    <cfRule type="cellIs" dxfId="2806" priority="9" operator="equal">
      <formula>"NO"</formula>
    </cfRule>
  </conditionalFormatting>
  <conditionalFormatting sqref="E23:E26">
    <cfRule type="cellIs" dxfId="2805" priority="4" operator="equal">
      <formula>"NO"</formula>
    </cfRule>
    <cfRule type="cellIs" dxfId="2804" priority="5" operator="equal">
      <formula>"YES"</formula>
    </cfRule>
  </conditionalFormatting>
  <conditionalFormatting sqref="E29">
    <cfRule type="cellIs" dxfId="2803" priority="1" operator="between">
      <formula>10%</formula>
      <formula>12%</formula>
    </cfRule>
    <cfRule type="cellIs" dxfId="2802" priority="2" operator="lessThan">
      <formula>0.1</formula>
    </cfRule>
    <cfRule type="cellIs" dxfId="2801" priority="3" operator="greaterThan">
      <formula>0.12</formula>
    </cfRule>
  </conditionalFormatting>
  <conditionalFormatting sqref="E28">
    <cfRule type="cellIs" dxfId="2800" priority="6" operator="lessThan">
      <formula>$B$8*100</formula>
    </cfRule>
    <cfRule type="cellIs" dxfId="2799" priority="7" operator="greaterThan">
      <formula>$B$8*100</formula>
    </cfRule>
  </conditionalFormatting>
  <hyperlinks>
    <hyperlink ref="A32" r:id="rId1" display="https://www.zillow.com/homes/recently_sold/" xr:uid="{03CBA937-FF29-4169-8C30-AF36D54A93FC}"/>
    <hyperlink ref="A21" r:id="rId2" xr:uid="{7BB25039-EA39-4FA3-832C-9E47B4E5A912}"/>
    <hyperlink ref="A25" r:id="rId3" display="www.mortgagecalculator.org" xr:uid="{0DFE2132-49CF-498C-8FA8-BF94E83520E6}"/>
    <hyperlink ref="A12" r:id="rId4" xr:uid="{E384083E-AC6D-4730-A657-EFAEB2B16845}"/>
  </hyperlinks>
  <pageMargins left="0.7" right="0.7" top="0.75" bottom="0.75" header="0.3" footer="0.3"/>
  <drawing r:id="rId5"/>
  <legacyDrawing r:id="rId6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57E4C-3C31-4463-8E7E-E3BDB629F4FB}">
  <sheetPr codeName="Sheet159">
    <tabColor rgb="FFFF0000"/>
  </sheetPr>
  <dimension ref="A1:P42"/>
  <sheetViews>
    <sheetView topLeftCell="A7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252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162000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1161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137700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17415</v>
      </c>
      <c r="D15" s="2"/>
      <c r="E15" s="3"/>
    </row>
    <row r="16" spans="1:10" x14ac:dyDescent="0.25">
      <c r="A16" s="7" t="s">
        <v>20</v>
      </c>
      <c r="B16" s="17">
        <f>B15+B13</f>
        <v>155115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5429.0250000000005</v>
      </c>
      <c r="D17" s="19"/>
      <c r="E17" s="20"/>
      <c r="P17" s="21"/>
    </row>
    <row r="18" spans="1:16" x14ac:dyDescent="0.25">
      <c r="A18" s="7" t="s">
        <v>23</v>
      </c>
      <c r="B18" s="17">
        <f>B16-B17</f>
        <v>149685.97500000001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1350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1551.15</v>
      </c>
      <c r="D22" s="7" t="s">
        <v>77</v>
      </c>
      <c r="E22" s="17">
        <f>B16*0.01</f>
        <v>1551.15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1162.32</v>
      </c>
      <c r="D25" s="7" t="s">
        <v>38</v>
      </c>
      <c r="E25" s="35">
        <f>B25</f>
        <v>1162.32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1499.82</v>
      </c>
      <c r="D26" s="7" t="s">
        <v>41</v>
      </c>
      <c r="E26" s="17">
        <f>E25+I25+I34</f>
        <v>1499.82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-149.81999999999994</v>
      </c>
      <c r="D28" s="7" t="s">
        <v>43</v>
      </c>
      <c r="E28" s="44">
        <f>E21-E25-I25-I34+I24+I33</f>
        <v>-314.81999999999994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-0.33115338389489807</v>
      </c>
      <c r="D29" s="46" t="s">
        <v>44</v>
      </c>
      <c r="E29" s="47">
        <f>(E28*12)/B17</f>
        <v>-0.69585975382320009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67.5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67.5</v>
      </c>
    </row>
    <row r="32" spans="1:16" x14ac:dyDescent="0.25">
      <c r="A32" s="26" t="s">
        <v>49</v>
      </c>
      <c r="B32" s="8">
        <f>B16</f>
        <v>155115</v>
      </c>
      <c r="G32" s="27" t="s">
        <v>50</v>
      </c>
      <c r="H32" s="48">
        <v>0.05</v>
      </c>
      <c r="I32" s="49">
        <f>$B$21*H32</f>
        <v>67.5</v>
      </c>
    </row>
    <row r="33" spans="1:9" x14ac:dyDescent="0.25">
      <c r="A33" s="7" t="s">
        <v>51</v>
      </c>
      <c r="B33" s="17">
        <f>B32-B18</f>
        <v>5429.0249999999942</v>
      </c>
      <c r="G33" s="27" t="s">
        <v>52</v>
      </c>
      <c r="H33" s="48">
        <v>0.1</v>
      </c>
      <c r="I33" s="49">
        <f>$B$21*H33</f>
        <v>135</v>
      </c>
    </row>
    <row r="34" spans="1:9" ht="15.75" thickBot="1" x14ac:dyDescent="0.3">
      <c r="A34" s="7" t="s">
        <v>53</v>
      </c>
      <c r="B34" s="50">
        <f>B33/B17</f>
        <v>0.99999999999999878</v>
      </c>
      <c r="G34" s="36" t="s">
        <v>39</v>
      </c>
      <c r="H34" s="37"/>
      <c r="I34" s="51">
        <f>SUM(I30:I33)</f>
        <v>337.5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0.96500000000000008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106.02756562500001</v>
      </c>
      <c r="D39" s="58"/>
      <c r="E39" s="61"/>
    </row>
    <row r="40" spans="1:9" x14ac:dyDescent="0.25">
      <c r="A40" s="7" t="s">
        <v>58</v>
      </c>
      <c r="B40" s="17">
        <f>B25-B39</f>
        <v>1056.2924343749999</v>
      </c>
      <c r="D40" s="58"/>
      <c r="E40" s="61"/>
    </row>
    <row r="41" spans="1:9" x14ac:dyDescent="0.25">
      <c r="A41" s="7" t="s">
        <v>59</v>
      </c>
      <c r="B41" s="43">
        <f>B21-B40-I25-I34</f>
        <v>-43.792434374999857</v>
      </c>
      <c r="D41" s="58"/>
      <c r="E41" s="61"/>
    </row>
    <row r="42" spans="1:9" ht="15.75" thickBot="1" x14ac:dyDescent="0.3">
      <c r="A42" s="46" t="s">
        <v>44</v>
      </c>
      <c r="B42" s="47">
        <f>(B41*12)/B17</f>
        <v>-9.6796241037755068E-2</v>
      </c>
      <c r="D42" s="58"/>
      <c r="E42" s="62"/>
    </row>
  </sheetData>
  <mergeCells count="12">
    <mergeCell ref="G29:I29"/>
    <mergeCell ref="A31:B31"/>
    <mergeCell ref="A36:B36"/>
    <mergeCell ref="D36:E36"/>
    <mergeCell ref="A1:B1"/>
    <mergeCell ref="A2:B3"/>
    <mergeCell ref="D2:E2"/>
    <mergeCell ref="G2:J13"/>
    <mergeCell ref="A4:B4"/>
    <mergeCell ref="A20:B20"/>
    <mergeCell ref="D20:E20"/>
    <mergeCell ref="G20:I20"/>
  </mergeCells>
  <conditionalFormatting sqref="B24">
    <cfRule type="cellIs" dxfId="2798" priority="28" operator="equal">
      <formula>"NO"</formula>
    </cfRule>
    <cfRule type="cellIs" dxfId="2797" priority="29" operator="equal">
      <formula>"YES"</formula>
    </cfRule>
  </conditionalFormatting>
  <conditionalFormatting sqref="E38">
    <cfRule type="cellIs" dxfId="2796" priority="26" operator="equal">
      <formula>"YES"</formula>
    </cfRule>
    <cfRule type="cellIs" dxfId="2795" priority="27" operator="equal">
      <formula>"NO"</formula>
    </cfRule>
  </conditionalFormatting>
  <conditionalFormatting sqref="B23">
    <cfRule type="cellIs" dxfId="2794" priority="24" operator="equal">
      <formula>"NO"</formula>
    </cfRule>
    <cfRule type="cellIs" dxfId="2793" priority="25" operator="equal">
      <formula>"YES"</formula>
    </cfRule>
  </conditionalFormatting>
  <conditionalFormatting sqref="B12">
    <cfRule type="containsText" dxfId="2792" priority="10" operator="containsText" text="Low">
      <formula>NOT(ISERROR(SEARCH("Low",B12)))</formula>
    </cfRule>
    <cfRule type="containsText" dxfId="2791" priority="11" operator="containsText" text="Medium">
      <formula>NOT(ISERROR(SEARCH("Medium",B12)))</formula>
    </cfRule>
    <cfRule type="containsText" dxfId="2790" priority="12" operator="containsText" text="High">
      <formula>NOT(ISERROR(SEARCH("High",B12)))</formula>
    </cfRule>
  </conditionalFormatting>
  <conditionalFormatting sqref="B29">
    <cfRule type="cellIs" dxfId="2789" priority="20" operator="between">
      <formula>10%</formula>
      <formula>11.9%</formula>
    </cfRule>
    <cfRule type="cellIs" dxfId="2788" priority="22" operator="lessThan">
      <formula>0.1</formula>
    </cfRule>
    <cfRule type="cellIs" dxfId="2787" priority="23" operator="greaterThanOrEqual">
      <formula>0.12</formula>
    </cfRule>
  </conditionalFormatting>
  <conditionalFormatting sqref="B42">
    <cfRule type="cellIs" dxfId="2786" priority="18" operator="between">
      <formula>0.1</formula>
      <formula>0.1199</formula>
    </cfRule>
    <cfRule type="cellIs" dxfId="2785" priority="19" operator="lessThan">
      <formula>0.1</formula>
    </cfRule>
    <cfRule type="cellIs" dxfId="2784" priority="21" operator="greaterThanOrEqual">
      <formula>0.12</formula>
    </cfRule>
  </conditionalFormatting>
  <conditionalFormatting sqref="B10">
    <cfRule type="containsText" dxfId="2783" priority="13" operator="containsText" text="Full">
      <formula>NOT(ISERROR(SEARCH("Full",B10)))</formula>
    </cfRule>
    <cfRule type="containsText" dxfId="2782" priority="14" operator="containsText" text="Heavy">
      <formula>NOT(ISERROR(SEARCH("Heavy",B10)))</formula>
    </cfRule>
    <cfRule type="containsText" dxfId="2781" priority="15" operator="containsText" text="Medium">
      <formula>NOT(ISERROR(SEARCH("Medium",B10)))</formula>
    </cfRule>
    <cfRule type="containsText" dxfId="2780" priority="16" operator="containsText" text="Light">
      <formula>NOT(ISERROR(SEARCH("Light",B10)))</formula>
    </cfRule>
    <cfRule type="containsText" dxfId="2779" priority="17" operator="containsText" text="None">
      <formula>NOT(ISERROR(SEARCH("None",B10)))</formula>
    </cfRule>
  </conditionalFormatting>
  <conditionalFormatting sqref="B28">
    <cfRule type="cellIs" dxfId="2778" priority="30" operator="lessThan">
      <formula>$B$8*100</formula>
    </cfRule>
    <cfRule type="cellIs" dxfId="2777" priority="31" operator="greaterThanOrEqual">
      <formula>$B$8*100</formula>
    </cfRule>
  </conditionalFormatting>
  <conditionalFormatting sqref="B41">
    <cfRule type="cellIs" dxfId="2776" priority="32" operator="lessThan">
      <formula>$B$8*100</formula>
    </cfRule>
    <cfRule type="cellIs" dxfId="2775" priority="33" operator="greaterThan">
      <formula>$B$8*100</formula>
    </cfRule>
    <cfRule type="cellIs" dxfId="2774" priority="34" operator="greaterThan">
      <formula>$B$8*100</formula>
    </cfRule>
  </conditionalFormatting>
  <conditionalFormatting sqref="B38">
    <cfRule type="cellIs" dxfId="2773" priority="8" operator="equal">
      <formula>"YES"</formula>
    </cfRule>
    <cfRule type="cellIs" dxfId="2772" priority="9" operator="equal">
      <formula>"NO"</formula>
    </cfRule>
  </conditionalFormatting>
  <conditionalFormatting sqref="E23:E26">
    <cfRule type="cellIs" dxfId="2771" priority="4" operator="equal">
      <formula>"NO"</formula>
    </cfRule>
    <cfRule type="cellIs" dxfId="2770" priority="5" operator="equal">
      <formula>"YES"</formula>
    </cfRule>
  </conditionalFormatting>
  <conditionalFormatting sqref="E29">
    <cfRule type="cellIs" dxfId="2769" priority="1" operator="between">
      <formula>10%</formula>
      <formula>12%</formula>
    </cfRule>
    <cfRule type="cellIs" dxfId="2768" priority="2" operator="lessThan">
      <formula>0.1</formula>
    </cfRule>
    <cfRule type="cellIs" dxfId="2767" priority="3" operator="greaterThan">
      <formula>0.12</formula>
    </cfRule>
  </conditionalFormatting>
  <conditionalFormatting sqref="E28">
    <cfRule type="cellIs" dxfId="2766" priority="6" operator="lessThan">
      <formula>$B$8*100</formula>
    </cfRule>
    <cfRule type="cellIs" dxfId="2765" priority="7" operator="greaterThan">
      <formula>$B$8*100</formula>
    </cfRule>
  </conditionalFormatting>
  <hyperlinks>
    <hyperlink ref="A32" r:id="rId1" display="https://www.zillow.com/homes/recently_sold/" xr:uid="{EF8FABF8-A076-417F-AA97-5F2C85EE697C}"/>
    <hyperlink ref="A21" r:id="rId2" xr:uid="{33A6AE3B-EAF4-4B1F-A067-74C8E3282329}"/>
    <hyperlink ref="A25" r:id="rId3" display="www.mortgagecalculator.org" xr:uid="{26BA7BC2-BA4C-44A1-B164-3DC27124E856}"/>
    <hyperlink ref="A12" r:id="rId4" xr:uid="{0327008F-6C94-4D16-BC59-792CD2F3DBDD}"/>
  </hyperlinks>
  <pageMargins left="0.7" right="0.7" top="0.75" bottom="0.75" header="0.3" footer="0.3"/>
  <drawing r:id="rId5"/>
  <legacyDrawing r:id="rId6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C697-B695-452F-BA60-AFF5C6270DE1}">
  <sheetPr codeName="Sheet160">
    <tabColor rgb="FFFF0000"/>
  </sheetPr>
  <dimension ref="A1:P45"/>
  <sheetViews>
    <sheetView topLeftCell="A12" workbookViewId="0">
      <selection activeCell="E25" sqref="E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255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2356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195415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195415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9770.75</v>
      </c>
      <c r="D17" s="19"/>
      <c r="E17" s="20"/>
      <c r="P17" s="21"/>
    </row>
    <row r="18" spans="1:16" x14ac:dyDescent="0.25">
      <c r="A18" s="7" t="s">
        <v>23</v>
      </c>
      <c r="B18" s="17">
        <f>B16-B17</f>
        <v>185644.25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1746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1954.15</v>
      </c>
      <c r="D22" s="7" t="s">
        <v>77</v>
      </c>
      <c r="E22" s="17">
        <f>B16*0.01</f>
        <v>1954.15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1366.32</v>
      </c>
      <c r="D25" s="7" t="s">
        <v>38</v>
      </c>
      <c r="E25" s="35">
        <f>B25</f>
        <v>1366.32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1802.82</v>
      </c>
      <c r="D26" s="7" t="s">
        <v>41</v>
      </c>
      <c r="E26" s="17">
        <f>E25+I25+I34</f>
        <v>1802.82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-56.819999999999936</v>
      </c>
      <c r="D28" s="7" t="s">
        <v>43</v>
      </c>
      <c r="E28" s="44">
        <f>E21-E25-I25-I34+I24+I33</f>
        <v>-578.21999999999991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-6.9783793465189384E-2</v>
      </c>
      <c r="D29" s="46" t="s">
        <v>44</v>
      </c>
      <c r="E29" s="47">
        <f>(E28*12)/B17</f>
        <v>-0.71014405240129974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87.300000000000011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87.300000000000011</v>
      </c>
    </row>
    <row r="32" spans="1:16" x14ac:dyDescent="0.25">
      <c r="A32" s="26" t="s">
        <v>49</v>
      </c>
      <c r="B32" s="8">
        <f>B16</f>
        <v>195415</v>
      </c>
      <c r="G32" s="27" t="s">
        <v>50</v>
      </c>
      <c r="H32" s="48">
        <v>0.05</v>
      </c>
      <c r="I32" s="49">
        <f>$B$21*H32</f>
        <v>87.300000000000011</v>
      </c>
    </row>
    <row r="33" spans="1:9" x14ac:dyDescent="0.25">
      <c r="A33" s="7" t="s">
        <v>51</v>
      </c>
      <c r="B33" s="17">
        <f>B32-B18</f>
        <v>9770.75</v>
      </c>
      <c r="G33" s="27" t="s">
        <v>52</v>
      </c>
      <c r="H33" s="48">
        <v>0.1</v>
      </c>
      <c r="I33" s="49">
        <f>$B$21*H33</f>
        <v>174.60000000000002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436.50000000000006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131.49801041666669</v>
      </c>
      <c r="D39" s="58"/>
      <c r="E39" s="61"/>
    </row>
    <row r="40" spans="1:9" x14ac:dyDescent="0.25">
      <c r="A40" s="7" t="s">
        <v>58</v>
      </c>
      <c r="B40" s="17">
        <f>B25-B39</f>
        <v>1234.8219895833333</v>
      </c>
      <c r="D40" s="58"/>
      <c r="E40" s="61"/>
    </row>
    <row r="41" spans="1:9" x14ac:dyDescent="0.25">
      <c r="A41" s="7" t="s">
        <v>59</v>
      </c>
      <c r="B41" s="43">
        <f>B21-B40-I25-I34</f>
        <v>74.678010416666609</v>
      </c>
      <c r="D41" s="58"/>
      <c r="E41" s="61"/>
    </row>
    <row r="42" spans="1:9" ht="15.75" thickBot="1" x14ac:dyDescent="0.3">
      <c r="A42" s="46" t="s">
        <v>44</v>
      </c>
      <c r="B42" s="47">
        <f>(B41*12)/B17</f>
        <v>9.1716206534810454E-2</v>
      </c>
      <c r="D42" s="58"/>
      <c r="E42" s="62"/>
    </row>
    <row r="43" spans="1:9" ht="15.75" x14ac:dyDescent="0.25">
      <c r="A43" s="77" t="s">
        <v>249</v>
      </c>
      <c r="B43" s="78"/>
    </row>
    <row r="44" spans="1:9" x14ac:dyDescent="0.25">
      <c r="A44" s="23" t="s">
        <v>250</v>
      </c>
      <c r="B44" s="64">
        <f>B16/27.5*22%</f>
        <v>1563.32</v>
      </c>
    </row>
    <row r="45" spans="1:9" ht="15.75" thickBot="1" x14ac:dyDescent="0.3">
      <c r="A45" s="63" t="s">
        <v>251</v>
      </c>
      <c r="B45" s="65">
        <f>B16*0.02</f>
        <v>3908.3</v>
      </c>
    </row>
  </sheetData>
  <mergeCells count="13">
    <mergeCell ref="G29:I29"/>
    <mergeCell ref="A31:B31"/>
    <mergeCell ref="A36:B36"/>
    <mergeCell ref="D36:E36"/>
    <mergeCell ref="A43:B43"/>
    <mergeCell ref="A20:B20"/>
    <mergeCell ref="D20:E20"/>
    <mergeCell ref="G20:I20"/>
    <mergeCell ref="A1:B1"/>
    <mergeCell ref="A2:B3"/>
    <mergeCell ref="D2:E2"/>
    <mergeCell ref="G2:J13"/>
    <mergeCell ref="A4:B4"/>
  </mergeCells>
  <conditionalFormatting sqref="B24">
    <cfRule type="cellIs" dxfId="2764" priority="29" operator="equal">
      <formula>"NO"</formula>
    </cfRule>
    <cfRule type="cellIs" dxfId="2763" priority="30" operator="equal">
      <formula>"YES"</formula>
    </cfRule>
  </conditionalFormatting>
  <conditionalFormatting sqref="E38">
    <cfRule type="cellIs" dxfId="2762" priority="27" operator="equal">
      <formula>"YES"</formula>
    </cfRule>
    <cfRule type="cellIs" dxfId="2761" priority="28" operator="equal">
      <formula>"NO"</formula>
    </cfRule>
  </conditionalFormatting>
  <conditionalFormatting sqref="B23">
    <cfRule type="cellIs" dxfId="2760" priority="25" operator="equal">
      <formula>"NO"</formula>
    </cfRule>
    <cfRule type="cellIs" dxfId="2759" priority="26" operator="equal">
      <formula>"YES"</formula>
    </cfRule>
  </conditionalFormatting>
  <conditionalFormatting sqref="B12">
    <cfRule type="containsText" dxfId="2758" priority="11" operator="containsText" text="Low">
      <formula>NOT(ISERROR(SEARCH("Low",B12)))</formula>
    </cfRule>
    <cfRule type="containsText" dxfId="2757" priority="12" operator="containsText" text="Medium">
      <formula>NOT(ISERROR(SEARCH("Medium",B12)))</formula>
    </cfRule>
    <cfRule type="containsText" dxfId="2756" priority="13" operator="containsText" text="High">
      <formula>NOT(ISERROR(SEARCH("High",B12)))</formula>
    </cfRule>
  </conditionalFormatting>
  <conditionalFormatting sqref="B29">
    <cfRule type="cellIs" dxfId="2755" priority="21" operator="between">
      <formula>10%</formula>
      <formula>11.9%</formula>
    </cfRule>
    <cfRule type="cellIs" dxfId="2754" priority="23" operator="lessThan">
      <formula>0.1</formula>
    </cfRule>
    <cfRule type="cellIs" dxfId="2753" priority="24" operator="greaterThanOrEqual">
      <formula>0.12</formula>
    </cfRule>
  </conditionalFormatting>
  <conditionalFormatting sqref="B42">
    <cfRule type="cellIs" dxfId="2752" priority="19" operator="between">
      <formula>0.1</formula>
      <formula>0.1199</formula>
    </cfRule>
    <cfRule type="cellIs" dxfId="2751" priority="20" operator="lessThan">
      <formula>0.1</formula>
    </cfRule>
    <cfRule type="cellIs" dxfId="2750" priority="22" operator="greaterThanOrEqual">
      <formula>0.12</formula>
    </cfRule>
  </conditionalFormatting>
  <conditionalFormatting sqref="B10">
    <cfRule type="containsText" dxfId="2749" priority="14" operator="containsText" text="Full">
      <formula>NOT(ISERROR(SEARCH("Full",B10)))</formula>
    </cfRule>
    <cfRule type="containsText" dxfId="2748" priority="15" operator="containsText" text="Heavy">
      <formula>NOT(ISERROR(SEARCH("Heavy",B10)))</formula>
    </cfRule>
    <cfRule type="containsText" dxfId="2747" priority="16" operator="containsText" text="Medium">
      <formula>NOT(ISERROR(SEARCH("Medium",B10)))</formula>
    </cfRule>
    <cfRule type="containsText" dxfId="2746" priority="17" operator="containsText" text="Light">
      <formula>NOT(ISERROR(SEARCH("Light",B10)))</formula>
    </cfRule>
    <cfRule type="containsText" dxfId="2745" priority="18" operator="containsText" text="None">
      <formula>NOT(ISERROR(SEARCH("None",B10)))</formula>
    </cfRule>
  </conditionalFormatting>
  <conditionalFormatting sqref="B28">
    <cfRule type="cellIs" dxfId="2744" priority="31" operator="lessThan">
      <formula>$B$8*100</formula>
    </cfRule>
    <cfRule type="cellIs" dxfId="2743" priority="32" operator="greaterThanOrEqual">
      <formula>$B$8*100</formula>
    </cfRule>
  </conditionalFormatting>
  <conditionalFormatting sqref="B41">
    <cfRule type="cellIs" dxfId="2742" priority="33" operator="lessThan">
      <formula>$B$8*100</formula>
    </cfRule>
    <cfRule type="cellIs" dxfId="2741" priority="34" operator="greaterThan">
      <formula>$B$8*100</formula>
    </cfRule>
    <cfRule type="cellIs" dxfId="2740" priority="35" operator="greaterThan">
      <formula>$B$8*100</formula>
    </cfRule>
  </conditionalFormatting>
  <conditionalFormatting sqref="B38">
    <cfRule type="cellIs" dxfId="2739" priority="9" operator="equal">
      <formula>"YES"</formula>
    </cfRule>
    <cfRule type="cellIs" dxfId="2738" priority="10" operator="equal">
      <formula>"NO"</formula>
    </cfRule>
  </conditionalFormatting>
  <conditionalFormatting sqref="E23:E26">
    <cfRule type="cellIs" dxfId="2737" priority="5" operator="equal">
      <formula>"NO"</formula>
    </cfRule>
    <cfRule type="cellIs" dxfId="2736" priority="6" operator="equal">
      <formula>"YES"</formula>
    </cfRule>
  </conditionalFormatting>
  <conditionalFormatting sqref="E29">
    <cfRule type="cellIs" dxfId="2735" priority="2" operator="between">
      <formula>10%</formula>
      <formula>12%</formula>
    </cfRule>
    <cfRule type="cellIs" dxfId="2734" priority="3" operator="lessThan">
      <formula>0.1</formula>
    </cfRule>
    <cfRule type="cellIs" dxfId="2733" priority="4" operator="greaterThan">
      <formula>0.12</formula>
    </cfRule>
  </conditionalFormatting>
  <conditionalFormatting sqref="E28">
    <cfRule type="cellIs" dxfId="2732" priority="7" operator="lessThan">
      <formula>$B$8*100</formula>
    </cfRule>
    <cfRule type="cellIs" dxfId="2731" priority="8" operator="greaterThan">
      <formula>$B$8*100</formula>
    </cfRule>
  </conditionalFormatting>
  <conditionalFormatting sqref="B44:B45">
    <cfRule type="cellIs" dxfId="2730" priority="1" operator="greaterThan">
      <formula>0</formula>
    </cfRule>
  </conditionalFormatting>
  <hyperlinks>
    <hyperlink ref="A32" r:id="rId1" display="https://www.zillow.com/homes/recently_sold/" xr:uid="{45870B37-9F87-4312-9ABA-6C51C16FFF2F}"/>
    <hyperlink ref="A21" r:id="rId2" xr:uid="{D01634D7-C0CD-4763-8653-F41610562EA7}"/>
    <hyperlink ref="A25" r:id="rId3" display="www.mortgagecalculator.org" xr:uid="{37DFC611-45ED-4EEA-888C-3DA8C50D2EDC}"/>
    <hyperlink ref="A12" r:id="rId4" xr:uid="{6139FDD6-255B-455F-972E-C2493E2767E7}"/>
  </hyperlinks>
  <pageMargins left="0.7" right="0.7" top="0.75" bottom="0.75" header="0.3" footer="0.3"/>
  <drawing r:id="rId5"/>
  <legacyDrawing r:id="rId6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E56C8-A516-47AF-84FF-A5510D447E5C}">
  <sheetPr codeName="Sheet161">
    <tabColor rgb="FFFF0000"/>
  </sheetPr>
  <dimension ref="A1:P45"/>
  <sheetViews>
    <sheetView topLeftCell="A12" workbookViewId="0">
      <selection activeCell="B22" sqref="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256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2020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203915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203915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10195.75</v>
      </c>
      <c r="D17" s="19"/>
      <c r="E17" s="20"/>
      <c r="P17" s="21"/>
    </row>
    <row r="18" spans="1:16" x14ac:dyDescent="0.25">
      <c r="A18" s="7" t="s">
        <v>23</v>
      </c>
      <c r="B18" s="17">
        <f>B16-B17</f>
        <v>193719.25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1810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2039.15</v>
      </c>
      <c r="D22" s="7" t="s">
        <v>77</v>
      </c>
      <c r="E22" s="17">
        <f>B16*0.01</f>
        <v>2039.15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1365</v>
      </c>
      <c r="D25" s="7" t="s">
        <v>38</v>
      </c>
      <c r="E25" s="35">
        <f>B25</f>
        <v>1365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1817.5</v>
      </c>
      <c r="D26" s="7" t="s">
        <v>41</v>
      </c>
      <c r="E26" s="17">
        <f>E25+I25+I34</f>
        <v>1817.5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-7.5</v>
      </c>
      <c r="D28" s="7" t="s">
        <v>43</v>
      </c>
      <c r="E28" s="44">
        <f>E21-E25-I25-I34+I24+I33</f>
        <v>-586.5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-8.8272074148542292E-3</v>
      </c>
      <c r="D29" s="46" t="s">
        <v>44</v>
      </c>
      <c r="E29" s="47">
        <f>(E28*12)/B17</f>
        <v>-0.6902876198416007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90.5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90.5</v>
      </c>
    </row>
    <row r="32" spans="1:16" x14ac:dyDescent="0.25">
      <c r="A32" s="26" t="s">
        <v>49</v>
      </c>
      <c r="B32" s="8">
        <f>B16</f>
        <v>203915</v>
      </c>
      <c r="G32" s="27" t="s">
        <v>50</v>
      </c>
      <c r="H32" s="48">
        <v>0.05</v>
      </c>
      <c r="I32" s="49">
        <f>$B$21*H32</f>
        <v>90.5</v>
      </c>
    </row>
    <row r="33" spans="1:9" x14ac:dyDescent="0.25">
      <c r="A33" s="7" t="s">
        <v>51</v>
      </c>
      <c r="B33" s="17">
        <f>B32-B18</f>
        <v>10195.75</v>
      </c>
      <c r="G33" s="27" t="s">
        <v>52</v>
      </c>
      <c r="H33" s="48">
        <v>0.1</v>
      </c>
      <c r="I33" s="49">
        <f>$B$21*H33</f>
        <v>181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452.5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137.21780208333334</v>
      </c>
      <c r="D39" s="58"/>
      <c r="E39" s="61"/>
    </row>
    <row r="40" spans="1:9" x14ac:dyDescent="0.25">
      <c r="A40" s="7" t="s">
        <v>58</v>
      </c>
      <c r="B40" s="17">
        <f>B25-B39</f>
        <v>1227.7821979166667</v>
      </c>
      <c r="D40" s="58"/>
      <c r="E40" s="61"/>
    </row>
    <row r="41" spans="1:9" x14ac:dyDescent="0.25">
      <c r="A41" s="7" t="s">
        <v>59</v>
      </c>
      <c r="B41" s="43">
        <f>B21-B40-I25-I34</f>
        <v>129.71780208333325</v>
      </c>
      <c r="D41" s="58"/>
      <c r="E41" s="61"/>
    </row>
    <row r="42" spans="1:9" ht="15.75" thickBot="1" x14ac:dyDescent="0.3">
      <c r="A42" s="46" t="s">
        <v>44</v>
      </c>
      <c r="B42" s="47">
        <f>(B41*12)/B17</f>
        <v>0.15267279258514568</v>
      </c>
      <c r="D42" s="58"/>
      <c r="E42" s="62"/>
    </row>
    <row r="43" spans="1:9" ht="15.75" x14ac:dyDescent="0.25">
      <c r="A43" s="77" t="s">
        <v>249</v>
      </c>
      <c r="B43" s="78"/>
    </row>
    <row r="44" spans="1:9" x14ac:dyDescent="0.25">
      <c r="A44" s="23" t="s">
        <v>250</v>
      </c>
      <c r="B44" s="64">
        <f>B16/27.5*22%</f>
        <v>1631.32</v>
      </c>
    </row>
    <row r="45" spans="1:9" ht="15.75" thickBot="1" x14ac:dyDescent="0.3">
      <c r="A45" s="63" t="s">
        <v>251</v>
      </c>
      <c r="B45" s="65">
        <f>B16*0.02</f>
        <v>4078.3</v>
      </c>
    </row>
  </sheetData>
  <mergeCells count="13">
    <mergeCell ref="G29:I29"/>
    <mergeCell ref="A31:B31"/>
    <mergeCell ref="A36:B36"/>
    <mergeCell ref="D36:E36"/>
    <mergeCell ref="A43:B43"/>
    <mergeCell ref="A20:B20"/>
    <mergeCell ref="D20:E20"/>
    <mergeCell ref="G20:I20"/>
    <mergeCell ref="A1:B1"/>
    <mergeCell ref="A2:B3"/>
    <mergeCell ref="D2:E2"/>
    <mergeCell ref="G2:J13"/>
    <mergeCell ref="A4:B4"/>
  </mergeCells>
  <conditionalFormatting sqref="B24">
    <cfRule type="cellIs" dxfId="2729" priority="29" operator="equal">
      <formula>"NO"</formula>
    </cfRule>
    <cfRule type="cellIs" dxfId="2728" priority="30" operator="equal">
      <formula>"YES"</formula>
    </cfRule>
  </conditionalFormatting>
  <conditionalFormatting sqref="E38">
    <cfRule type="cellIs" dxfId="2727" priority="27" operator="equal">
      <formula>"YES"</formula>
    </cfRule>
    <cfRule type="cellIs" dxfId="2726" priority="28" operator="equal">
      <formula>"NO"</formula>
    </cfRule>
  </conditionalFormatting>
  <conditionalFormatting sqref="B23">
    <cfRule type="cellIs" dxfId="2725" priority="25" operator="equal">
      <formula>"NO"</formula>
    </cfRule>
    <cfRule type="cellIs" dxfId="2724" priority="26" operator="equal">
      <formula>"YES"</formula>
    </cfRule>
  </conditionalFormatting>
  <conditionalFormatting sqref="B12">
    <cfRule type="containsText" dxfId="2723" priority="11" operator="containsText" text="Low">
      <formula>NOT(ISERROR(SEARCH("Low",B12)))</formula>
    </cfRule>
    <cfRule type="containsText" dxfId="2722" priority="12" operator="containsText" text="Medium">
      <formula>NOT(ISERROR(SEARCH("Medium",B12)))</formula>
    </cfRule>
    <cfRule type="containsText" dxfId="2721" priority="13" operator="containsText" text="High">
      <formula>NOT(ISERROR(SEARCH("High",B12)))</formula>
    </cfRule>
  </conditionalFormatting>
  <conditionalFormatting sqref="B29">
    <cfRule type="cellIs" dxfId="2720" priority="21" operator="between">
      <formula>10%</formula>
      <formula>11.9%</formula>
    </cfRule>
    <cfRule type="cellIs" dxfId="2719" priority="23" operator="lessThan">
      <formula>0.1</formula>
    </cfRule>
    <cfRule type="cellIs" dxfId="2718" priority="24" operator="greaterThanOrEqual">
      <formula>0.12</formula>
    </cfRule>
  </conditionalFormatting>
  <conditionalFormatting sqref="B42">
    <cfRule type="cellIs" dxfId="2717" priority="19" operator="between">
      <formula>0.1</formula>
      <formula>0.1199</formula>
    </cfRule>
    <cfRule type="cellIs" dxfId="2716" priority="20" operator="lessThan">
      <formula>0.1</formula>
    </cfRule>
    <cfRule type="cellIs" dxfId="2715" priority="22" operator="greaterThanOrEqual">
      <formula>0.12</formula>
    </cfRule>
  </conditionalFormatting>
  <conditionalFormatting sqref="B10">
    <cfRule type="containsText" dxfId="2714" priority="14" operator="containsText" text="Full">
      <formula>NOT(ISERROR(SEARCH("Full",B10)))</formula>
    </cfRule>
    <cfRule type="containsText" dxfId="2713" priority="15" operator="containsText" text="Heavy">
      <formula>NOT(ISERROR(SEARCH("Heavy",B10)))</formula>
    </cfRule>
    <cfRule type="containsText" dxfId="2712" priority="16" operator="containsText" text="Medium">
      <formula>NOT(ISERROR(SEARCH("Medium",B10)))</formula>
    </cfRule>
    <cfRule type="containsText" dxfId="2711" priority="17" operator="containsText" text="Light">
      <formula>NOT(ISERROR(SEARCH("Light",B10)))</formula>
    </cfRule>
    <cfRule type="containsText" dxfId="2710" priority="18" operator="containsText" text="None">
      <formula>NOT(ISERROR(SEARCH("None",B10)))</formula>
    </cfRule>
  </conditionalFormatting>
  <conditionalFormatting sqref="B28">
    <cfRule type="cellIs" dxfId="2709" priority="31" operator="lessThan">
      <formula>$B$8*100</formula>
    </cfRule>
    <cfRule type="cellIs" dxfId="2708" priority="32" operator="greaterThanOrEqual">
      <formula>$B$8*100</formula>
    </cfRule>
  </conditionalFormatting>
  <conditionalFormatting sqref="B41">
    <cfRule type="cellIs" dxfId="2707" priority="33" operator="lessThan">
      <formula>$B$8*100</formula>
    </cfRule>
    <cfRule type="cellIs" dxfId="2706" priority="34" operator="greaterThan">
      <formula>$B$8*100</formula>
    </cfRule>
    <cfRule type="cellIs" dxfId="2705" priority="35" operator="greaterThan">
      <formula>$B$8*100</formula>
    </cfRule>
  </conditionalFormatting>
  <conditionalFormatting sqref="B38">
    <cfRule type="cellIs" dxfId="2704" priority="9" operator="equal">
      <formula>"YES"</formula>
    </cfRule>
    <cfRule type="cellIs" dxfId="2703" priority="10" operator="equal">
      <formula>"NO"</formula>
    </cfRule>
  </conditionalFormatting>
  <conditionalFormatting sqref="E23:E26">
    <cfRule type="cellIs" dxfId="2702" priority="5" operator="equal">
      <formula>"NO"</formula>
    </cfRule>
    <cfRule type="cellIs" dxfId="2701" priority="6" operator="equal">
      <formula>"YES"</formula>
    </cfRule>
  </conditionalFormatting>
  <conditionalFormatting sqref="E29">
    <cfRule type="cellIs" dxfId="2700" priority="2" operator="between">
      <formula>10%</formula>
      <formula>12%</formula>
    </cfRule>
    <cfRule type="cellIs" dxfId="2699" priority="3" operator="lessThan">
      <formula>0.1</formula>
    </cfRule>
    <cfRule type="cellIs" dxfId="2698" priority="4" operator="greaterThan">
      <formula>0.12</formula>
    </cfRule>
  </conditionalFormatting>
  <conditionalFormatting sqref="E28">
    <cfRule type="cellIs" dxfId="2697" priority="7" operator="lessThan">
      <formula>$B$8*100</formula>
    </cfRule>
    <cfRule type="cellIs" dxfId="2696" priority="8" operator="greaterThan">
      <formula>$B$8*100</formula>
    </cfRule>
  </conditionalFormatting>
  <conditionalFormatting sqref="B44:B45">
    <cfRule type="cellIs" dxfId="2695" priority="1" operator="greaterThan">
      <formula>0</formula>
    </cfRule>
  </conditionalFormatting>
  <hyperlinks>
    <hyperlink ref="A32" r:id="rId1" display="https://www.zillow.com/homes/recently_sold/" xr:uid="{46C19932-D2ED-46AF-B0D4-66752DF6F012}"/>
    <hyperlink ref="A21" r:id="rId2" xr:uid="{A0928660-06CC-4CD1-8427-74BA3926102F}"/>
    <hyperlink ref="A25" r:id="rId3" display="www.mortgagecalculator.org" xr:uid="{DD860028-E4B2-4BC9-8D11-55BD10B39A58}"/>
    <hyperlink ref="A12" r:id="rId4" xr:uid="{CBB47A91-A4BD-45D1-A2F7-8FE68D46FAE1}"/>
  </hyperlinks>
  <pageMargins left="0.7" right="0.7" top="0.75" bottom="0.75" header="0.3" footer="0.3"/>
  <drawing r:id="rId5"/>
  <legacyDrawing r:id="rId6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8B158-DF47-40B4-A3A1-C3E3D93C0AFA}">
  <sheetPr codeName="Sheet162">
    <tabColor rgb="FFFF0000"/>
  </sheetPr>
  <dimension ref="A1:P45"/>
  <sheetViews>
    <sheetView topLeftCell="A9" workbookViewId="0">
      <selection activeCell="B26" sqref="B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257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324900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2782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276165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276165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13808.25</v>
      </c>
      <c r="D17" s="19"/>
      <c r="E17" s="20"/>
      <c r="P17" s="21"/>
    </row>
    <row r="18" spans="1:16" x14ac:dyDescent="0.25">
      <c r="A18" s="7" t="s">
        <v>23</v>
      </c>
      <c r="B18" s="17">
        <f>B16-B17</f>
        <v>262356.75</v>
      </c>
      <c r="G18" s="22"/>
      <c r="H18" s="22"/>
      <c r="I18" s="22"/>
      <c r="P18" s="21"/>
    </row>
    <row r="19" spans="1:16" ht="15.75" thickBot="1" x14ac:dyDescent="0.3">
      <c r="A19" s="23"/>
      <c r="B19" s="24"/>
      <c r="F19" s="25"/>
      <c r="P19" s="21"/>
    </row>
    <row r="20" spans="1:16" ht="15.75" x14ac:dyDescent="0.25">
      <c r="A20" s="77" t="s">
        <v>24</v>
      </c>
      <c r="B20" s="78"/>
      <c r="D20" s="72" t="s">
        <v>25</v>
      </c>
      <c r="E20" s="74"/>
      <c r="G20" s="72" t="s">
        <v>26</v>
      </c>
      <c r="H20" s="73"/>
      <c r="I20" s="74"/>
    </row>
    <row r="21" spans="1:16" x14ac:dyDescent="0.25">
      <c r="A21" s="26" t="s">
        <v>27</v>
      </c>
      <c r="B21" s="8">
        <v>1862</v>
      </c>
      <c r="D21" s="23" t="s">
        <v>28</v>
      </c>
      <c r="E21" s="8">
        <f>350*3</f>
        <v>1050</v>
      </c>
      <c r="G21" s="27" t="s">
        <v>29</v>
      </c>
      <c r="H21" s="28"/>
      <c r="I21" s="29"/>
    </row>
    <row r="22" spans="1:16" x14ac:dyDescent="0.25">
      <c r="A22" s="7" t="s">
        <v>78</v>
      </c>
      <c r="B22" s="17">
        <f>B16*0.01</f>
        <v>2761.65</v>
      </c>
      <c r="D22" s="7" t="s">
        <v>77</v>
      </c>
      <c r="E22" s="17">
        <f>B16*0.01</f>
        <v>2761.65</v>
      </c>
      <c r="G22" s="27" t="s">
        <v>32</v>
      </c>
      <c r="H22" s="28"/>
      <c r="I22" s="29"/>
    </row>
    <row r="23" spans="1:16" x14ac:dyDescent="0.25">
      <c r="A23" s="7" t="s">
        <v>33</v>
      </c>
      <c r="B23" s="30" t="str">
        <f>IF(B21&gt;=B22,"YES","NO")</f>
        <v>NO</v>
      </c>
      <c r="D23" s="7" t="s">
        <v>33</v>
      </c>
      <c r="E23" s="31" t="str">
        <f>IF(E21&gt;=E22,"YES","NO")</f>
        <v>NO</v>
      </c>
      <c r="G23" s="27" t="s">
        <v>35</v>
      </c>
      <c r="H23" s="28"/>
      <c r="I23" s="29"/>
    </row>
    <row r="24" spans="1:16" x14ac:dyDescent="0.25">
      <c r="A24" s="32"/>
      <c r="B24" s="30"/>
      <c r="D24" s="32"/>
      <c r="E24" s="33"/>
      <c r="G24" s="27" t="s">
        <v>36</v>
      </c>
      <c r="H24" s="28"/>
      <c r="I24" s="34"/>
    </row>
    <row r="25" spans="1:16" ht="15.75" thickBot="1" x14ac:dyDescent="0.3">
      <c r="A25" s="26" t="s">
        <v>37</v>
      </c>
      <c r="B25" s="8">
        <v>1515.96</v>
      </c>
      <c r="D25" s="7" t="s">
        <v>38</v>
      </c>
      <c r="E25" s="35">
        <f>B25</f>
        <v>1515.96</v>
      </c>
      <c r="G25" s="36" t="s">
        <v>39</v>
      </c>
      <c r="H25" s="37"/>
      <c r="I25" s="38">
        <f>SUM(I21:I24)</f>
        <v>0</v>
      </c>
    </row>
    <row r="26" spans="1:16" x14ac:dyDescent="0.25">
      <c r="A26" s="7" t="s">
        <v>40</v>
      </c>
      <c r="B26" s="17">
        <f>B25+I25+I34</f>
        <v>1981.46</v>
      </c>
      <c r="D26" s="7" t="s">
        <v>41</v>
      </c>
      <c r="E26" s="17">
        <f>E25+I25+I34</f>
        <v>1981.46</v>
      </c>
      <c r="G26" s="28"/>
      <c r="H26" s="28"/>
      <c r="I26" s="28"/>
    </row>
    <row r="27" spans="1:16" x14ac:dyDescent="0.25">
      <c r="A27" s="7"/>
      <c r="B27" s="39"/>
      <c r="C27" s="40"/>
      <c r="D27" s="41"/>
      <c r="E27" s="42"/>
      <c r="G27" s="28"/>
      <c r="H27" s="28"/>
      <c r="I27" s="28"/>
    </row>
    <row r="28" spans="1:16" ht="15.75" thickBot="1" x14ac:dyDescent="0.3">
      <c r="A28" s="7" t="s">
        <v>42</v>
      </c>
      <c r="B28" s="43">
        <f>B21-B26</f>
        <v>-119.46000000000004</v>
      </c>
      <c r="D28" s="7" t="s">
        <v>43</v>
      </c>
      <c r="E28" s="44">
        <f>E21-E25-I25-I34+I24+I33</f>
        <v>-745.26</v>
      </c>
      <c r="G28" s="28"/>
      <c r="H28" s="28"/>
      <c r="I28" s="28"/>
    </row>
    <row r="29" spans="1:16" ht="16.5" thickBot="1" x14ac:dyDescent="0.3">
      <c r="A29" s="7" t="s">
        <v>44</v>
      </c>
      <c r="B29" s="45">
        <f>(B28*12)/B17</f>
        <v>-0.10381619683884637</v>
      </c>
      <c r="D29" s="46" t="s">
        <v>44</v>
      </c>
      <c r="E29" s="47">
        <f>(E28*12)/B17</f>
        <v>-0.6476649828906631</v>
      </c>
      <c r="G29" s="72" t="s">
        <v>45</v>
      </c>
      <c r="H29" s="73"/>
      <c r="I29" s="74"/>
    </row>
    <row r="30" spans="1:16" x14ac:dyDescent="0.25">
      <c r="A30" s="23"/>
      <c r="B30" s="24"/>
      <c r="G30" s="27" t="s">
        <v>46</v>
      </c>
      <c r="H30" s="48">
        <v>0.05</v>
      </c>
      <c r="I30" s="49">
        <f>$B$21*H30</f>
        <v>93.100000000000009</v>
      </c>
    </row>
    <row r="31" spans="1:16" ht="15.75" x14ac:dyDescent="0.25">
      <c r="A31" s="75" t="s">
        <v>47</v>
      </c>
      <c r="B31" s="76"/>
      <c r="G31" s="27" t="s">
        <v>48</v>
      </c>
      <c r="H31" s="48">
        <v>0.05</v>
      </c>
      <c r="I31" s="49">
        <f>$B$21*H31</f>
        <v>93.100000000000009</v>
      </c>
    </row>
    <row r="32" spans="1:16" x14ac:dyDescent="0.25">
      <c r="A32" s="26" t="s">
        <v>49</v>
      </c>
      <c r="B32" s="8">
        <f>B16</f>
        <v>276165</v>
      </c>
      <c r="G32" s="27" t="s">
        <v>50</v>
      </c>
      <c r="H32" s="48">
        <v>0.05</v>
      </c>
      <c r="I32" s="49">
        <f>$B$21*H32</f>
        <v>93.100000000000009</v>
      </c>
    </row>
    <row r="33" spans="1:9" x14ac:dyDescent="0.25">
      <c r="A33" s="7" t="s">
        <v>51</v>
      </c>
      <c r="B33" s="17">
        <f>B32-B18</f>
        <v>13808.25</v>
      </c>
      <c r="G33" s="27" t="s">
        <v>52</v>
      </c>
      <c r="H33" s="48">
        <v>0.1</v>
      </c>
      <c r="I33" s="49">
        <f>$B$21*H33</f>
        <v>186.20000000000002</v>
      </c>
    </row>
    <row r="34" spans="1:9" ht="15.75" thickBot="1" x14ac:dyDescent="0.3">
      <c r="A34" s="7" t="s">
        <v>53</v>
      </c>
      <c r="B34" s="50">
        <f>B33/B17</f>
        <v>1</v>
      </c>
      <c r="G34" s="36" t="s">
        <v>39</v>
      </c>
      <c r="H34" s="37"/>
      <c r="I34" s="51">
        <f>SUM(I30:I33)</f>
        <v>465.5</v>
      </c>
    </row>
    <row r="35" spans="1:9" ht="15.75" thickBot="1" x14ac:dyDescent="0.3">
      <c r="A35" s="23"/>
      <c r="B35" s="52"/>
    </row>
    <row r="36" spans="1:9" ht="15.75" x14ac:dyDescent="0.25">
      <c r="A36" s="77" t="s">
        <v>54</v>
      </c>
      <c r="B36" s="78"/>
      <c r="D36" s="88"/>
      <c r="E36" s="88"/>
    </row>
    <row r="37" spans="1:9" x14ac:dyDescent="0.25">
      <c r="A37" s="7" t="s">
        <v>55</v>
      </c>
      <c r="B37" s="50">
        <f>B18/B32</f>
        <v>0.95</v>
      </c>
      <c r="D37" s="58"/>
      <c r="E37" s="59"/>
    </row>
    <row r="38" spans="1:9" x14ac:dyDescent="0.25">
      <c r="A38" s="7" t="s">
        <v>56</v>
      </c>
      <c r="B38" s="31" t="str">
        <f>IF(B37&lt;0.8, "YES", "NO")</f>
        <v>NO</v>
      </c>
      <c r="D38" s="58"/>
      <c r="E38" s="60"/>
    </row>
    <row r="39" spans="1:9" x14ac:dyDescent="0.25">
      <c r="A39" s="7" t="s">
        <v>57</v>
      </c>
      <c r="B39" s="17">
        <f>(B18*0.0085)/12</f>
        <v>185.83603125000002</v>
      </c>
      <c r="D39" s="58"/>
      <c r="E39" s="61"/>
    </row>
    <row r="40" spans="1:9" x14ac:dyDescent="0.25">
      <c r="A40" s="7" t="s">
        <v>58</v>
      </c>
      <c r="B40" s="17">
        <f>B25-B39</f>
        <v>1330.1239687500001</v>
      </c>
      <c r="D40" s="58"/>
      <c r="E40" s="61"/>
    </row>
    <row r="41" spans="1:9" x14ac:dyDescent="0.25">
      <c r="A41" s="7" t="s">
        <v>59</v>
      </c>
      <c r="B41" s="43">
        <f>B21-B40-I25-I34</f>
        <v>66.376031249999869</v>
      </c>
      <c r="D41" s="58"/>
      <c r="E41" s="61"/>
    </row>
    <row r="42" spans="1:9" ht="15.75" thickBot="1" x14ac:dyDescent="0.3">
      <c r="A42" s="46" t="s">
        <v>44</v>
      </c>
      <c r="B42" s="47">
        <f>(B41*12)/B17</f>
        <v>5.7683803161153548E-2</v>
      </c>
      <c r="D42" s="58"/>
      <c r="E42" s="62"/>
    </row>
    <row r="43" spans="1:9" ht="15.75" x14ac:dyDescent="0.25">
      <c r="A43" s="77" t="s">
        <v>249</v>
      </c>
      <c r="B43" s="78"/>
    </row>
    <row r="44" spans="1:9" x14ac:dyDescent="0.25">
      <c r="A44" s="23" t="s">
        <v>250</v>
      </c>
      <c r="B44" s="64">
        <f>B16/27.5*22%</f>
        <v>2209.3200000000002</v>
      </c>
    </row>
    <row r="45" spans="1:9" ht="15.75" thickBot="1" x14ac:dyDescent="0.3">
      <c r="A45" s="63" t="s">
        <v>251</v>
      </c>
      <c r="B45" s="65">
        <f>B16*0.02</f>
        <v>5523.3</v>
      </c>
    </row>
  </sheetData>
  <mergeCells count="13">
    <mergeCell ref="G29:I29"/>
    <mergeCell ref="A31:B31"/>
    <mergeCell ref="A36:B36"/>
    <mergeCell ref="D36:E36"/>
    <mergeCell ref="A43:B43"/>
    <mergeCell ref="A20:B20"/>
    <mergeCell ref="D20:E20"/>
    <mergeCell ref="G20:I20"/>
    <mergeCell ref="A1:B1"/>
    <mergeCell ref="A2:B3"/>
    <mergeCell ref="D2:E2"/>
    <mergeCell ref="G2:J13"/>
    <mergeCell ref="A4:B4"/>
  </mergeCells>
  <conditionalFormatting sqref="B24">
    <cfRule type="cellIs" dxfId="2694" priority="29" operator="equal">
      <formula>"NO"</formula>
    </cfRule>
    <cfRule type="cellIs" dxfId="2693" priority="30" operator="equal">
      <formula>"YES"</formula>
    </cfRule>
  </conditionalFormatting>
  <conditionalFormatting sqref="E38">
    <cfRule type="cellIs" dxfId="2692" priority="27" operator="equal">
      <formula>"YES"</formula>
    </cfRule>
    <cfRule type="cellIs" dxfId="2691" priority="28" operator="equal">
      <formula>"NO"</formula>
    </cfRule>
  </conditionalFormatting>
  <conditionalFormatting sqref="B23">
    <cfRule type="cellIs" dxfId="2690" priority="25" operator="equal">
      <formula>"NO"</formula>
    </cfRule>
    <cfRule type="cellIs" dxfId="2689" priority="26" operator="equal">
      <formula>"YES"</formula>
    </cfRule>
  </conditionalFormatting>
  <conditionalFormatting sqref="B12">
    <cfRule type="containsText" dxfId="2688" priority="11" operator="containsText" text="Low">
      <formula>NOT(ISERROR(SEARCH("Low",B12)))</formula>
    </cfRule>
    <cfRule type="containsText" dxfId="2687" priority="12" operator="containsText" text="Medium">
      <formula>NOT(ISERROR(SEARCH("Medium",B12)))</formula>
    </cfRule>
    <cfRule type="containsText" dxfId="2686" priority="13" operator="containsText" text="High">
      <formula>NOT(ISERROR(SEARCH("High",B12)))</formula>
    </cfRule>
  </conditionalFormatting>
  <conditionalFormatting sqref="B29">
    <cfRule type="cellIs" dxfId="2685" priority="21" operator="between">
      <formula>10%</formula>
      <formula>11.9%</formula>
    </cfRule>
    <cfRule type="cellIs" dxfId="2684" priority="23" operator="lessThan">
      <formula>0.1</formula>
    </cfRule>
    <cfRule type="cellIs" dxfId="2683" priority="24" operator="greaterThanOrEqual">
      <formula>0.12</formula>
    </cfRule>
  </conditionalFormatting>
  <conditionalFormatting sqref="B42">
    <cfRule type="cellIs" dxfId="2682" priority="19" operator="between">
      <formula>0.1</formula>
      <formula>0.1199</formula>
    </cfRule>
    <cfRule type="cellIs" dxfId="2681" priority="20" operator="lessThan">
      <formula>0.1</formula>
    </cfRule>
    <cfRule type="cellIs" dxfId="2680" priority="22" operator="greaterThanOrEqual">
      <formula>0.12</formula>
    </cfRule>
  </conditionalFormatting>
  <conditionalFormatting sqref="B10">
    <cfRule type="containsText" dxfId="2679" priority="14" operator="containsText" text="Full">
      <formula>NOT(ISERROR(SEARCH("Full",B10)))</formula>
    </cfRule>
    <cfRule type="containsText" dxfId="2678" priority="15" operator="containsText" text="Heavy">
      <formula>NOT(ISERROR(SEARCH("Heavy",B10)))</formula>
    </cfRule>
    <cfRule type="containsText" dxfId="2677" priority="16" operator="containsText" text="Medium">
      <formula>NOT(ISERROR(SEARCH("Medium",B10)))</formula>
    </cfRule>
    <cfRule type="containsText" dxfId="2676" priority="17" operator="containsText" text="Light">
      <formula>NOT(ISERROR(SEARCH("Light",B10)))</formula>
    </cfRule>
    <cfRule type="containsText" dxfId="2675" priority="18" operator="containsText" text="None">
      <formula>NOT(ISERROR(SEARCH("None",B10)))</formula>
    </cfRule>
  </conditionalFormatting>
  <conditionalFormatting sqref="B28">
    <cfRule type="cellIs" dxfId="2674" priority="31" operator="lessThan">
      <formula>$B$8*100</formula>
    </cfRule>
    <cfRule type="cellIs" dxfId="2673" priority="32" operator="greaterThanOrEqual">
      <formula>$B$8*100</formula>
    </cfRule>
  </conditionalFormatting>
  <conditionalFormatting sqref="B41">
    <cfRule type="cellIs" dxfId="2672" priority="33" operator="lessThan">
      <formula>$B$8*100</formula>
    </cfRule>
    <cfRule type="cellIs" dxfId="2671" priority="34" operator="greaterThan">
      <formula>$B$8*100</formula>
    </cfRule>
    <cfRule type="cellIs" dxfId="2670" priority="35" operator="greaterThan">
      <formula>$B$8*100</formula>
    </cfRule>
  </conditionalFormatting>
  <conditionalFormatting sqref="B38">
    <cfRule type="cellIs" dxfId="2669" priority="9" operator="equal">
      <formula>"YES"</formula>
    </cfRule>
    <cfRule type="cellIs" dxfId="2668" priority="10" operator="equal">
      <formula>"NO"</formula>
    </cfRule>
  </conditionalFormatting>
  <conditionalFormatting sqref="E23:E26">
    <cfRule type="cellIs" dxfId="2667" priority="5" operator="equal">
      <formula>"NO"</formula>
    </cfRule>
    <cfRule type="cellIs" dxfId="2666" priority="6" operator="equal">
      <formula>"YES"</formula>
    </cfRule>
  </conditionalFormatting>
  <conditionalFormatting sqref="E29">
    <cfRule type="cellIs" dxfId="2665" priority="2" operator="between">
      <formula>10%</formula>
      <formula>12%</formula>
    </cfRule>
    <cfRule type="cellIs" dxfId="2664" priority="3" operator="lessThan">
      <formula>0.1</formula>
    </cfRule>
    <cfRule type="cellIs" dxfId="2663" priority="4" operator="greaterThan">
      <formula>0.12</formula>
    </cfRule>
  </conditionalFormatting>
  <conditionalFormatting sqref="E28">
    <cfRule type="cellIs" dxfId="2662" priority="7" operator="lessThan">
      <formula>$B$8*100</formula>
    </cfRule>
    <cfRule type="cellIs" dxfId="2661" priority="8" operator="greaterThan">
      <formula>$B$8*100</formula>
    </cfRule>
  </conditionalFormatting>
  <conditionalFormatting sqref="B44:B45">
    <cfRule type="cellIs" dxfId="2660" priority="1" operator="greaterThan">
      <formula>0</formula>
    </cfRule>
  </conditionalFormatting>
  <hyperlinks>
    <hyperlink ref="A32" r:id="rId1" display="https://www.zillow.com/homes/recently_sold/" xr:uid="{C4CBF8A9-8FFD-4C4F-A6E0-94759C42AC2F}"/>
    <hyperlink ref="A21" r:id="rId2" xr:uid="{FAF97796-BAFE-420F-96CF-1F97C2F22C2A}"/>
    <hyperlink ref="A25" r:id="rId3" display="www.mortgagecalculator.org" xr:uid="{6AD34233-BEF5-470A-BCC0-5FA46A54219A}"/>
    <hyperlink ref="A12" r:id="rId4" xr:uid="{CB3476C5-8D98-4659-A6D0-AE1912B2831E}"/>
  </hyperlinks>
  <pageMargins left="0.7" right="0.7" top="0.75" bottom="0.75" header="0.3" footer="0.3"/>
  <drawing r:id="rId5"/>
  <legacyDrawing r:id="rId6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ABEF2-1F19-4B9D-8E45-9AB0D11628CB}">
  <sheetPr codeName="Sheet163">
    <tabColor rgb="FFFF0000"/>
  </sheetPr>
  <dimension ref="A1:P47"/>
  <sheetViews>
    <sheetView topLeftCell="A3" workbookViewId="0">
      <selection activeCell="A22" sqref="A22: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258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2221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203915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33315</v>
      </c>
      <c r="D15" s="2"/>
      <c r="E15" s="3"/>
    </row>
    <row r="16" spans="1:10" x14ac:dyDescent="0.25">
      <c r="A16" s="7" t="s">
        <v>20</v>
      </c>
      <c r="B16" s="17">
        <f>B15+B13</f>
        <v>237230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8303.0500000000011</v>
      </c>
      <c r="D17" s="19"/>
      <c r="E17" s="20"/>
      <c r="P17" s="21"/>
    </row>
    <row r="18" spans="1:16" x14ac:dyDescent="0.25">
      <c r="A18" s="7" t="s">
        <v>253</v>
      </c>
      <c r="B18" s="17">
        <f>B13*0.04</f>
        <v>8156.6</v>
      </c>
      <c r="D18" s="66"/>
      <c r="E18" s="67"/>
      <c r="P18" s="21"/>
    </row>
    <row r="19" spans="1:16" x14ac:dyDescent="0.25">
      <c r="A19" s="7" t="s">
        <v>254</v>
      </c>
      <c r="B19" s="17">
        <f>B17+B18</f>
        <v>16459.650000000001</v>
      </c>
      <c r="D19" s="66"/>
      <c r="E19" s="67"/>
      <c r="P19" s="21"/>
    </row>
    <row r="20" spans="1:16" x14ac:dyDescent="0.25">
      <c r="A20" s="7" t="s">
        <v>23</v>
      </c>
      <c r="B20" s="17">
        <f>B16-B17</f>
        <v>228926.95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1810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2372.3000000000002</v>
      </c>
      <c r="D24" s="7" t="s">
        <v>77</v>
      </c>
      <c r="E24" s="17">
        <f>B16*0.01</f>
        <v>2372.3000000000002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1702.55</v>
      </c>
      <c r="D27" s="7" t="s">
        <v>38</v>
      </c>
      <c r="E27" s="35">
        <f>B27</f>
        <v>1702.55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2155.0500000000002</v>
      </c>
      <c r="D28" s="7" t="s">
        <v>41</v>
      </c>
      <c r="E28" s="17">
        <f>E27+I27+I36</f>
        <v>2155.0500000000002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-345.05000000000018</v>
      </c>
      <c r="D30" s="7" t="s">
        <v>43</v>
      </c>
      <c r="E30" s="44">
        <f>E23-E27-I27-I36+I26+I35</f>
        <v>-924.05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-0.25156063464289957</v>
      </c>
      <c r="D31" s="46" t="s">
        <v>44</v>
      </c>
      <c r="E31" s="47">
        <f>(E30*12)/B19</f>
        <v>-0.67368382681284211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90.5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90.5</v>
      </c>
    </row>
    <row r="34" spans="1:9" x14ac:dyDescent="0.25">
      <c r="A34" s="26" t="s">
        <v>49</v>
      </c>
      <c r="B34" s="8">
        <f>B16</f>
        <v>237230</v>
      </c>
      <c r="G34" s="27" t="s">
        <v>50</v>
      </c>
      <c r="H34" s="48">
        <v>0.05</v>
      </c>
      <c r="I34" s="49">
        <f>$B$23*H34</f>
        <v>90.5</v>
      </c>
    </row>
    <row r="35" spans="1:9" x14ac:dyDescent="0.25">
      <c r="A35" s="7" t="s">
        <v>51</v>
      </c>
      <c r="B35" s="17">
        <f>B34-B20</f>
        <v>8303.0499999999884</v>
      </c>
      <c r="G35" s="27" t="s">
        <v>52</v>
      </c>
      <c r="H35" s="48">
        <v>0.1</v>
      </c>
      <c r="I35" s="49">
        <f>$B$23*H35</f>
        <v>181</v>
      </c>
    </row>
    <row r="36" spans="1:9" ht="15.75" thickBot="1" x14ac:dyDescent="0.3">
      <c r="A36" s="7" t="s">
        <v>53</v>
      </c>
      <c r="B36" s="50">
        <f>B35/B17</f>
        <v>0.99999999999999845</v>
      </c>
      <c r="G36" s="36" t="s">
        <v>39</v>
      </c>
      <c r="H36" s="37"/>
      <c r="I36" s="51">
        <f>SUM(I32:I35)</f>
        <v>452.5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162.15658958333336</v>
      </c>
      <c r="D41" s="58"/>
      <c r="E41" s="61"/>
    </row>
    <row r="42" spans="1:9" x14ac:dyDescent="0.25">
      <c r="A42" s="7" t="s">
        <v>58</v>
      </c>
      <c r="B42" s="17">
        <f>B27-B41</f>
        <v>1540.3934104166665</v>
      </c>
      <c r="D42" s="58"/>
      <c r="E42" s="61"/>
    </row>
    <row r="43" spans="1:9" x14ac:dyDescent="0.25">
      <c r="A43" s="7" t="s">
        <v>59</v>
      </c>
      <c r="B43" s="43">
        <f>B23-B42-I27-I36</f>
        <v>-182.89341041666648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-0.26432707559270358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1897.84</v>
      </c>
    </row>
    <row r="47" spans="1:9" ht="15.75" thickBot="1" x14ac:dyDescent="0.3">
      <c r="A47" s="63" t="s">
        <v>251</v>
      </c>
      <c r="B47" s="65">
        <f>B16*0.02</f>
        <v>4744.6000000000004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659" priority="29" operator="equal">
      <formula>"NO"</formula>
    </cfRule>
    <cfRule type="cellIs" dxfId="2658" priority="30" operator="equal">
      <formula>"YES"</formula>
    </cfRule>
  </conditionalFormatting>
  <conditionalFormatting sqref="E40">
    <cfRule type="cellIs" dxfId="2657" priority="27" operator="equal">
      <formula>"YES"</formula>
    </cfRule>
    <cfRule type="cellIs" dxfId="2656" priority="28" operator="equal">
      <formula>"NO"</formula>
    </cfRule>
  </conditionalFormatting>
  <conditionalFormatting sqref="B25">
    <cfRule type="cellIs" dxfId="2655" priority="25" operator="equal">
      <formula>"NO"</formula>
    </cfRule>
    <cfRule type="cellIs" dxfId="2654" priority="26" operator="equal">
      <formula>"YES"</formula>
    </cfRule>
  </conditionalFormatting>
  <conditionalFormatting sqref="B12">
    <cfRule type="containsText" dxfId="2653" priority="11" operator="containsText" text="Low">
      <formula>NOT(ISERROR(SEARCH("Low",B12)))</formula>
    </cfRule>
    <cfRule type="containsText" dxfId="2652" priority="12" operator="containsText" text="Medium">
      <formula>NOT(ISERROR(SEARCH("Medium",B12)))</formula>
    </cfRule>
    <cfRule type="containsText" dxfId="2651" priority="13" operator="containsText" text="High">
      <formula>NOT(ISERROR(SEARCH("High",B12)))</formula>
    </cfRule>
  </conditionalFormatting>
  <conditionalFormatting sqref="B31">
    <cfRule type="cellIs" dxfId="2650" priority="21" operator="between">
      <formula>10%</formula>
      <formula>11.9%</formula>
    </cfRule>
    <cfRule type="cellIs" dxfId="2649" priority="23" operator="lessThan">
      <formula>0.1</formula>
    </cfRule>
    <cfRule type="cellIs" dxfId="2648" priority="24" operator="greaterThanOrEqual">
      <formula>0.12</formula>
    </cfRule>
  </conditionalFormatting>
  <conditionalFormatting sqref="B44">
    <cfRule type="cellIs" dxfId="2647" priority="19" operator="between">
      <formula>0.1</formula>
      <formula>0.1199</formula>
    </cfRule>
    <cfRule type="cellIs" dxfId="2646" priority="20" operator="lessThan">
      <formula>0.1</formula>
    </cfRule>
    <cfRule type="cellIs" dxfId="2645" priority="22" operator="greaterThanOrEqual">
      <formula>0.12</formula>
    </cfRule>
  </conditionalFormatting>
  <conditionalFormatting sqref="B10">
    <cfRule type="containsText" dxfId="2644" priority="14" operator="containsText" text="Full">
      <formula>NOT(ISERROR(SEARCH("Full",B10)))</formula>
    </cfRule>
    <cfRule type="containsText" dxfId="2643" priority="15" operator="containsText" text="Heavy">
      <formula>NOT(ISERROR(SEARCH("Heavy",B10)))</formula>
    </cfRule>
    <cfRule type="containsText" dxfId="2642" priority="16" operator="containsText" text="Medium">
      <formula>NOT(ISERROR(SEARCH("Medium",B10)))</formula>
    </cfRule>
    <cfRule type="containsText" dxfId="2641" priority="17" operator="containsText" text="Light">
      <formula>NOT(ISERROR(SEARCH("Light",B10)))</formula>
    </cfRule>
    <cfRule type="containsText" dxfId="2640" priority="18" operator="containsText" text="None">
      <formula>NOT(ISERROR(SEARCH("None",B10)))</formula>
    </cfRule>
  </conditionalFormatting>
  <conditionalFormatting sqref="B30">
    <cfRule type="cellIs" dxfId="2639" priority="31" operator="lessThan">
      <formula>$B$8*100</formula>
    </cfRule>
    <cfRule type="cellIs" dxfId="2638" priority="32" operator="greaterThanOrEqual">
      <formula>$B$8*100</formula>
    </cfRule>
  </conditionalFormatting>
  <conditionalFormatting sqref="B43">
    <cfRule type="cellIs" dxfId="2637" priority="33" operator="lessThan">
      <formula>$B$8*100</formula>
    </cfRule>
    <cfRule type="cellIs" dxfId="2636" priority="34" operator="greaterThan">
      <formula>$B$8*100</formula>
    </cfRule>
    <cfRule type="cellIs" dxfId="2635" priority="35" operator="greaterThan">
      <formula>$B$8*100</formula>
    </cfRule>
  </conditionalFormatting>
  <conditionalFormatting sqref="B40">
    <cfRule type="cellIs" dxfId="2634" priority="9" operator="equal">
      <formula>"YES"</formula>
    </cfRule>
    <cfRule type="cellIs" dxfId="2633" priority="10" operator="equal">
      <formula>"NO"</formula>
    </cfRule>
  </conditionalFormatting>
  <conditionalFormatting sqref="E25:E28">
    <cfRule type="cellIs" dxfId="2632" priority="5" operator="equal">
      <formula>"NO"</formula>
    </cfRule>
    <cfRule type="cellIs" dxfId="2631" priority="6" operator="equal">
      <formula>"YES"</formula>
    </cfRule>
  </conditionalFormatting>
  <conditionalFormatting sqref="E31">
    <cfRule type="cellIs" dxfId="2630" priority="2" operator="between">
      <formula>10%</formula>
      <formula>12%</formula>
    </cfRule>
    <cfRule type="cellIs" dxfId="2629" priority="3" operator="lessThan">
      <formula>0.1</formula>
    </cfRule>
    <cfRule type="cellIs" dxfId="2628" priority="4" operator="greaterThan">
      <formula>0.12</formula>
    </cfRule>
  </conditionalFormatting>
  <conditionalFormatting sqref="E30">
    <cfRule type="cellIs" dxfId="2627" priority="7" operator="lessThan">
      <formula>$B$8*100</formula>
    </cfRule>
    <cfRule type="cellIs" dxfId="2626" priority="8" operator="greaterThan">
      <formula>$B$8*100</formula>
    </cfRule>
  </conditionalFormatting>
  <conditionalFormatting sqref="B46:B47">
    <cfRule type="cellIs" dxfId="2625" priority="1" operator="greaterThan">
      <formula>0</formula>
    </cfRule>
  </conditionalFormatting>
  <hyperlinks>
    <hyperlink ref="A34" r:id="rId1" display="https://www.zillow.com/homes/recently_sold/" xr:uid="{00DB48F7-3318-4ADB-9697-61EB54C02AC1}"/>
    <hyperlink ref="A23" r:id="rId2" xr:uid="{4C8D5D7B-8EB5-4FF7-8FC7-279CB8BE373B}"/>
    <hyperlink ref="A27" r:id="rId3" display="www.mortgagecalculator.org" xr:uid="{C03570B1-4FC9-401F-84F4-45A8D5C66701}"/>
    <hyperlink ref="A12" r:id="rId4" xr:uid="{09913419-5EF7-403D-BF25-8438F01508D8}"/>
  </hyperlinks>
  <pageMargins left="0.7" right="0.7" top="0.75" bottom="0.75" header="0.3" footer="0.3"/>
  <drawing r:id="rId5"/>
  <legacyDrawing r:id="rId6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6D13-7A08-4446-8162-FB46B0A0E4F4}">
  <sheetPr codeName="Sheet164">
    <tabColor rgb="FFFF0000"/>
  </sheetPr>
  <dimension ref="A1:P47"/>
  <sheetViews>
    <sheetView topLeftCell="A13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327500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2712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135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278375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278375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13918.75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11135</v>
      </c>
      <c r="D18" s="66"/>
      <c r="E18" s="67"/>
      <c r="P18" s="21"/>
    </row>
    <row r="19" spans="1:16" x14ac:dyDescent="0.25">
      <c r="A19" s="7" t="s">
        <v>254</v>
      </c>
      <c r="B19" s="17">
        <f>B17+B18</f>
        <v>25053.75</v>
      </c>
      <c r="D19" s="66"/>
      <c r="E19" s="67"/>
      <c r="P19" s="21"/>
    </row>
    <row r="20" spans="1:16" x14ac:dyDescent="0.25">
      <c r="A20" s="7" t="s">
        <v>23</v>
      </c>
      <c r="B20" s="17">
        <f>B16-B17</f>
        <v>264456.25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1834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2783.75</v>
      </c>
      <c r="D24" s="7" t="s">
        <v>77</v>
      </c>
      <c r="E24" s="17">
        <f>B16*0.01</f>
        <v>2783.75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1844.48</v>
      </c>
      <c r="D27" s="7" t="s">
        <v>38</v>
      </c>
      <c r="E27" s="35">
        <f>B27</f>
        <v>1844.48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2302.98</v>
      </c>
      <c r="D28" s="7" t="s">
        <v>41</v>
      </c>
      <c r="E28" s="17">
        <f>E27+I27+I36</f>
        <v>2302.98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-468.98</v>
      </c>
      <c r="D30" s="7" t="s">
        <v>43</v>
      </c>
      <c r="E30" s="44">
        <f>E23-E27-I27-I36+I26+I35</f>
        <v>-1069.58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-0.22462745098039216</v>
      </c>
      <c r="D31" s="46" t="s">
        <v>44</v>
      </c>
      <c r="E31" s="47">
        <f>(E30*12)/B19</f>
        <v>-0.51229696153270465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91.7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91.7</v>
      </c>
    </row>
    <row r="34" spans="1:9" x14ac:dyDescent="0.25">
      <c r="A34" s="26" t="s">
        <v>49</v>
      </c>
      <c r="B34" s="8">
        <f>B16</f>
        <v>278375</v>
      </c>
      <c r="G34" s="27" t="s">
        <v>50</v>
      </c>
      <c r="H34" s="48">
        <v>0.05</v>
      </c>
      <c r="I34" s="49">
        <f>$B$23*H34</f>
        <v>91.7</v>
      </c>
    </row>
    <row r="35" spans="1:9" x14ac:dyDescent="0.25">
      <c r="A35" s="7" t="s">
        <v>51</v>
      </c>
      <c r="B35" s="17">
        <f>B34-B20</f>
        <v>13918.75</v>
      </c>
      <c r="G35" s="27" t="s">
        <v>52</v>
      </c>
      <c r="H35" s="48">
        <v>0.1</v>
      </c>
      <c r="I35" s="49">
        <f>$B$23*H35</f>
        <v>183.4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458.5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187.32317708333335</v>
      </c>
      <c r="D41" s="58"/>
      <c r="E41" s="61"/>
    </row>
    <row r="42" spans="1:9" x14ac:dyDescent="0.25">
      <c r="A42" s="7" t="s">
        <v>58</v>
      </c>
      <c r="B42" s="17">
        <f>B27-B41</f>
        <v>1657.1568229166667</v>
      </c>
      <c r="D42" s="58"/>
      <c r="E42" s="61"/>
    </row>
    <row r="43" spans="1:9" x14ac:dyDescent="0.25">
      <c r="A43" s="7" t="s">
        <v>59</v>
      </c>
      <c r="B43" s="43">
        <f>B23-B42-I27-I36</f>
        <v>-281.65682291666667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-0.24282941176470588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2227</v>
      </c>
    </row>
    <row r="47" spans="1:9" ht="15.75" thickBot="1" x14ac:dyDescent="0.3">
      <c r="A47" s="63" t="s">
        <v>251</v>
      </c>
      <c r="B47" s="65">
        <f>B16*0.02</f>
        <v>5567.5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624" priority="29" operator="equal">
      <formula>"NO"</formula>
    </cfRule>
    <cfRule type="cellIs" dxfId="2623" priority="30" operator="equal">
      <formula>"YES"</formula>
    </cfRule>
  </conditionalFormatting>
  <conditionalFormatting sqref="E40">
    <cfRule type="cellIs" dxfId="2622" priority="27" operator="equal">
      <formula>"YES"</formula>
    </cfRule>
    <cfRule type="cellIs" dxfId="2621" priority="28" operator="equal">
      <formula>"NO"</formula>
    </cfRule>
  </conditionalFormatting>
  <conditionalFormatting sqref="B25">
    <cfRule type="cellIs" dxfId="2620" priority="25" operator="equal">
      <formula>"NO"</formula>
    </cfRule>
    <cfRule type="cellIs" dxfId="2619" priority="26" operator="equal">
      <formula>"YES"</formula>
    </cfRule>
  </conditionalFormatting>
  <conditionalFormatting sqref="B12">
    <cfRule type="containsText" dxfId="2618" priority="11" operator="containsText" text="Low">
      <formula>NOT(ISERROR(SEARCH("Low",B12)))</formula>
    </cfRule>
    <cfRule type="containsText" dxfId="2617" priority="12" operator="containsText" text="Medium">
      <formula>NOT(ISERROR(SEARCH("Medium",B12)))</formula>
    </cfRule>
    <cfRule type="containsText" dxfId="2616" priority="13" operator="containsText" text="High">
      <formula>NOT(ISERROR(SEARCH("High",B12)))</formula>
    </cfRule>
  </conditionalFormatting>
  <conditionalFormatting sqref="B31">
    <cfRule type="cellIs" dxfId="2615" priority="21" operator="between">
      <formula>10%</formula>
      <formula>11.9%</formula>
    </cfRule>
    <cfRule type="cellIs" dxfId="2614" priority="23" operator="lessThan">
      <formula>0.1</formula>
    </cfRule>
    <cfRule type="cellIs" dxfId="2613" priority="24" operator="greaterThanOrEqual">
      <formula>0.12</formula>
    </cfRule>
  </conditionalFormatting>
  <conditionalFormatting sqref="B44">
    <cfRule type="cellIs" dxfId="2612" priority="19" operator="between">
      <formula>0.1</formula>
      <formula>0.1199</formula>
    </cfRule>
    <cfRule type="cellIs" dxfId="2611" priority="20" operator="lessThan">
      <formula>0.1</formula>
    </cfRule>
    <cfRule type="cellIs" dxfId="2610" priority="22" operator="greaterThanOrEqual">
      <formula>0.12</formula>
    </cfRule>
  </conditionalFormatting>
  <conditionalFormatting sqref="B10">
    <cfRule type="containsText" dxfId="2609" priority="14" operator="containsText" text="Full">
      <formula>NOT(ISERROR(SEARCH("Full",B10)))</formula>
    </cfRule>
    <cfRule type="containsText" dxfId="2608" priority="15" operator="containsText" text="Heavy">
      <formula>NOT(ISERROR(SEARCH("Heavy",B10)))</formula>
    </cfRule>
    <cfRule type="containsText" dxfId="2607" priority="16" operator="containsText" text="Medium">
      <formula>NOT(ISERROR(SEARCH("Medium",B10)))</formula>
    </cfRule>
    <cfRule type="containsText" dxfId="2606" priority="17" operator="containsText" text="Light">
      <formula>NOT(ISERROR(SEARCH("Light",B10)))</formula>
    </cfRule>
    <cfRule type="containsText" dxfId="2605" priority="18" operator="containsText" text="None">
      <formula>NOT(ISERROR(SEARCH("None",B10)))</formula>
    </cfRule>
  </conditionalFormatting>
  <conditionalFormatting sqref="B30">
    <cfRule type="cellIs" dxfId="2604" priority="31" operator="lessThan">
      <formula>$B$8*100</formula>
    </cfRule>
    <cfRule type="cellIs" dxfId="2603" priority="32" operator="greaterThanOrEqual">
      <formula>$B$8*100</formula>
    </cfRule>
  </conditionalFormatting>
  <conditionalFormatting sqref="B43">
    <cfRule type="cellIs" dxfId="2602" priority="33" operator="lessThan">
      <formula>$B$8*100</formula>
    </cfRule>
    <cfRule type="cellIs" dxfId="2601" priority="34" operator="greaterThan">
      <formula>$B$8*100</formula>
    </cfRule>
    <cfRule type="cellIs" dxfId="2600" priority="35" operator="greaterThan">
      <formula>$B$8*100</formula>
    </cfRule>
  </conditionalFormatting>
  <conditionalFormatting sqref="B40">
    <cfRule type="cellIs" dxfId="2599" priority="9" operator="equal">
      <formula>"YES"</formula>
    </cfRule>
    <cfRule type="cellIs" dxfId="2598" priority="10" operator="equal">
      <formula>"NO"</formula>
    </cfRule>
  </conditionalFormatting>
  <conditionalFormatting sqref="E25:E28">
    <cfRule type="cellIs" dxfId="2597" priority="5" operator="equal">
      <formula>"NO"</formula>
    </cfRule>
    <cfRule type="cellIs" dxfId="2596" priority="6" operator="equal">
      <formula>"YES"</formula>
    </cfRule>
  </conditionalFormatting>
  <conditionalFormatting sqref="E31">
    <cfRule type="cellIs" dxfId="2595" priority="2" operator="between">
      <formula>10%</formula>
      <formula>12%</formula>
    </cfRule>
    <cfRule type="cellIs" dxfId="2594" priority="3" operator="lessThan">
      <formula>0.1</formula>
    </cfRule>
    <cfRule type="cellIs" dxfId="2593" priority="4" operator="greaterThan">
      <formula>0.12</formula>
    </cfRule>
  </conditionalFormatting>
  <conditionalFormatting sqref="E30">
    <cfRule type="cellIs" dxfId="2592" priority="7" operator="lessThan">
      <formula>$B$8*100</formula>
    </cfRule>
    <cfRule type="cellIs" dxfId="2591" priority="8" operator="greaterThan">
      <formula>$B$8*100</formula>
    </cfRule>
  </conditionalFormatting>
  <conditionalFormatting sqref="B46:B47">
    <cfRule type="cellIs" dxfId="2590" priority="1" operator="greaterThan">
      <formula>0</formula>
    </cfRule>
  </conditionalFormatting>
  <hyperlinks>
    <hyperlink ref="A34" r:id="rId1" display="https://www.zillow.com/homes/recently_sold/" xr:uid="{266122CF-30EE-46F4-B159-376DC972D910}"/>
    <hyperlink ref="A23" r:id="rId2" xr:uid="{342B4791-839F-4F42-B6C9-A847E835E68E}"/>
    <hyperlink ref="A27" r:id="rId3" display="www.mortgagecalculator.org" xr:uid="{F04AAE8E-A9C5-403D-9933-77FA37C850F7}"/>
    <hyperlink ref="A12" r:id="rId4" xr:uid="{CDD2F658-FB5C-46EC-AA64-41A7485A7CA7}"/>
  </hyperlinks>
  <pageMargins left="0.7" right="0.7" top="0.75" bottom="0.75" header="0.3" footer="0.3"/>
  <drawing r:id="rId5"/>
  <legacyDrawing r:id="rId6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56CD6-9C97-499E-86AB-A098A37C94AD}">
  <sheetPr codeName="Sheet165">
    <tabColor rgb="FFFF0000"/>
  </sheetPr>
  <dimension ref="A1:P47"/>
  <sheetViews>
    <sheetView topLeftCell="A13" workbookViewId="0">
      <selection activeCell="D32" sqref="D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275000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259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233750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233750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11687.5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9350</v>
      </c>
      <c r="D18" s="66"/>
      <c r="E18" s="67"/>
      <c r="P18" s="21"/>
    </row>
    <row r="19" spans="1:16" x14ac:dyDescent="0.25">
      <c r="A19" s="7" t="s">
        <v>254</v>
      </c>
      <c r="B19" s="17">
        <f>B17+B18</f>
        <v>21037.5</v>
      </c>
      <c r="D19" s="66"/>
      <c r="E19" s="67"/>
      <c r="P19" s="21"/>
    </row>
    <row r="20" spans="1:16" x14ac:dyDescent="0.25">
      <c r="A20" s="7" t="s">
        <v>23</v>
      </c>
      <c r="B20" s="17">
        <f>B16-B17</f>
        <v>222062.5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1514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2337.5</v>
      </c>
      <c r="D24" s="7" t="s">
        <v>77</v>
      </c>
      <c r="E24" s="17">
        <f>B16*0.01</f>
        <v>2337.5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1560.95</v>
      </c>
      <c r="D27" s="7" t="s">
        <v>38</v>
      </c>
      <c r="E27" s="35">
        <f>B27</f>
        <v>1560.95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1939.45</v>
      </c>
      <c r="D28" s="7" t="s">
        <v>41</v>
      </c>
      <c r="E28" s="17">
        <f>E27+I27+I36</f>
        <v>1939.45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-425.45000000000005</v>
      </c>
      <c r="D30" s="7" t="s">
        <v>43</v>
      </c>
      <c r="E30" s="44">
        <f>E23-E27-I27-I36+I26+I35</f>
        <v>-738.05000000000007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-0.24268092691622106</v>
      </c>
      <c r="D31" s="46" t="s">
        <v>44</v>
      </c>
      <c r="E31" s="47">
        <f>(E30*12)/B19</f>
        <v>-0.42099108734402851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75.7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75.7</v>
      </c>
    </row>
    <row r="34" spans="1:9" x14ac:dyDescent="0.25">
      <c r="A34" s="26" t="s">
        <v>49</v>
      </c>
      <c r="B34" s="8">
        <f>B16</f>
        <v>233750</v>
      </c>
      <c r="G34" s="27" t="s">
        <v>50</v>
      </c>
      <c r="H34" s="48">
        <v>0.05</v>
      </c>
      <c r="I34" s="49">
        <f>$B$23*H34</f>
        <v>75.7</v>
      </c>
    </row>
    <row r="35" spans="1:9" x14ac:dyDescent="0.25">
      <c r="A35" s="7" t="s">
        <v>51</v>
      </c>
      <c r="B35" s="17">
        <f>B34-B20</f>
        <v>11687.5</v>
      </c>
      <c r="G35" s="27" t="s">
        <v>52</v>
      </c>
      <c r="H35" s="48">
        <v>0.1</v>
      </c>
      <c r="I35" s="49">
        <f>$B$23*H35</f>
        <v>151.4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378.5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157.29427083333334</v>
      </c>
      <c r="D41" s="58"/>
      <c r="E41" s="61"/>
    </row>
    <row r="42" spans="1:9" x14ac:dyDescent="0.25">
      <c r="A42" s="7" t="s">
        <v>58</v>
      </c>
      <c r="B42" s="17">
        <f>B27-B41</f>
        <v>1403.6557291666668</v>
      </c>
      <c r="D42" s="58"/>
      <c r="E42" s="61"/>
    </row>
    <row r="43" spans="1:9" x14ac:dyDescent="0.25">
      <c r="A43" s="7" t="s">
        <v>59</v>
      </c>
      <c r="B43" s="43">
        <f>B23-B42-I27-I36</f>
        <v>-268.15572916666679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-0.27532566844919798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1870</v>
      </c>
    </row>
    <row r="47" spans="1:9" ht="15.75" thickBot="1" x14ac:dyDescent="0.3">
      <c r="A47" s="63" t="s">
        <v>251</v>
      </c>
      <c r="B47" s="65">
        <f>B16*0.02</f>
        <v>4675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589" priority="29" operator="equal">
      <formula>"NO"</formula>
    </cfRule>
    <cfRule type="cellIs" dxfId="2588" priority="30" operator="equal">
      <formula>"YES"</formula>
    </cfRule>
  </conditionalFormatting>
  <conditionalFormatting sqref="E40">
    <cfRule type="cellIs" dxfId="2587" priority="27" operator="equal">
      <formula>"YES"</formula>
    </cfRule>
    <cfRule type="cellIs" dxfId="2586" priority="28" operator="equal">
      <formula>"NO"</formula>
    </cfRule>
  </conditionalFormatting>
  <conditionalFormatting sqref="B25">
    <cfRule type="cellIs" dxfId="2585" priority="25" operator="equal">
      <formula>"NO"</formula>
    </cfRule>
    <cfRule type="cellIs" dxfId="2584" priority="26" operator="equal">
      <formula>"YES"</formula>
    </cfRule>
  </conditionalFormatting>
  <conditionalFormatting sqref="B12">
    <cfRule type="containsText" dxfId="2583" priority="11" operator="containsText" text="Low">
      <formula>NOT(ISERROR(SEARCH("Low",B12)))</formula>
    </cfRule>
    <cfRule type="containsText" dxfId="2582" priority="12" operator="containsText" text="Medium">
      <formula>NOT(ISERROR(SEARCH("Medium",B12)))</formula>
    </cfRule>
    <cfRule type="containsText" dxfId="2581" priority="13" operator="containsText" text="High">
      <formula>NOT(ISERROR(SEARCH("High",B12)))</formula>
    </cfRule>
  </conditionalFormatting>
  <conditionalFormatting sqref="B31">
    <cfRule type="cellIs" dxfId="2580" priority="21" operator="between">
      <formula>10%</formula>
      <formula>11.9%</formula>
    </cfRule>
    <cfRule type="cellIs" dxfId="2579" priority="23" operator="lessThan">
      <formula>0.1</formula>
    </cfRule>
    <cfRule type="cellIs" dxfId="2578" priority="24" operator="greaterThanOrEqual">
      <formula>0.12</formula>
    </cfRule>
  </conditionalFormatting>
  <conditionalFormatting sqref="B44">
    <cfRule type="cellIs" dxfId="2577" priority="19" operator="between">
      <formula>0.1</formula>
      <formula>0.1199</formula>
    </cfRule>
    <cfRule type="cellIs" dxfId="2576" priority="20" operator="lessThan">
      <formula>0.1</formula>
    </cfRule>
    <cfRule type="cellIs" dxfId="2575" priority="22" operator="greaterThanOrEqual">
      <formula>0.12</formula>
    </cfRule>
  </conditionalFormatting>
  <conditionalFormatting sqref="B10">
    <cfRule type="containsText" dxfId="2574" priority="14" operator="containsText" text="Full">
      <formula>NOT(ISERROR(SEARCH("Full",B10)))</formula>
    </cfRule>
    <cfRule type="containsText" dxfId="2573" priority="15" operator="containsText" text="Heavy">
      <formula>NOT(ISERROR(SEARCH("Heavy",B10)))</formula>
    </cfRule>
    <cfRule type="containsText" dxfId="2572" priority="16" operator="containsText" text="Medium">
      <formula>NOT(ISERROR(SEARCH("Medium",B10)))</formula>
    </cfRule>
    <cfRule type="containsText" dxfId="2571" priority="17" operator="containsText" text="Light">
      <formula>NOT(ISERROR(SEARCH("Light",B10)))</formula>
    </cfRule>
    <cfRule type="containsText" dxfId="2570" priority="18" operator="containsText" text="None">
      <formula>NOT(ISERROR(SEARCH("None",B10)))</formula>
    </cfRule>
  </conditionalFormatting>
  <conditionalFormatting sqref="B30">
    <cfRule type="cellIs" dxfId="2569" priority="31" operator="lessThan">
      <formula>$B$8*100</formula>
    </cfRule>
    <cfRule type="cellIs" dxfId="2568" priority="32" operator="greaterThanOrEqual">
      <formula>$B$8*100</formula>
    </cfRule>
  </conditionalFormatting>
  <conditionalFormatting sqref="B43">
    <cfRule type="cellIs" dxfId="2567" priority="33" operator="lessThan">
      <formula>$B$8*100</formula>
    </cfRule>
    <cfRule type="cellIs" dxfId="2566" priority="34" operator="greaterThan">
      <formula>$B$8*100</formula>
    </cfRule>
    <cfRule type="cellIs" dxfId="2565" priority="35" operator="greaterThan">
      <formula>$B$8*100</formula>
    </cfRule>
  </conditionalFormatting>
  <conditionalFormatting sqref="B40">
    <cfRule type="cellIs" dxfId="2564" priority="9" operator="equal">
      <formula>"YES"</formula>
    </cfRule>
    <cfRule type="cellIs" dxfId="2563" priority="10" operator="equal">
      <formula>"NO"</formula>
    </cfRule>
  </conditionalFormatting>
  <conditionalFormatting sqref="E25:E28">
    <cfRule type="cellIs" dxfId="2562" priority="5" operator="equal">
      <formula>"NO"</formula>
    </cfRule>
    <cfRule type="cellIs" dxfId="2561" priority="6" operator="equal">
      <formula>"YES"</formula>
    </cfRule>
  </conditionalFormatting>
  <conditionalFormatting sqref="E31">
    <cfRule type="cellIs" dxfId="2560" priority="2" operator="between">
      <formula>10%</formula>
      <formula>12%</formula>
    </cfRule>
    <cfRule type="cellIs" dxfId="2559" priority="3" operator="lessThan">
      <formula>0.1</formula>
    </cfRule>
    <cfRule type="cellIs" dxfId="2558" priority="4" operator="greaterThan">
      <formula>0.12</formula>
    </cfRule>
  </conditionalFormatting>
  <conditionalFormatting sqref="E30">
    <cfRule type="cellIs" dxfId="2557" priority="7" operator="lessThan">
      <formula>$B$8*100</formula>
    </cfRule>
    <cfRule type="cellIs" dxfId="2556" priority="8" operator="greaterThan">
      <formula>$B$8*100</formula>
    </cfRule>
  </conditionalFormatting>
  <conditionalFormatting sqref="B46:B47">
    <cfRule type="cellIs" dxfId="2555" priority="1" operator="greaterThan">
      <formula>0</formula>
    </cfRule>
  </conditionalFormatting>
  <hyperlinks>
    <hyperlink ref="A34" r:id="rId1" display="https://www.zillow.com/homes/recently_sold/" xr:uid="{F47EAB56-0677-4BF9-BA61-68E3B88A8B83}"/>
    <hyperlink ref="A23" r:id="rId2" xr:uid="{E9A9D02A-09C0-43AC-8A16-0EC3552A32B2}"/>
    <hyperlink ref="A27" r:id="rId3" display="www.mortgagecalculator.org" xr:uid="{6DCA83AF-8F88-4A8A-A77E-0BF72A596334}"/>
    <hyperlink ref="A12" r:id="rId4" xr:uid="{68A21B8F-E19F-425C-BFBE-3CB50686F1F9}"/>
  </hyperlinks>
  <pageMargins left="0.7" right="0.7" top="0.75" bottom="0.75" header="0.3" footer="0.3"/>
  <drawing r:id="rId5"/>
  <legacyDrawing r:id="rId6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C1AC-DA07-435B-8BCF-5BABD2CADEE1}">
  <sheetPr codeName="Sheet166">
    <tabColor rgb="FFFF0000"/>
  </sheetPr>
  <dimension ref="A1:P47"/>
  <sheetViews>
    <sheetView topLeftCell="A10" workbookViewId="0">
      <selection activeCell="B19" sqref="B1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1460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152915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152915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7645.75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6116.6</v>
      </c>
      <c r="D18" s="66"/>
      <c r="E18" s="67"/>
      <c r="P18" s="21"/>
    </row>
    <row r="19" spans="1:16" x14ac:dyDescent="0.25">
      <c r="A19" s="7" t="s">
        <v>254</v>
      </c>
      <c r="B19" s="17">
        <f>B17+B18</f>
        <v>13762.35</v>
      </c>
      <c r="D19" s="66"/>
      <c r="E19" s="67"/>
      <c r="P19" s="21"/>
    </row>
    <row r="20" spans="1:16" x14ac:dyDescent="0.25">
      <c r="A20" s="7" t="s">
        <v>23</v>
      </c>
      <c r="B20" s="17">
        <f>B16-B17</f>
        <v>145269.25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1153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1529.15</v>
      </c>
      <c r="D24" s="7" t="s">
        <v>77</v>
      </c>
      <c r="E24" s="17">
        <f>B16*0.01</f>
        <v>1529.15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1059.78</v>
      </c>
      <c r="D27" s="7" t="s">
        <v>38</v>
      </c>
      <c r="E27" s="35">
        <f>B27</f>
        <v>1059.78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1348.03</v>
      </c>
      <c r="D28" s="7" t="s">
        <v>41</v>
      </c>
      <c r="E28" s="17">
        <f>E27+I27+I36</f>
        <v>1348.03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-195.02999999999997</v>
      </c>
      <c r="D30" s="7" t="s">
        <v>43</v>
      </c>
      <c r="E30" s="44">
        <f>E23-E27-I27-I36+I26+I35</f>
        <v>-182.72999999999996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-0.17005525945786873</v>
      </c>
      <c r="D31" s="46" t="s">
        <v>44</v>
      </c>
      <c r="E31" s="47">
        <f>(E30*12)/B19</f>
        <v>-0.15933034692476206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57.650000000000006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57.650000000000006</v>
      </c>
    </row>
    <row r="34" spans="1:9" x14ac:dyDescent="0.25">
      <c r="A34" s="26" t="s">
        <v>49</v>
      </c>
      <c r="B34" s="8">
        <f>B16</f>
        <v>152915</v>
      </c>
      <c r="G34" s="27" t="s">
        <v>50</v>
      </c>
      <c r="H34" s="48">
        <v>0.05</v>
      </c>
      <c r="I34" s="49">
        <f>$B$23*H34</f>
        <v>57.650000000000006</v>
      </c>
    </row>
    <row r="35" spans="1:9" x14ac:dyDescent="0.25">
      <c r="A35" s="7" t="s">
        <v>51</v>
      </c>
      <c r="B35" s="17">
        <f>B34-B20</f>
        <v>7645.75</v>
      </c>
      <c r="G35" s="27" t="s">
        <v>52</v>
      </c>
      <c r="H35" s="48">
        <v>0.1</v>
      </c>
      <c r="I35" s="49">
        <f>$B$23*H35</f>
        <v>115.30000000000001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288.25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102.89905208333334</v>
      </c>
      <c r="D41" s="58"/>
      <c r="E41" s="61"/>
    </row>
    <row r="42" spans="1:9" x14ac:dyDescent="0.25">
      <c r="A42" s="7" t="s">
        <v>58</v>
      </c>
      <c r="B42" s="17">
        <f>B27-B41</f>
        <v>956.88094791666663</v>
      </c>
      <c r="D42" s="58"/>
      <c r="E42" s="61"/>
    </row>
    <row r="43" spans="1:9" x14ac:dyDescent="0.25">
      <c r="A43" s="7" t="s">
        <v>59</v>
      </c>
      <c r="B43" s="43">
        <f>B23-B42-I27-I36</f>
        <v>-92.130947916666628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-0.14459946702416368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1223.3200000000002</v>
      </c>
    </row>
    <row r="47" spans="1:9" ht="15.75" thickBot="1" x14ac:dyDescent="0.3">
      <c r="A47" s="63" t="s">
        <v>251</v>
      </c>
      <c r="B47" s="65">
        <f>B16*0.02</f>
        <v>3058.3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554" priority="29" operator="equal">
      <formula>"NO"</formula>
    </cfRule>
    <cfRule type="cellIs" dxfId="2553" priority="30" operator="equal">
      <formula>"YES"</formula>
    </cfRule>
  </conditionalFormatting>
  <conditionalFormatting sqref="E40">
    <cfRule type="cellIs" dxfId="2552" priority="27" operator="equal">
      <formula>"YES"</formula>
    </cfRule>
    <cfRule type="cellIs" dxfId="2551" priority="28" operator="equal">
      <formula>"NO"</formula>
    </cfRule>
  </conditionalFormatting>
  <conditionalFormatting sqref="B25">
    <cfRule type="cellIs" dxfId="2550" priority="25" operator="equal">
      <formula>"NO"</formula>
    </cfRule>
    <cfRule type="cellIs" dxfId="2549" priority="26" operator="equal">
      <formula>"YES"</formula>
    </cfRule>
  </conditionalFormatting>
  <conditionalFormatting sqref="B12">
    <cfRule type="containsText" dxfId="2548" priority="11" operator="containsText" text="Low">
      <formula>NOT(ISERROR(SEARCH("Low",B12)))</formula>
    </cfRule>
    <cfRule type="containsText" dxfId="2547" priority="12" operator="containsText" text="Medium">
      <formula>NOT(ISERROR(SEARCH("Medium",B12)))</formula>
    </cfRule>
    <cfRule type="containsText" dxfId="2546" priority="13" operator="containsText" text="High">
      <formula>NOT(ISERROR(SEARCH("High",B12)))</formula>
    </cfRule>
  </conditionalFormatting>
  <conditionalFormatting sqref="B31">
    <cfRule type="cellIs" dxfId="2545" priority="21" operator="between">
      <formula>10%</formula>
      <formula>11.9%</formula>
    </cfRule>
    <cfRule type="cellIs" dxfId="2544" priority="23" operator="lessThan">
      <formula>0.1</formula>
    </cfRule>
    <cfRule type="cellIs" dxfId="2543" priority="24" operator="greaterThanOrEqual">
      <formula>0.12</formula>
    </cfRule>
  </conditionalFormatting>
  <conditionalFormatting sqref="B44">
    <cfRule type="cellIs" dxfId="2542" priority="19" operator="between">
      <formula>0.1</formula>
      <formula>0.1199</formula>
    </cfRule>
    <cfRule type="cellIs" dxfId="2541" priority="20" operator="lessThan">
      <formula>0.1</formula>
    </cfRule>
    <cfRule type="cellIs" dxfId="2540" priority="22" operator="greaterThanOrEqual">
      <formula>0.12</formula>
    </cfRule>
  </conditionalFormatting>
  <conditionalFormatting sqref="B10">
    <cfRule type="containsText" dxfId="2539" priority="14" operator="containsText" text="Full">
      <formula>NOT(ISERROR(SEARCH("Full",B10)))</formula>
    </cfRule>
    <cfRule type="containsText" dxfId="2538" priority="15" operator="containsText" text="Heavy">
      <formula>NOT(ISERROR(SEARCH("Heavy",B10)))</formula>
    </cfRule>
    <cfRule type="containsText" dxfId="2537" priority="16" operator="containsText" text="Medium">
      <formula>NOT(ISERROR(SEARCH("Medium",B10)))</formula>
    </cfRule>
    <cfRule type="containsText" dxfId="2536" priority="17" operator="containsText" text="Light">
      <formula>NOT(ISERROR(SEARCH("Light",B10)))</formula>
    </cfRule>
    <cfRule type="containsText" dxfId="2535" priority="18" operator="containsText" text="None">
      <formula>NOT(ISERROR(SEARCH("None",B10)))</formula>
    </cfRule>
  </conditionalFormatting>
  <conditionalFormatting sqref="B30">
    <cfRule type="cellIs" dxfId="2534" priority="31" operator="lessThan">
      <formula>$B$8*100</formula>
    </cfRule>
    <cfRule type="cellIs" dxfId="2533" priority="32" operator="greaterThanOrEqual">
      <formula>$B$8*100</formula>
    </cfRule>
  </conditionalFormatting>
  <conditionalFormatting sqref="B43">
    <cfRule type="cellIs" dxfId="2532" priority="33" operator="lessThan">
      <formula>$B$8*100</formula>
    </cfRule>
    <cfRule type="cellIs" dxfId="2531" priority="34" operator="greaterThan">
      <formula>$B$8*100</formula>
    </cfRule>
    <cfRule type="cellIs" dxfId="2530" priority="35" operator="greaterThan">
      <formula>$B$8*100</formula>
    </cfRule>
  </conditionalFormatting>
  <conditionalFormatting sqref="B40">
    <cfRule type="cellIs" dxfId="2529" priority="9" operator="equal">
      <formula>"YES"</formula>
    </cfRule>
    <cfRule type="cellIs" dxfId="2528" priority="10" operator="equal">
      <formula>"NO"</formula>
    </cfRule>
  </conditionalFormatting>
  <conditionalFormatting sqref="E25:E28">
    <cfRule type="cellIs" dxfId="2527" priority="5" operator="equal">
      <formula>"NO"</formula>
    </cfRule>
    <cfRule type="cellIs" dxfId="2526" priority="6" operator="equal">
      <formula>"YES"</formula>
    </cfRule>
  </conditionalFormatting>
  <conditionalFormatting sqref="E31">
    <cfRule type="cellIs" dxfId="2525" priority="2" operator="between">
      <formula>10%</formula>
      <formula>12%</formula>
    </cfRule>
    <cfRule type="cellIs" dxfId="2524" priority="3" operator="lessThan">
      <formula>0.1</formula>
    </cfRule>
    <cfRule type="cellIs" dxfId="2523" priority="4" operator="greaterThan">
      <formula>0.12</formula>
    </cfRule>
  </conditionalFormatting>
  <conditionalFormatting sqref="E30">
    <cfRule type="cellIs" dxfId="2522" priority="7" operator="lessThan">
      <formula>$B$8*100</formula>
    </cfRule>
    <cfRule type="cellIs" dxfId="2521" priority="8" operator="greaterThan">
      <formula>$B$8*100</formula>
    </cfRule>
  </conditionalFormatting>
  <conditionalFormatting sqref="B46:B47">
    <cfRule type="cellIs" dxfId="2520" priority="1" operator="greaterThan">
      <formula>0</formula>
    </cfRule>
  </conditionalFormatting>
  <hyperlinks>
    <hyperlink ref="A34" r:id="rId1" display="https://www.zillow.com/homes/recently_sold/" xr:uid="{C1A86E1B-423C-4B07-B405-D40F1C0CF097}"/>
    <hyperlink ref="A23" r:id="rId2" xr:uid="{4D4DC72C-A256-4E25-994E-E917A108BBAF}"/>
    <hyperlink ref="A27" r:id="rId3" display="www.mortgagecalculator.org" xr:uid="{979FE766-12F2-485B-9B43-E01D879D6127}"/>
    <hyperlink ref="A12" r:id="rId4" xr:uid="{88F321E9-BBAC-449B-9197-224E344353DA}"/>
  </hyperlinks>
  <pageMargins left="0.7" right="0.7" top="0.75" bottom="0.75" header="0.3" footer="0.3"/>
  <drawing r:id="rId5"/>
  <legacyDrawing r:id="rId6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A6409-867A-4CA9-89B9-A95DF3F4578B}">
  <sheetPr codeName="Sheet167">
    <tabColor rgb="FFFF0000"/>
  </sheetPr>
  <dimension ref="A1:P47"/>
  <sheetViews>
    <sheetView topLeftCell="A9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1597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259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182750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182750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9137.5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7310</v>
      </c>
      <c r="D18" s="66"/>
      <c r="E18" s="67"/>
      <c r="P18" s="21"/>
    </row>
    <row r="19" spans="1:16" x14ac:dyDescent="0.25">
      <c r="A19" s="7" t="s">
        <v>254</v>
      </c>
      <c r="B19" s="17">
        <f>B17+B18</f>
        <v>16447.5</v>
      </c>
      <c r="D19" s="66"/>
      <c r="E19" s="67"/>
      <c r="P19" s="21"/>
    </row>
    <row r="20" spans="1:16" x14ac:dyDescent="0.25">
      <c r="A20" s="7" t="s">
        <v>23</v>
      </c>
      <c r="B20" s="17">
        <f>B16-B17</f>
        <v>173612.5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1406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1827.5</v>
      </c>
      <c r="D24" s="7" t="s">
        <v>77</v>
      </c>
      <c r="E24" s="17">
        <f>B16*0.01</f>
        <v>1827.5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1246.44</v>
      </c>
      <c r="D27" s="7" t="s">
        <v>38</v>
      </c>
      <c r="E27" s="35">
        <f>B27</f>
        <v>1246.44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1597.94</v>
      </c>
      <c r="D28" s="7" t="s">
        <v>41</v>
      </c>
      <c r="E28" s="17">
        <f>E27+I27+I36</f>
        <v>1597.94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-191.94000000000005</v>
      </c>
      <c r="D30" s="7" t="s">
        <v>43</v>
      </c>
      <c r="E30" s="44">
        <f>E23-E27-I27-I36+I26+I35</f>
        <v>-407.34000000000003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-0.14003830369357048</v>
      </c>
      <c r="D31" s="46" t="s">
        <v>44</v>
      </c>
      <c r="E31" s="47">
        <f>(E30*12)/B19</f>
        <v>-0.29719288645690833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70.3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70.3</v>
      </c>
    </row>
    <row r="34" spans="1:9" x14ac:dyDescent="0.25">
      <c r="A34" s="26" t="s">
        <v>49</v>
      </c>
      <c r="B34" s="8">
        <f>B16</f>
        <v>182750</v>
      </c>
      <c r="G34" s="27" t="s">
        <v>50</v>
      </c>
      <c r="H34" s="48">
        <v>0.05</v>
      </c>
      <c r="I34" s="49">
        <f>$B$23*H34</f>
        <v>70.3</v>
      </c>
    </row>
    <row r="35" spans="1:9" x14ac:dyDescent="0.25">
      <c r="A35" s="7" t="s">
        <v>51</v>
      </c>
      <c r="B35" s="17">
        <f>B34-B20</f>
        <v>9137.5</v>
      </c>
      <c r="G35" s="27" t="s">
        <v>52</v>
      </c>
      <c r="H35" s="48">
        <v>0.1</v>
      </c>
      <c r="I35" s="49">
        <f>$B$23*H35</f>
        <v>140.6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351.5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122.97552083333335</v>
      </c>
      <c r="D41" s="58"/>
      <c r="E41" s="61"/>
    </row>
    <row r="42" spans="1:9" x14ac:dyDescent="0.25">
      <c r="A42" s="7" t="s">
        <v>58</v>
      </c>
      <c r="B42" s="17">
        <f>B27-B41</f>
        <v>1123.4644791666667</v>
      </c>
      <c r="D42" s="58"/>
      <c r="E42" s="61"/>
    </row>
    <row r="43" spans="1:9" x14ac:dyDescent="0.25">
      <c r="A43" s="7" t="s">
        <v>59</v>
      </c>
      <c r="B43" s="43">
        <f>B23-B42-I27-I36</f>
        <v>-68.964479166666706</v>
      </c>
      <c r="D43" s="58"/>
      <c r="E43" s="61"/>
    </row>
    <row r="44" spans="1:9" ht="15.75" thickBot="1" x14ac:dyDescent="0.3">
      <c r="A44" s="46" t="s">
        <v>44</v>
      </c>
      <c r="B44" s="47">
        <f>(B43*12)/B17</f>
        <v>-9.0568946648426865E-2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1462</v>
      </c>
    </row>
    <row r="47" spans="1:9" ht="15.75" thickBot="1" x14ac:dyDescent="0.3">
      <c r="A47" s="63" t="s">
        <v>251</v>
      </c>
      <c r="B47" s="65">
        <f>B16*0.02</f>
        <v>3655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519" priority="29" operator="equal">
      <formula>"NO"</formula>
    </cfRule>
    <cfRule type="cellIs" dxfId="2518" priority="30" operator="equal">
      <formula>"YES"</formula>
    </cfRule>
  </conditionalFormatting>
  <conditionalFormatting sqref="E40">
    <cfRule type="cellIs" dxfId="2517" priority="27" operator="equal">
      <formula>"YES"</formula>
    </cfRule>
    <cfRule type="cellIs" dxfId="2516" priority="28" operator="equal">
      <formula>"NO"</formula>
    </cfRule>
  </conditionalFormatting>
  <conditionalFormatting sqref="B25">
    <cfRule type="cellIs" dxfId="2515" priority="25" operator="equal">
      <formula>"NO"</formula>
    </cfRule>
    <cfRule type="cellIs" dxfId="2514" priority="26" operator="equal">
      <formula>"YES"</formula>
    </cfRule>
  </conditionalFormatting>
  <conditionalFormatting sqref="B12">
    <cfRule type="containsText" dxfId="2513" priority="11" operator="containsText" text="Low">
      <formula>NOT(ISERROR(SEARCH("Low",B12)))</formula>
    </cfRule>
    <cfRule type="containsText" dxfId="2512" priority="12" operator="containsText" text="Medium">
      <formula>NOT(ISERROR(SEARCH("Medium",B12)))</formula>
    </cfRule>
    <cfRule type="containsText" dxfId="2511" priority="13" operator="containsText" text="High">
      <formula>NOT(ISERROR(SEARCH("High",B12)))</formula>
    </cfRule>
  </conditionalFormatting>
  <conditionalFormatting sqref="B31">
    <cfRule type="cellIs" dxfId="2510" priority="21" operator="between">
      <formula>10%</formula>
      <formula>11.9%</formula>
    </cfRule>
    <cfRule type="cellIs" dxfId="2509" priority="23" operator="lessThan">
      <formula>0.1</formula>
    </cfRule>
    <cfRule type="cellIs" dxfId="2508" priority="24" operator="greaterThanOrEqual">
      <formula>0.12</formula>
    </cfRule>
  </conditionalFormatting>
  <conditionalFormatting sqref="B44">
    <cfRule type="cellIs" dxfId="2507" priority="19" operator="between">
      <formula>0.1</formula>
      <formula>0.1199</formula>
    </cfRule>
    <cfRule type="cellIs" dxfId="2506" priority="20" operator="lessThan">
      <formula>0.1</formula>
    </cfRule>
    <cfRule type="cellIs" dxfId="2505" priority="22" operator="greaterThanOrEqual">
      <formula>0.12</formula>
    </cfRule>
  </conditionalFormatting>
  <conditionalFormatting sqref="B10">
    <cfRule type="containsText" dxfId="2504" priority="14" operator="containsText" text="Full">
      <formula>NOT(ISERROR(SEARCH("Full",B10)))</formula>
    </cfRule>
    <cfRule type="containsText" dxfId="2503" priority="15" operator="containsText" text="Heavy">
      <formula>NOT(ISERROR(SEARCH("Heavy",B10)))</formula>
    </cfRule>
    <cfRule type="containsText" dxfId="2502" priority="16" operator="containsText" text="Medium">
      <formula>NOT(ISERROR(SEARCH("Medium",B10)))</formula>
    </cfRule>
    <cfRule type="containsText" dxfId="2501" priority="17" operator="containsText" text="Light">
      <formula>NOT(ISERROR(SEARCH("Light",B10)))</formula>
    </cfRule>
    <cfRule type="containsText" dxfId="2500" priority="18" operator="containsText" text="None">
      <formula>NOT(ISERROR(SEARCH("None",B10)))</formula>
    </cfRule>
  </conditionalFormatting>
  <conditionalFormatting sqref="B30">
    <cfRule type="cellIs" dxfId="2499" priority="31" operator="lessThan">
      <formula>$B$8*100</formula>
    </cfRule>
    <cfRule type="cellIs" dxfId="2498" priority="32" operator="greaterThanOrEqual">
      <formula>$B$8*100</formula>
    </cfRule>
  </conditionalFormatting>
  <conditionalFormatting sqref="B43">
    <cfRule type="cellIs" dxfId="2497" priority="33" operator="lessThan">
      <formula>$B$8*100</formula>
    </cfRule>
    <cfRule type="cellIs" dxfId="2496" priority="34" operator="greaterThan">
      <formula>$B$8*100</formula>
    </cfRule>
    <cfRule type="cellIs" dxfId="2495" priority="35" operator="greaterThan">
      <formula>$B$8*100</formula>
    </cfRule>
  </conditionalFormatting>
  <conditionalFormatting sqref="B40">
    <cfRule type="cellIs" dxfId="2494" priority="9" operator="equal">
      <formula>"YES"</formula>
    </cfRule>
    <cfRule type="cellIs" dxfId="2493" priority="10" operator="equal">
      <formula>"NO"</formula>
    </cfRule>
  </conditionalFormatting>
  <conditionalFormatting sqref="E25:E28">
    <cfRule type="cellIs" dxfId="2492" priority="5" operator="equal">
      <formula>"NO"</formula>
    </cfRule>
    <cfRule type="cellIs" dxfId="2491" priority="6" operator="equal">
      <formula>"YES"</formula>
    </cfRule>
  </conditionalFormatting>
  <conditionalFormatting sqref="E31">
    <cfRule type="cellIs" dxfId="2490" priority="2" operator="between">
      <formula>10%</formula>
      <formula>12%</formula>
    </cfRule>
    <cfRule type="cellIs" dxfId="2489" priority="3" operator="lessThan">
      <formula>0.1</formula>
    </cfRule>
    <cfRule type="cellIs" dxfId="2488" priority="4" operator="greaterThan">
      <formula>0.12</formula>
    </cfRule>
  </conditionalFormatting>
  <conditionalFormatting sqref="E30">
    <cfRule type="cellIs" dxfId="2487" priority="7" operator="lessThan">
      <formula>$B$8*100</formula>
    </cfRule>
    <cfRule type="cellIs" dxfId="2486" priority="8" operator="greaterThan">
      <formula>$B$8*100</formula>
    </cfRule>
  </conditionalFormatting>
  <conditionalFormatting sqref="B46:B47">
    <cfRule type="cellIs" dxfId="2485" priority="1" operator="greaterThan">
      <formula>0</formula>
    </cfRule>
  </conditionalFormatting>
  <hyperlinks>
    <hyperlink ref="A34" r:id="rId1" display="https://www.zillow.com/homes/recently_sold/" xr:uid="{25BAC32D-46BB-40D7-A964-220838A97630}"/>
    <hyperlink ref="A23" r:id="rId2" xr:uid="{52D485BF-F1ED-4BA3-BE26-707A4F07E76D}"/>
    <hyperlink ref="A27" r:id="rId3" display="www.mortgagecalculator.org" xr:uid="{6243E5E0-05AC-4005-9C90-4164BC5DF6CF}"/>
    <hyperlink ref="A12" r:id="rId4" xr:uid="{FB42975C-6407-4B11-91B5-13DFE7191EB7}"/>
  </hyperlinks>
  <pageMargins left="0.7" right="0.7" top="0.75" bottom="0.75" header="0.3" footer="0.3"/>
  <drawing r:id="rId5"/>
  <legacyDrawing r:id="rId6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ED04-A5F2-4712-BA37-DB5AFC191AD2}">
  <sheetPr codeName="Sheet168">
    <tabColor rgb="FFFF0000"/>
  </sheetPr>
  <dimension ref="A1:P47"/>
  <sheetViews>
    <sheetView topLeftCell="A11" workbookViewId="0">
      <selection activeCell="A30" sqref="A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161415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161415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8070.75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6456.6</v>
      </c>
      <c r="D18" s="66"/>
      <c r="E18" s="67"/>
      <c r="P18" s="21"/>
    </row>
    <row r="19" spans="1:16" x14ac:dyDescent="0.25">
      <c r="A19" s="7" t="s">
        <v>254</v>
      </c>
      <c r="B19" s="17">
        <f>B17+B18</f>
        <v>14527.35</v>
      </c>
      <c r="D19" s="66"/>
      <c r="E19" s="67"/>
      <c r="P19" s="21"/>
    </row>
    <row r="20" spans="1:16" x14ac:dyDescent="0.25">
      <c r="A20" s="7" t="s">
        <v>23</v>
      </c>
      <c r="B20" s="17">
        <f>B16-B17</f>
        <v>153344.25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1377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1614.15</v>
      </c>
      <c r="D24" s="7" t="s">
        <v>77</v>
      </c>
      <c r="E24" s="17">
        <f>B16*0.01</f>
        <v>1614.15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1134.42</v>
      </c>
      <c r="D27" s="7" t="s">
        <v>38</v>
      </c>
      <c r="E27" s="35">
        <f>B27</f>
        <v>1134.42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1478.67</v>
      </c>
      <c r="D28" s="7" t="s">
        <v>41</v>
      </c>
      <c r="E28" s="17">
        <f>E27+I27+I36</f>
        <v>1478.67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-101.67000000000007</v>
      </c>
      <c r="D30" s="7" t="s">
        <v>43</v>
      </c>
      <c r="E30" s="44">
        <f>E23-E27-I27-I36+I26+I35</f>
        <v>-290.97000000000003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-8.3982281696248856E-2</v>
      </c>
      <c r="D31" s="46" t="s">
        <v>44</v>
      </c>
      <c r="E31" s="47">
        <f>(E30*12)/B19</f>
        <v>-0.24034940990614256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68.850000000000009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68.850000000000009</v>
      </c>
    </row>
    <row r="34" spans="1:9" x14ac:dyDescent="0.25">
      <c r="A34" s="26" t="s">
        <v>49</v>
      </c>
      <c r="B34" s="8">
        <f>B16</f>
        <v>161415</v>
      </c>
      <c r="G34" s="27" t="s">
        <v>50</v>
      </c>
      <c r="H34" s="48">
        <v>0.05</v>
      </c>
      <c r="I34" s="49">
        <f>$B$23*H34</f>
        <v>68.850000000000009</v>
      </c>
    </row>
    <row r="35" spans="1:9" x14ac:dyDescent="0.25">
      <c r="A35" s="7" t="s">
        <v>51</v>
      </c>
      <c r="B35" s="17">
        <f>B34-B20</f>
        <v>8070.75</v>
      </c>
      <c r="G35" s="27" t="s">
        <v>52</v>
      </c>
      <c r="H35" s="48">
        <v>0.1</v>
      </c>
      <c r="I35" s="49">
        <f>$B$23*H35</f>
        <v>137.70000000000002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344.25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108.61884375000001</v>
      </c>
      <c r="D41" s="58"/>
      <c r="E41" s="61"/>
    </row>
    <row r="42" spans="1:9" x14ac:dyDescent="0.25">
      <c r="A42" s="7" t="s">
        <v>58</v>
      </c>
      <c r="B42" s="17">
        <f>B27-B41</f>
        <v>1025.8011562500001</v>
      </c>
      <c r="D42" s="58"/>
      <c r="E42" s="61"/>
    </row>
    <row r="43" spans="1:9" x14ac:dyDescent="0.25">
      <c r="A43" s="7" t="s">
        <v>59</v>
      </c>
      <c r="B43" s="43">
        <f>B23-B42-I27-I36</f>
        <v>6.9488437499999236</v>
      </c>
      <c r="D43" s="58"/>
      <c r="E43" s="61"/>
    </row>
    <row r="44" spans="1:9" ht="15.75" thickBot="1" x14ac:dyDescent="0.3">
      <c r="A44" s="46" t="s">
        <v>44</v>
      </c>
      <c r="B44" s="47">
        <f>(B43*12)/B17</f>
        <v>1.0331892946752047E-2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1291.3200000000002</v>
      </c>
    </row>
    <row r="47" spans="1:9" ht="15.75" thickBot="1" x14ac:dyDescent="0.3">
      <c r="A47" s="63" t="s">
        <v>251</v>
      </c>
      <c r="B47" s="65">
        <f>B16*0.02</f>
        <v>3228.3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484" priority="29" operator="equal">
      <formula>"NO"</formula>
    </cfRule>
    <cfRule type="cellIs" dxfId="2483" priority="30" operator="equal">
      <formula>"YES"</formula>
    </cfRule>
  </conditionalFormatting>
  <conditionalFormatting sqref="E40">
    <cfRule type="cellIs" dxfId="2482" priority="27" operator="equal">
      <formula>"YES"</formula>
    </cfRule>
    <cfRule type="cellIs" dxfId="2481" priority="28" operator="equal">
      <formula>"NO"</formula>
    </cfRule>
  </conditionalFormatting>
  <conditionalFormatting sqref="B25">
    <cfRule type="cellIs" dxfId="2480" priority="25" operator="equal">
      <formula>"NO"</formula>
    </cfRule>
    <cfRule type="cellIs" dxfId="2479" priority="26" operator="equal">
      <formula>"YES"</formula>
    </cfRule>
  </conditionalFormatting>
  <conditionalFormatting sqref="B12">
    <cfRule type="containsText" dxfId="2478" priority="11" operator="containsText" text="Low">
      <formula>NOT(ISERROR(SEARCH("Low",B12)))</formula>
    </cfRule>
    <cfRule type="containsText" dxfId="2477" priority="12" operator="containsText" text="Medium">
      <formula>NOT(ISERROR(SEARCH("Medium",B12)))</formula>
    </cfRule>
    <cfRule type="containsText" dxfId="2476" priority="13" operator="containsText" text="High">
      <formula>NOT(ISERROR(SEARCH("High",B12)))</formula>
    </cfRule>
  </conditionalFormatting>
  <conditionalFormatting sqref="B31">
    <cfRule type="cellIs" dxfId="2475" priority="21" operator="between">
      <formula>10%</formula>
      <formula>11.9%</formula>
    </cfRule>
    <cfRule type="cellIs" dxfId="2474" priority="23" operator="lessThan">
      <formula>0.1</formula>
    </cfRule>
    <cfRule type="cellIs" dxfId="2473" priority="24" operator="greaterThanOrEqual">
      <formula>0.12</formula>
    </cfRule>
  </conditionalFormatting>
  <conditionalFormatting sqref="B44">
    <cfRule type="cellIs" dxfId="2472" priority="19" operator="between">
      <formula>0.1</formula>
      <formula>0.1199</formula>
    </cfRule>
    <cfRule type="cellIs" dxfId="2471" priority="20" operator="lessThan">
      <formula>0.1</formula>
    </cfRule>
    <cfRule type="cellIs" dxfId="2470" priority="22" operator="greaterThanOrEqual">
      <formula>0.12</formula>
    </cfRule>
  </conditionalFormatting>
  <conditionalFormatting sqref="B10">
    <cfRule type="containsText" dxfId="2469" priority="14" operator="containsText" text="Full">
      <formula>NOT(ISERROR(SEARCH("Full",B10)))</formula>
    </cfRule>
    <cfRule type="containsText" dxfId="2468" priority="15" operator="containsText" text="Heavy">
      <formula>NOT(ISERROR(SEARCH("Heavy",B10)))</formula>
    </cfRule>
    <cfRule type="containsText" dxfId="2467" priority="16" operator="containsText" text="Medium">
      <formula>NOT(ISERROR(SEARCH("Medium",B10)))</formula>
    </cfRule>
    <cfRule type="containsText" dxfId="2466" priority="17" operator="containsText" text="Light">
      <formula>NOT(ISERROR(SEARCH("Light",B10)))</formula>
    </cfRule>
    <cfRule type="containsText" dxfId="2465" priority="18" operator="containsText" text="None">
      <formula>NOT(ISERROR(SEARCH("None",B10)))</formula>
    </cfRule>
  </conditionalFormatting>
  <conditionalFormatting sqref="B30">
    <cfRule type="cellIs" dxfId="2464" priority="31" operator="lessThan">
      <formula>$B$8*100</formula>
    </cfRule>
    <cfRule type="cellIs" dxfId="2463" priority="32" operator="greaterThanOrEqual">
      <formula>$B$8*100</formula>
    </cfRule>
  </conditionalFormatting>
  <conditionalFormatting sqref="B43">
    <cfRule type="cellIs" dxfId="2462" priority="33" operator="lessThan">
      <formula>$B$8*100</formula>
    </cfRule>
    <cfRule type="cellIs" dxfId="2461" priority="34" operator="greaterThan">
      <formula>$B$8*100</formula>
    </cfRule>
    <cfRule type="cellIs" dxfId="2460" priority="35" operator="greaterThan">
      <formula>$B$8*100</formula>
    </cfRule>
  </conditionalFormatting>
  <conditionalFormatting sqref="B40">
    <cfRule type="cellIs" dxfId="2459" priority="9" operator="equal">
      <formula>"YES"</formula>
    </cfRule>
    <cfRule type="cellIs" dxfId="2458" priority="10" operator="equal">
      <formula>"NO"</formula>
    </cfRule>
  </conditionalFormatting>
  <conditionalFormatting sqref="E25:E28">
    <cfRule type="cellIs" dxfId="2457" priority="5" operator="equal">
      <formula>"NO"</formula>
    </cfRule>
    <cfRule type="cellIs" dxfId="2456" priority="6" operator="equal">
      <formula>"YES"</formula>
    </cfRule>
  </conditionalFormatting>
  <conditionalFormatting sqref="E31">
    <cfRule type="cellIs" dxfId="2455" priority="2" operator="between">
      <formula>10%</formula>
      <formula>12%</formula>
    </cfRule>
    <cfRule type="cellIs" dxfId="2454" priority="3" operator="lessThan">
      <formula>0.1</formula>
    </cfRule>
    <cfRule type="cellIs" dxfId="2453" priority="4" operator="greaterThan">
      <formula>0.12</formula>
    </cfRule>
  </conditionalFormatting>
  <conditionalFormatting sqref="E30">
    <cfRule type="cellIs" dxfId="2452" priority="7" operator="lessThan">
      <formula>$B$8*100</formula>
    </cfRule>
    <cfRule type="cellIs" dxfId="2451" priority="8" operator="greaterThan">
      <formula>$B$8*100</formula>
    </cfRule>
  </conditionalFormatting>
  <conditionalFormatting sqref="B46:B47">
    <cfRule type="cellIs" dxfId="2450" priority="1" operator="greaterThan">
      <formula>0</formula>
    </cfRule>
  </conditionalFormatting>
  <hyperlinks>
    <hyperlink ref="A34" r:id="rId1" display="https://www.zillow.com/homes/recently_sold/" xr:uid="{B6185785-0716-4FFE-B57D-6886416F374E}"/>
    <hyperlink ref="A23" r:id="rId2" xr:uid="{43CF988F-9372-41AB-A0DB-E54B723432DA}"/>
    <hyperlink ref="A27" r:id="rId3" display="www.mortgagecalculator.org" xr:uid="{1D2280CC-F09F-4FDE-9F57-AAB92321C025}"/>
    <hyperlink ref="A12" r:id="rId4" xr:uid="{627A9558-83E8-4D91-A66A-BFFB2083DD01}"/>
  </hyperlinks>
  <pageMargins left="0.7" right="0.7" top="0.75" bottom="0.75" header="0.3" footer="0.3"/>
  <drawing r:id="rId5"/>
  <legacyDrawing r:id="rId6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8603C-8A4F-4AD0-B571-D1C776257140}">
  <sheetPr codeName="Sheet169">
    <tabColor rgb="FFFF0000"/>
  </sheetPr>
  <dimension ref="A1:P47"/>
  <sheetViews>
    <sheetView topLeftCell="A12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230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157250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157250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7862.5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6290</v>
      </c>
      <c r="D18" s="66"/>
      <c r="E18" s="67"/>
      <c r="P18" s="21"/>
    </row>
    <row r="19" spans="1:16" x14ac:dyDescent="0.25">
      <c r="A19" s="7" t="s">
        <v>254</v>
      </c>
      <c r="B19" s="17">
        <f>B17+B18</f>
        <v>14152.5</v>
      </c>
      <c r="D19" s="66"/>
      <c r="E19" s="67"/>
      <c r="P19" s="21"/>
    </row>
    <row r="20" spans="1:16" x14ac:dyDescent="0.25">
      <c r="A20" s="7" t="s">
        <v>23</v>
      </c>
      <c r="B20" s="17">
        <f>B16-B17</f>
        <v>149387.5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1377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1572.5</v>
      </c>
      <c r="D24" s="7" t="s">
        <v>77</v>
      </c>
      <c r="E24" s="17">
        <f>B16*0.01</f>
        <v>1572.5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1093.51</v>
      </c>
      <c r="D27" s="7" t="s">
        <v>38</v>
      </c>
      <c r="E27" s="35">
        <f>B27</f>
        <v>1093.51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1410.22</v>
      </c>
      <c r="D28" s="7" t="s">
        <v>41</v>
      </c>
      <c r="E28" s="17">
        <f>E27+I27+I36</f>
        <v>1410.22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-33.220000000000027</v>
      </c>
      <c r="D30" s="7" t="s">
        <v>43</v>
      </c>
      <c r="E30" s="44">
        <f>E23-E27-I27-I36+I26+I35</f>
        <v>-222.52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-2.8167461579226307E-2</v>
      </c>
      <c r="D31" s="46" t="s">
        <v>44</v>
      </c>
      <c r="E31" s="47">
        <f>(E30*12)/B19</f>
        <v>-0.1886762056173821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41.309999999999995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68.850000000000009</v>
      </c>
    </row>
    <row r="34" spans="1:9" x14ac:dyDescent="0.25">
      <c r="A34" s="26" t="s">
        <v>49</v>
      </c>
      <c r="B34" s="8">
        <f>B16</f>
        <v>157250</v>
      </c>
      <c r="G34" s="27" t="s">
        <v>50</v>
      </c>
      <c r="H34" s="48">
        <v>0.05</v>
      </c>
      <c r="I34" s="49">
        <f>$B$23*H34</f>
        <v>68.850000000000009</v>
      </c>
    </row>
    <row r="35" spans="1:9" x14ac:dyDescent="0.25">
      <c r="A35" s="7" t="s">
        <v>51</v>
      </c>
      <c r="B35" s="17">
        <f>B34-B20</f>
        <v>7862.5</v>
      </c>
      <c r="G35" s="27" t="s">
        <v>52</v>
      </c>
      <c r="H35" s="48">
        <v>0.1</v>
      </c>
      <c r="I35" s="49">
        <f>$B$23*H35</f>
        <v>137.70000000000002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316.71000000000004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105.81614583333334</v>
      </c>
      <c r="D41" s="58"/>
      <c r="E41" s="61"/>
    </row>
    <row r="42" spans="1:9" x14ac:dyDescent="0.25">
      <c r="A42" s="7" t="s">
        <v>58</v>
      </c>
      <c r="B42" s="17">
        <f>B27-B41</f>
        <v>987.6938541666666</v>
      </c>
      <c r="D42" s="58"/>
      <c r="E42" s="61"/>
    </row>
    <row r="43" spans="1:9" x14ac:dyDescent="0.25">
      <c r="A43" s="7" t="s">
        <v>59</v>
      </c>
      <c r="B43" s="43">
        <f>B23-B42-I27-I36</f>
        <v>72.596145833333367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0.11079856915739274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1258</v>
      </c>
    </row>
    <row r="47" spans="1:9" ht="15.75" thickBot="1" x14ac:dyDescent="0.3">
      <c r="A47" s="63" t="s">
        <v>251</v>
      </c>
      <c r="B47" s="65">
        <f>B16*0.02</f>
        <v>3145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449" priority="29" operator="equal">
      <formula>"NO"</formula>
    </cfRule>
    <cfRule type="cellIs" dxfId="2448" priority="30" operator="equal">
      <formula>"YES"</formula>
    </cfRule>
  </conditionalFormatting>
  <conditionalFormatting sqref="E40">
    <cfRule type="cellIs" dxfId="2447" priority="27" operator="equal">
      <formula>"YES"</formula>
    </cfRule>
    <cfRule type="cellIs" dxfId="2446" priority="28" operator="equal">
      <formula>"NO"</formula>
    </cfRule>
  </conditionalFormatting>
  <conditionalFormatting sqref="B25">
    <cfRule type="cellIs" dxfId="2445" priority="25" operator="equal">
      <formula>"NO"</formula>
    </cfRule>
    <cfRule type="cellIs" dxfId="2444" priority="26" operator="equal">
      <formula>"YES"</formula>
    </cfRule>
  </conditionalFormatting>
  <conditionalFormatting sqref="B12">
    <cfRule type="containsText" dxfId="2443" priority="11" operator="containsText" text="Low">
      <formula>NOT(ISERROR(SEARCH("Low",B12)))</formula>
    </cfRule>
    <cfRule type="containsText" dxfId="2442" priority="12" operator="containsText" text="Medium">
      <formula>NOT(ISERROR(SEARCH("Medium",B12)))</formula>
    </cfRule>
    <cfRule type="containsText" dxfId="2441" priority="13" operator="containsText" text="High">
      <formula>NOT(ISERROR(SEARCH("High",B12)))</formula>
    </cfRule>
  </conditionalFormatting>
  <conditionalFormatting sqref="B31">
    <cfRule type="cellIs" dxfId="2440" priority="21" operator="between">
      <formula>10%</formula>
      <formula>11.9%</formula>
    </cfRule>
    <cfRule type="cellIs" dxfId="2439" priority="23" operator="lessThan">
      <formula>0.1</formula>
    </cfRule>
    <cfRule type="cellIs" dxfId="2438" priority="24" operator="greaterThanOrEqual">
      <formula>0.12</formula>
    </cfRule>
  </conditionalFormatting>
  <conditionalFormatting sqref="B44">
    <cfRule type="cellIs" dxfId="2437" priority="19" operator="between">
      <formula>0.1</formula>
      <formula>0.1199</formula>
    </cfRule>
    <cfRule type="cellIs" dxfId="2436" priority="20" operator="lessThan">
      <formula>0.1</formula>
    </cfRule>
    <cfRule type="cellIs" dxfId="2435" priority="22" operator="greaterThanOrEqual">
      <formula>0.12</formula>
    </cfRule>
  </conditionalFormatting>
  <conditionalFormatting sqref="B10">
    <cfRule type="containsText" dxfId="2434" priority="14" operator="containsText" text="Full">
      <formula>NOT(ISERROR(SEARCH("Full",B10)))</formula>
    </cfRule>
    <cfRule type="containsText" dxfId="2433" priority="15" operator="containsText" text="Heavy">
      <formula>NOT(ISERROR(SEARCH("Heavy",B10)))</formula>
    </cfRule>
    <cfRule type="containsText" dxfId="2432" priority="16" operator="containsText" text="Medium">
      <formula>NOT(ISERROR(SEARCH("Medium",B10)))</formula>
    </cfRule>
    <cfRule type="containsText" dxfId="2431" priority="17" operator="containsText" text="Light">
      <formula>NOT(ISERROR(SEARCH("Light",B10)))</formula>
    </cfRule>
    <cfRule type="containsText" dxfId="2430" priority="18" operator="containsText" text="None">
      <formula>NOT(ISERROR(SEARCH("None",B10)))</formula>
    </cfRule>
  </conditionalFormatting>
  <conditionalFormatting sqref="B30">
    <cfRule type="cellIs" dxfId="2429" priority="31" operator="lessThan">
      <formula>$B$8*100</formula>
    </cfRule>
    <cfRule type="cellIs" dxfId="2428" priority="32" operator="greaterThanOrEqual">
      <formula>$B$8*100</formula>
    </cfRule>
  </conditionalFormatting>
  <conditionalFormatting sqref="B43">
    <cfRule type="cellIs" dxfId="2427" priority="33" operator="lessThan">
      <formula>$B$8*100</formula>
    </cfRule>
    <cfRule type="cellIs" dxfId="2426" priority="34" operator="greaterThan">
      <formula>$B$8*100</formula>
    </cfRule>
    <cfRule type="cellIs" dxfId="2425" priority="35" operator="greaterThan">
      <formula>$B$8*100</formula>
    </cfRule>
  </conditionalFormatting>
  <conditionalFormatting sqref="B40">
    <cfRule type="cellIs" dxfId="2424" priority="9" operator="equal">
      <formula>"YES"</formula>
    </cfRule>
    <cfRule type="cellIs" dxfId="2423" priority="10" operator="equal">
      <formula>"NO"</formula>
    </cfRule>
  </conditionalFormatting>
  <conditionalFormatting sqref="E25:E28">
    <cfRule type="cellIs" dxfId="2422" priority="5" operator="equal">
      <formula>"NO"</formula>
    </cfRule>
    <cfRule type="cellIs" dxfId="2421" priority="6" operator="equal">
      <formula>"YES"</formula>
    </cfRule>
  </conditionalFormatting>
  <conditionalFormatting sqref="E31">
    <cfRule type="cellIs" dxfId="2420" priority="2" operator="between">
      <formula>10%</formula>
      <formula>12%</formula>
    </cfRule>
    <cfRule type="cellIs" dxfId="2419" priority="3" operator="lessThan">
      <formula>0.1</formula>
    </cfRule>
    <cfRule type="cellIs" dxfId="2418" priority="4" operator="greaterThan">
      <formula>0.12</formula>
    </cfRule>
  </conditionalFormatting>
  <conditionalFormatting sqref="E30">
    <cfRule type="cellIs" dxfId="2417" priority="7" operator="lessThan">
      <formula>$B$8*100</formula>
    </cfRule>
    <cfRule type="cellIs" dxfId="2416" priority="8" operator="greaterThan">
      <formula>$B$8*100</formula>
    </cfRule>
  </conditionalFormatting>
  <conditionalFormatting sqref="B46:B47">
    <cfRule type="cellIs" dxfId="2415" priority="1" operator="greaterThan">
      <formula>0</formula>
    </cfRule>
  </conditionalFormatting>
  <hyperlinks>
    <hyperlink ref="A34" r:id="rId1" display="https://www.zillow.com/homes/recently_sold/" xr:uid="{4213402B-7CE3-406C-AD8C-CF4A5408F976}"/>
    <hyperlink ref="A23" r:id="rId2" xr:uid="{9953A513-DBC0-4194-863B-D125093EA34A}"/>
    <hyperlink ref="A27" r:id="rId3" display="www.mortgagecalculator.org" xr:uid="{45875BE9-85E1-4832-B6AF-23BFBF2CB3B9}"/>
    <hyperlink ref="A12" r:id="rId4" xr:uid="{2CF57B48-E853-4F9A-B123-31D935892D15}"/>
  </hyperlinks>
  <pageMargins left="0.7" right="0.7" top="0.75" bottom="0.75" header="0.3" footer="0.3"/>
  <drawing r:id="rId5"/>
  <legacyDrawing r:id="rId6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2212F-7987-42C8-81BB-BC65FFF112C0}">
  <sheetPr codeName="Sheet170">
    <tabColor rgb="FFFF0000"/>
  </sheetPr>
  <dimension ref="A1:P47"/>
  <sheetViews>
    <sheetView topLeftCell="A10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247500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2138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264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247500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247500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12375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9900</v>
      </c>
      <c r="D18" s="66"/>
      <c r="E18" s="67"/>
      <c r="P18" s="21"/>
    </row>
    <row r="19" spans="1:16" x14ac:dyDescent="0.25">
      <c r="A19" s="7" t="s">
        <v>254</v>
      </c>
      <c r="B19" s="17">
        <f>B17+B18</f>
        <v>22275</v>
      </c>
      <c r="D19" s="66"/>
      <c r="E19" s="67"/>
      <c r="P19" s="21"/>
    </row>
    <row r="20" spans="1:16" x14ac:dyDescent="0.25">
      <c r="A20" s="7" t="s">
        <v>23</v>
      </c>
      <c r="B20" s="17">
        <f>B16-B17</f>
        <v>235125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1406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2475</v>
      </c>
      <c r="D24" s="7" t="s">
        <v>77</v>
      </c>
      <c r="E24" s="17">
        <f>B16*0.01</f>
        <v>2475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1595.23</v>
      </c>
      <c r="D27" s="7" t="s">
        <v>38</v>
      </c>
      <c r="E27" s="35">
        <f>B27</f>
        <v>1595.23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1946.73</v>
      </c>
      <c r="D28" s="7" t="s">
        <v>41</v>
      </c>
      <c r="E28" s="17">
        <f>E27+I27+I36</f>
        <v>1946.73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-540.73</v>
      </c>
      <c r="D30" s="7" t="s">
        <v>43</v>
      </c>
      <c r="E30" s="44">
        <f>E23-E27-I27-I36+I26+I35</f>
        <v>-756.13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-0.2913023569023569</v>
      </c>
      <c r="D31" s="46" t="s">
        <v>44</v>
      </c>
      <c r="E31" s="47">
        <f>(E30*12)/B19</f>
        <v>-0.4073427609427609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70.3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70.3</v>
      </c>
    </row>
    <row r="34" spans="1:9" x14ac:dyDescent="0.25">
      <c r="A34" s="26" t="s">
        <v>49</v>
      </c>
      <c r="B34" s="8">
        <f>B16</f>
        <v>247500</v>
      </c>
      <c r="G34" s="27" t="s">
        <v>50</v>
      </c>
      <c r="H34" s="48">
        <v>0.05</v>
      </c>
      <c r="I34" s="49">
        <f>$B$23*H34</f>
        <v>70.3</v>
      </c>
    </row>
    <row r="35" spans="1:9" x14ac:dyDescent="0.25">
      <c r="A35" s="7" t="s">
        <v>51</v>
      </c>
      <c r="B35" s="17">
        <f>B34-B20</f>
        <v>12375</v>
      </c>
      <c r="G35" s="27" t="s">
        <v>52</v>
      </c>
      <c r="H35" s="48">
        <v>0.1</v>
      </c>
      <c r="I35" s="49">
        <f>$B$23*H35</f>
        <v>140.6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351.5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166.54687500000003</v>
      </c>
      <c r="D41" s="58"/>
      <c r="E41" s="61"/>
    </row>
    <row r="42" spans="1:9" x14ac:dyDescent="0.25">
      <c r="A42" s="7" t="s">
        <v>58</v>
      </c>
      <c r="B42" s="17">
        <f>B27-B41</f>
        <v>1428.683125</v>
      </c>
      <c r="D42" s="58"/>
      <c r="E42" s="61"/>
    </row>
    <row r="43" spans="1:9" x14ac:dyDescent="0.25">
      <c r="A43" s="7" t="s">
        <v>59</v>
      </c>
      <c r="B43" s="43">
        <f>B23-B42-I27-I36</f>
        <v>-374.18312500000002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-0.36284424242424246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1980</v>
      </c>
    </row>
    <row r="47" spans="1:9" ht="15.75" thickBot="1" x14ac:dyDescent="0.3">
      <c r="A47" s="63" t="s">
        <v>251</v>
      </c>
      <c r="B47" s="65">
        <f>B16*0.02</f>
        <v>4950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414" priority="29" operator="equal">
      <formula>"NO"</formula>
    </cfRule>
    <cfRule type="cellIs" dxfId="2413" priority="30" operator="equal">
      <formula>"YES"</formula>
    </cfRule>
  </conditionalFormatting>
  <conditionalFormatting sqref="E40">
    <cfRule type="cellIs" dxfId="2412" priority="27" operator="equal">
      <formula>"YES"</formula>
    </cfRule>
    <cfRule type="cellIs" dxfId="2411" priority="28" operator="equal">
      <formula>"NO"</formula>
    </cfRule>
  </conditionalFormatting>
  <conditionalFormatting sqref="B25">
    <cfRule type="cellIs" dxfId="2410" priority="25" operator="equal">
      <formula>"NO"</formula>
    </cfRule>
    <cfRule type="cellIs" dxfId="2409" priority="26" operator="equal">
      <formula>"YES"</formula>
    </cfRule>
  </conditionalFormatting>
  <conditionalFormatting sqref="B12">
    <cfRule type="containsText" dxfId="2408" priority="11" operator="containsText" text="Low">
      <formula>NOT(ISERROR(SEARCH("Low",B12)))</formula>
    </cfRule>
    <cfRule type="containsText" dxfId="2407" priority="12" operator="containsText" text="Medium">
      <formula>NOT(ISERROR(SEARCH("Medium",B12)))</formula>
    </cfRule>
    <cfRule type="containsText" dxfId="2406" priority="13" operator="containsText" text="High">
      <formula>NOT(ISERROR(SEARCH("High",B12)))</formula>
    </cfRule>
  </conditionalFormatting>
  <conditionalFormatting sqref="B31">
    <cfRule type="cellIs" dxfId="2405" priority="21" operator="between">
      <formula>10%</formula>
      <formula>11.9%</formula>
    </cfRule>
    <cfRule type="cellIs" dxfId="2404" priority="23" operator="lessThan">
      <formula>0.1</formula>
    </cfRule>
    <cfRule type="cellIs" dxfId="2403" priority="24" operator="greaterThanOrEqual">
      <formula>0.12</formula>
    </cfRule>
  </conditionalFormatting>
  <conditionalFormatting sqref="B44">
    <cfRule type="cellIs" dxfId="2402" priority="19" operator="between">
      <formula>0.1</formula>
      <formula>0.1199</formula>
    </cfRule>
    <cfRule type="cellIs" dxfId="2401" priority="20" operator="lessThan">
      <formula>0.1</formula>
    </cfRule>
    <cfRule type="cellIs" dxfId="2400" priority="22" operator="greaterThanOrEqual">
      <formula>0.12</formula>
    </cfRule>
  </conditionalFormatting>
  <conditionalFormatting sqref="B10">
    <cfRule type="containsText" dxfId="2399" priority="14" operator="containsText" text="Full">
      <formula>NOT(ISERROR(SEARCH("Full",B10)))</formula>
    </cfRule>
    <cfRule type="containsText" dxfId="2398" priority="15" operator="containsText" text="Heavy">
      <formula>NOT(ISERROR(SEARCH("Heavy",B10)))</formula>
    </cfRule>
    <cfRule type="containsText" dxfId="2397" priority="16" operator="containsText" text="Medium">
      <formula>NOT(ISERROR(SEARCH("Medium",B10)))</formula>
    </cfRule>
    <cfRule type="containsText" dxfId="2396" priority="17" operator="containsText" text="Light">
      <formula>NOT(ISERROR(SEARCH("Light",B10)))</formula>
    </cfRule>
    <cfRule type="containsText" dxfId="2395" priority="18" operator="containsText" text="None">
      <formula>NOT(ISERROR(SEARCH("None",B10)))</formula>
    </cfRule>
  </conditionalFormatting>
  <conditionalFormatting sqref="B30">
    <cfRule type="cellIs" dxfId="2394" priority="31" operator="lessThan">
      <formula>$B$8*100</formula>
    </cfRule>
    <cfRule type="cellIs" dxfId="2393" priority="32" operator="greaterThanOrEqual">
      <formula>$B$8*100</formula>
    </cfRule>
  </conditionalFormatting>
  <conditionalFormatting sqref="B43">
    <cfRule type="cellIs" dxfId="2392" priority="33" operator="lessThan">
      <formula>$B$8*100</formula>
    </cfRule>
    <cfRule type="cellIs" dxfId="2391" priority="34" operator="greaterThan">
      <formula>$B$8*100</formula>
    </cfRule>
    <cfRule type="cellIs" dxfId="2390" priority="35" operator="greaterThan">
      <formula>$B$8*100</formula>
    </cfRule>
  </conditionalFormatting>
  <conditionalFormatting sqref="B40">
    <cfRule type="cellIs" dxfId="2389" priority="9" operator="equal">
      <formula>"YES"</formula>
    </cfRule>
    <cfRule type="cellIs" dxfId="2388" priority="10" operator="equal">
      <formula>"NO"</formula>
    </cfRule>
  </conditionalFormatting>
  <conditionalFormatting sqref="E25:E28">
    <cfRule type="cellIs" dxfId="2387" priority="5" operator="equal">
      <formula>"NO"</formula>
    </cfRule>
    <cfRule type="cellIs" dxfId="2386" priority="6" operator="equal">
      <formula>"YES"</formula>
    </cfRule>
  </conditionalFormatting>
  <conditionalFormatting sqref="E31">
    <cfRule type="cellIs" dxfId="2385" priority="2" operator="between">
      <formula>10%</formula>
      <formula>12%</formula>
    </cfRule>
    <cfRule type="cellIs" dxfId="2384" priority="3" operator="lessThan">
      <formula>0.1</formula>
    </cfRule>
    <cfRule type="cellIs" dxfId="2383" priority="4" operator="greaterThan">
      <formula>0.12</formula>
    </cfRule>
  </conditionalFormatting>
  <conditionalFormatting sqref="E30">
    <cfRule type="cellIs" dxfId="2382" priority="7" operator="lessThan">
      <formula>$B$8*100</formula>
    </cfRule>
    <cfRule type="cellIs" dxfId="2381" priority="8" operator="greaterThan">
      <formula>$B$8*100</formula>
    </cfRule>
  </conditionalFormatting>
  <conditionalFormatting sqref="B46:B47">
    <cfRule type="cellIs" dxfId="2380" priority="1" operator="greaterThan">
      <formula>0</formula>
    </cfRule>
  </conditionalFormatting>
  <hyperlinks>
    <hyperlink ref="A34" r:id="rId1" display="https://www.zillow.com/homes/recently_sold/" xr:uid="{BA71E833-B900-495D-B0FE-1C051E73A765}"/>
    <hyperlink ref="A23" r:id="rId2" xr:uid="{75F6EDC9-B4B4-4F2B-90FC-5A0F97F404F3}"/>
    <hyperlink ref="A27" r:id="rId3" display="www.mortgagecalculator.org" xr:uid="{EA6E37C4-E50D-4E12-BEE5-D441CF17E7D9}"/>
    <hyperlink ref="A12" r:id="rId4" xr:uid="{734BCD73-E33A-44A7-BD66-7C76E7C56ADB}"/>
  </hyperlinks>
  <pageMargins left="0.7" right="0.7" top="0.75" bottom="0.75" header="0.3" footer="0.3"/>
  <drawing r:id="rId5"/>
  <legacyDrawing r:id="rId6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3F187-96F8-4BEF-A03F-4BEFC7FD3AAE}">
  <sheetPr codeName="Sheet171">
    <tabColor rgb="FFFF0000"/>
  </sheetPr>
  <dimension ref="A1:P47"/>
  <sheetViews>
    <sheetView topLeftCell="A5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219900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1920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264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219900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219900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10995</v>
      </c>
      <c r="D17" s="19"/>
      <c r="E17" s="20"/>
      <c r="P17" s="21"/>
    </row>
    <row r="18" spans="1:16" x14ac:dyDescent="0.25">
      <c r="A18" s="7" t="s">
        <v>253</v>
      </c>
      <c r="B18" s="17">
        <f>B13*0.04</f>
        <v>8796</v>
      </c>
      <c r="D18" s="66"/>
      <c r="E18" s="67"/>
      <c r="P18" s="21"/>
    </row>
    <row r="19" spans="1:16" x14ac:dyDescent="0.25">
      <c r="A19" s="7" t="s">
        <v>254</v>
      </c>
      <c r="B19" s="17">
        <f>B17+B18</f>
        <v>19791</v>
      </c>
      <c r="D19" s="66"/>
      <c r="E19" s="67"/>
      <c r="P19" s="21"/>
    </row>
    <row r="20" spans="1:16" x14ac:dyDescent="0.25">
      <c r="A20" s="7" t="s">
        <v>23</v>
      </c>
      <c r="B20" s="17">
        <f>B16-B17</f>
        <v>208905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1406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2199</v>
      </c>
      <c r="D24" s="7" t="s">
        <v>77</v>
      </c>
      <c r="E24" s="17">
        <f>B16*0.01</f>
        <v>2199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1441.23</v>
      </c>
      <c r="D27" s="7" t="s">
        <v>38</v>
      </c>
      <c r="E27" s="35">
        <f>B27</f>
        <v>1441.23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1792.73</v>
      </c>
      <c r="D28" s="7" t="s">
        <v>41</v>
      </c>
      <c r="E28" s="17">
        <f>E27+I27+I36</f>
        <v>1792.73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-386.73</v>
      </c>
      <c r="D30" s="7" t="s">
        <v>43</v>
      </c>
      <c r="E30" s="44">
        <f>E23-E27-I27-I36+I26+I35</f>
        <v>-602.13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-0.23448840381991815</v>
      </c>
      <c r="D31" s="46" t="s">
        <v>44</v>
      </c>
      <c r="E31" s="47">
        <f>(E30*12)/B19</f>
        <v>-0.36509322419281487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70.3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70.3</v>
      </c>
    </row>
    <row r="34" spans="1:9" x14ac:dyDescent="0.25">
      <c r="A34" s="26" t="s">
        <v>49</v>
      </c>
      <c r="B34" s="8">
        <f>B16</f>
        <v>219900</v>
      </c>
      <c r="G34" s="27" t="s">
        <v>50</v>
      </c>
      <c r="H34" s="48">
        <v>0.05</v>
      </c>
      <c r="I34" s="49">
        <f>$B$23*H34</f>
        <v>70.3</v>
      </c>
    </row>
    <row r="35" spans="1:9" x14ac:dyDescent="0.25">
      <c r="A35" s="7" t="s">
        <v>51</v>
      </c>
      <c r="B35" s="17">
        <f>B34-B20</f>
        <v>10995</v>
      </c>
      <c r="G35" s="27" t="s">
        <v>52</v>
      </c>
      <c r="H35" s="48">
        <v>0.1</v>
      </c>
      <c r="I35" s="49">
        <f>$B$23*H35</f>
        <v>140.6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351.5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147.97437500000001</v>
      </c>
      <c r="D41" s="58"/>
      <c r="E41" s="61"/>
    </row>
    <row r="42" spans="1:9" x14ac:dyDescent="0.25">
      <c r="A42" s="7" t="s">
        <v>58</v>
      </c>
      <c r="B42" s="17">
        <f>B27-B41</f>
        <v>1293.255625</v>
      </c>
      <c r="D42" s="58"/>
      <c r="E42" s="61"/>
    </row>
    <row r="43" spans="1:9" x14ac:dyDescent="0.25">
      <c r="A43" s="7" t="s">
        <v>59</v>
      </c>
      <c r="B43" s="43">
        <f>B23-B42-I27-I36</f>
        <v>-238.75562500000001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-0.26057912687585266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1759.2</v>
      </c>
    </row>
    <row r="47" spans="1:9" ht="15.75" thickBot="1" x14ac:dyDescent="0.3">
      <c r="A47" s="63" t="s">
        <v>251</v>
      </c>
      <c r="B47" s="65">
        <f>B16*0.02</f>
        <v>4398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379" priority="29" operator="equal">
      <formula>"NO"</formula>
    </cfRule>
    <cfRule type="cellIs" dxfId="2378" priority="30" operator="equal">
      <formula>"YES"</formula>
    </cfRule>
  </conditionalFormatting>
  <conditionalFormatting sqref="E40">
    <cfRule type="cellIs" dxfId="2377" priority="27" operator="equal">
      <formula>"YES"</formula>
    </cfRule>
    <cfRule type="cellIs" dxfId="2376" priority="28" operator="equal">
      <formula>"NO"</formula>
    </cfRule>
  </conditionalFormatting>
  <conditionalFormatting sqref="B25">
    <cfRule type="cellIs" dxfId="2375" priority="25" operator="equal">
      <formula>"NO"</formula>
    </cfRule>
    <cfRule type="cellIs" dxfId="2374" priority="26" operator="equal">
      <formula>"YES"</formula>
    </cfRule>
  </conditionalFormatting>
  <conditionalFormatting sqref="B12">
    <cfRule type="containsText" dxfId="2373" priority="11" operator="containsText" text="Low">
      <formula>NOT(ISERROR(SEARCH("Low",B12)))</formula>
    </cfRule>
    <cfRule type="containsText" dxfId="2372" priority="12" operator="containsText" text="Medium">
      <formula>NOT(ISERROR(SEARCH("Medium",B12)))</formula>
    </cfRule>
    <cfRule type="containsText" dxfId="2371" priority="13" operator="containsText" text="High">
      <formula>NOT(ISERROR(SEARCH("High",B12)))</formula>
    </cfRule>
  </conditionalFormatting>
  <conditionalFormatting sqref="B31">
    <cfRule type="cellIs" dxfId="2370" priority="21" operator="between">
      <formula>10%</formula>
      <formula>11.9%</formula>
    </cfRule>
    <cfRule type="cellIs" dxfId="2369" priority="23" operator="lessThan">
      <formula>0.1</formula>
    </cfRule>
    <cfRule type="cellIs" dxfId="2368" priority="24" operator="greaterThanOrEqual">
      <formula>0.12</formula>
    </cfRule>
  </conditionalFormatting>
  <conditionalFormatting sqref="B44">
    <cfRule type="cellIs" dxfId="2367" priority="19" operator="between">
      <formula>0.1</formula>
      <formula>0.1199</formula>
    </cfRule>
    <cfRule type="cellIs" dxfId="2366" priority="20" operator="lessThan">
      <formula>0.1</formula>
    </cfRule>
    <cfRule type="cellIs" dxfId="2365" priority="22" operator="greaterThanOrEqual">
      <formula>0.12</formula>
    </cfRule>
  </conditionalFormatting>
  <conditionalFormatting sqref="B10">
    <cfRule type="containsText" dxfId="2364" priority="14" operator="containsText" text="Full">
      <formula>NOT(ISERROR(SEARCH("Full",B10)))</formula>
    </cfRule>
    <cfRule type="containsText" dxfId="2363" priority="15" operator="containsText" text="Heavy">
      <formula>NOT(ISERROR(SEARCH("Heavy",B10)))</formula>
    </cfRule>
    <cfRule type="containsText" dxfId="2362" priority="16" operator="containsText" text="Medium">
      <formula>NOT(ISERROR(SEARCH("Medium",B10)))</formula>
    </cfRule>
    <cfRule type="containsText" dxfId="2361" priority="17" operator="containsText" text="Light">
      <formula>NOT(ISERROR(SEARCH("Light",B10)))</formula>
    </cfRule>
    <cfRule type="containsText" dxfId="2360" priority="18" operator="containsText" text="None">
      <formula>NOT(ISERROR(SEARCH("None",B10)))</formula>
    </cfRule>
  </conditionalFormatting>
  <conditionalFormatting sqref="B30">
    <cfRule type="cellIs" dxfId="2359" priority="31" operator="lessThan">
      <formula>$B$8*100</formula>
    </cfRule>
    <cfRule type="cellIs" dxfId="2358" priority="32" operator="greaterThanOrEqual">
      <formula>$B$8*100</formula>
    </cfRule>
  </conditionalFormatting>
  <conditionalFormatting sqref="B43">
    <cfRule type="cellIs" dxfId="2357" priority="33" operator="lessThan">
      <formula>$B$8*100</formula>
    </cfRule>
    <cfRule type="cellIs" dxfId="2356" priority="34" operator="greaterThan">
      <formula>$B$8*100</formula>
    </cfRule>
    <cfRule type="cellIs" dxfId="2355" priority="35" operator="greaterThan">
      <formula>$B$8*100</formula>
    </cfRule>
  </conditionalFormatting>
  <conditionalFormatting sqref="B40">
    <cfRule type="cellIs" dxfId="2354" priority="9" operator="equal">
      <formula>"YES"</formula>
    </cfRule>
    <cfRule type="cellIs" dxfId="2353" priority="10" operator="equal">
      <formula>"NO"</formula>
    </cfRule>
  </conditionalFormatting>
  <conditionalFormatting sqref="E25:E28">
    <cfRule type="cellIs" dxfId="2352" priority="5" operator="equal">
      <formula>"NO"</formula>
    </cfRule>
    <cfRule type="cellIs" dxfId="2351" priority="6" operator="equal">
      <formula>"YES"</formula>
    </cfRule>
  </conditionalFormatting>
  <conditionalFormatting sqref="E31">
    <cfRule type="cellIs" dxfId="2350" priority="2" operator="between">
      <formula>10%</formula>
      <formula>12%</formula>
    </cfRule>
    <cfRule type="cellIs" dxfId="2349" priority="3" operator="lessThan">
      <formula>0.1</formula>
    </cfRule>
    <cfRule type="cellIs" dxfId="2348" priority="4" operator="greaterThan">
      <formula>0.12</formula>
    </cfRule>
  </conditionalFormatting>
  <conditionalFormatting sqref="E30">
    <cfRule type="cellIs" dxfId="2347" priority="7" operator="lessThan">
      <formula>$B$8*100</formula>
    </cfRule>
    <cfRule type="cellIs" dxfId="2346" priority="8" operator="greaterThan">
      <formula>$B$8*100</formula>
    </cfRule>
  </conditionalFormatting>
  <conditionalFormatting sqref="B46:B47">
    <cfRule type="cellIs" dxfId="2345" priority="1" operator="greaterThan">
      <formula>0</formula>
    </cfRule>
  </conditionalFormatting>
  <hyperlinks>
    <hyperlink ref="A34" r:id="rId1" display="https://www.zillow.com/homes/recently_sold/" xr:uid="{490213B8-3549-4C3E-854D-9CE3FC4A39A4}"/>
    <hyperlink ref="A23" r:id="rId2" xr:uid="{F8EEE907-A138-448C-8FB6-3EECF1098A2F}"/>
    <hyperlink ref="A27" r:id="rId3" display="www.mortgagecalculator.org" xr:uid="{D1954AFA-6A95-4944-AAC6-130CE55869C2}"/>
    <hyperlink ref="A12" r:id="rId4" xr:uid="{99906DF2-D043-4F40-B978-111F1B5445AB}"/>
  </hyperlinks>
  <pageMargins left="0.7" right="0.7" top="0.75" bottom="0.75" header="0.3" footer="0.3"/>
  <drawing r:id="rId5"/>
  <legacyDrawing r:id="rId6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8EE5E-DE62-4D7F-AA44-3E23569B8DB5}">
  <sheetPr codeName="Sheet172">
    <tabColor rgb="FFFF0000"/>
  </sheetPr>
  <dimension ref="A1:P47"/>
  <sheetViews>
    <sheetView workbookViewId="0">
      <selection activeCell="A33" sqref="A33:B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1968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259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165750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165750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8287.5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6630</v>
      </c>
      <c r="D18" s="66"/>
      <c r="E18" s="67"/>
      <c r="P18" s="21"/>
    </row>
    <row r="19" spans="1:16" x14ac:dyDescent="0.25">
      <c r="A19" s="7" t="s">
        <v>254</v>
      </c>
      <c r="B19" s="17">
        <f>B17+B18</f>
        <v>14917.5</v>
      </c>
      <c r="D19" s="66"/>
      <c r="E19" s="67"/>
      <c r="P19" s="21"/>
    </row>
    <row r="20" spans="1:16" x14ac:dyDescent="0.25">
      <c r="A20" s="7" t="s">
        <v>23</v>
      </c>
      <c r="B20" s="17">
        <f>B16-B17</f>
        <v>157462.5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1361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1657.5</v>
      </c>
      <c r="D24" s="7" t="s">
        <v>77</v>
      </c>
      <c r="E24" s="17">
        <f>B16*0.01</f>
        <v>1657.5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1078</v>
      </c>
      <c r="D27" s="7" t="s">
        <v>38</v>
      </c>
      <c r="E27" s="35">
        <f>B27</f>
        <v>1078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1391.03</v>
      </c>
      <c r="D28" s="7" t="s">
        <v>41</v>
      </c>
      <c r="E28" s="17">
        <f>E27+I27+I36</f>
        <v>1391.03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-30.029999999999973</v>
      </c>
      <c r="D30" s="7" t="s">
        <v>43</v>
      </c>
      <c r="E30" s="44">
        <f>E23-E27-I27-I36+I26+I35</f>
        <v>-204.92999999999998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-2.4156862745098016E-2</v>
      </c>
      <c r="D31" s="46" t="s">
        <v>44</v>
      </c>
      <c r="E31" s="47">
        <f>(E30*12)/B19</f>
        <v>-0.16485067873303166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40.83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68.05</v>
      </c>
    </row>
    <row r="34" spans="1:9" x14ac:dyDescent="0.25">
      <c r="A34" s="26" t="s">
        <v>49</v>
      </c>
      <c r="B34" s="8">
        <f>B16</f>
        <v>165750</v>
      </c>
      <c r="G34" s="27" t="s">
        <v>50</v>
      </c>
      <c r="H34" s="48">
        <v>0.05</v>
      </c>
      <c r="I34" s="49">
        <f>$B$23*H34</f>
        <v>68.05</v>
      </c>
    </row>
    <row r="35" spans="1:9" x14ac:dyDescent="0.25">
      <c r="A35" s="7" t="s">
        <v>51</v>
      </c>
      <c r="B35" s="17">
        <f>B34-B20</f>
        <v>8287.5</v>
      </c>
      <c r="G35" s="27" t="s">
        <v>52</v>
      </c>
      <c r="H35" s="48">
        <v>0.1</v>
      </c>
      <c r="I35" s="49">
        <f>$B$23*H35</f>
        <v>136.1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313.02999999999997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111.5359375</v>
      </c>
      <c r="D41" s="58"/>
      <c r="E41" s="61"/>
    </row>
    <row r="42" spans="1:9" x14ac:dyDescent="0.25">
      <c r="A42" s="7" t="s">
        <v>58</v>
      </c>
      <c r="B42" s="17">
        <f>B27-B41</f>
        <v>966.46406249999995</v>
      </c>
      <c r="D42" s="58"/>
      <c r="E42" s="61"/>
    </row>
    <row r="43" spans="1:9" x14ac:dyDescent="0.25">
      <c r="A43" s="7" t="s">
        <v>59</v>
      </c>
      <c r="B43" s="43">
        <f>B23-B42-I27-I36</f>
        <v>81.505937500000073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0.11801764705882363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1326</v>
      </c>
    </row>
    <row r="47" spans="1:9" ht="15.75" thickBot="1" x14ac:dyDescent="0.3">
      <c r="A47" s="63" t="s">
        <v>251</v>
      </c>
      <c r="B47" s="65">
        <f>B16*0.02</f>
        <v>3315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344" priority="29" operator="equal">
      <formula>"NO"</formula>
    </cfRule>
    <cfRule type="cellIs" dxfId="2343" priority="30" operator="equal">
      <formula>"YES"</formula>
    </cfRule>
  </conditionalFormatting>
  <conditionalFormatting sqref="E40">
    <cfRule type="cellIs" dxfId="2342" priority="27" operator="equal">
      <formula>"YES"</formula>
    </cfRule>
    <cfRule type="cellIs" dxfId="2341" priority="28" operator="equal">
      <formula>"NO"</formula>
    </cfRule>
  </conditionalFormatting>
  <conditionalFormatting sqref="B25">
    <cfRule type="cellIs" dxfId="2340" priority="25" operator="equal">
      <formula>"NO"</formula>
    </cfRule>
    <cfRule type="cellIs" dxfId="2339" priority="26" operator="equal">
      <formula>"YES"</formula>
    </cfRule>
  </conditionalFormatting>
  <conditionalFormatting sqref="B12">
    <cfRule type="containsText" dxfId="2338" priority="11" operator="containsText" text="Low">
      <formula>NOT(ISERROR(SEARCH("Low",B12)))</formula>
    </cfRule>
    <cfRule type="containsText" dxfId="2337" priority="12" operator="containsText" text="Medium">
      <formula>NOT(ISERROR(SEARCH("Medium",B12)))</formula>
    </cfRule>
    <cfRule type="containsText" dxfId="2336" priority="13" operator="containsText" text="High">
      <formula>NOT(ISERROR(SEARCH("High",B12)))</formula>
    </cfRule>
  </conditionalFormatting>
  <conditionalFormatting sqref="B31">
    <cfRule type="cellIs" dxfId="2335" priority="21" operator="between">
      <formula>10%</formula>
      <formula>11.9%</formula>
    </cfRule>
    <cfRule type="cellIs" dxfId="2334" priority="23" operator="lessThan">
      <formula>0.1</formula>
    </cfRule>
    <cfRule type="cellIs" dxfId="2333" priority="24" operator="greaterThanOrEqual">
      <formula>0.12</formula>
    </cfRule>
  </conditionalFormatting>
  <conditionalFormatting sqref="B44">
    <cfRule type="cellIs" dxfId="2332" priority="19" operator="between">
      <formula>0.1</formula>
      <formula>0.1199</formula>
    </cfRule>
    <cfRule type="cellIs" dxfId="2331" priority="20" operator="lessThan">
      <formula>0.1</formula>
    </cfRule>
    <cfRule type="cellIs" dxfId="2330" priority="22" operator="greaterThanOrEqual">
      <formula>0.12</formula>
    </cfRule>
  </conditionalFormatting>
  <conditionalFormatting sqref="B10">
    <cfRule type="containsText" dxfId="2329" priority="14" operator="containsText" text="Full">
      <formula>NOT(ISERROR(SEARCH("Full",B10)))</formula>
    </cfRule>
    <cfRule type="containsText" dxfId="2328" priority="15" operator="containsText" text="Heavy">
      <formula>NOT(ISERROR(SEARCH("Heavy",B10)))</formula>
    </cfRule>
    <cfRule type="containsText" dxfId="2327" priority="16" operator="containsText" text="Medium">
      <formula>NOT(ISERROR(SEARCH("Medium",B10)))</formula>
    </cfRule>
    <cfRule type="containsText" dxfId="2326" priority="17" operator="containsText" text="Light">
      <formula>NOT(ISERROR(SEARCH("Light",B10)))</formula>
    </cfRule>
    <cfRule type="containsText" dxfId="2325" priority="18" operator="containsText" text="None">
      <formula>NOT(ISERROR(SEARCH("None",B10)))</formula>
    </cfRule>
  </conditionalFormatting>
  <conditionalFormatting sqref="B30">
    <cfRule type="cellIs" dxfId="2324" priority="31" operator="lessThan">
      <formula>$B$8*100</formula>
    </cfRule>
    <cfRule type="cellIs" dxfId="2323" priority="32" operator="greaterThanOrEqual">
      <formula>$B$8*100</formula>
    </cfRule>
  </conditionalFormatting>
  <conditionalFormatting sqref="B43">
    <cfRule type="cellIs" dxfId="2322" priority="33" operator="lessThan">
      <formula>$B$8*100</formula>
    </cfRule>
    <cfRule type="cellIs" dxfId="2321" priority="34" operator="greaterThan">
      <formula>$B$8*100</formula>
    </cfRule>
    <cfRule type="cellIs" dxfId="2320" priority="35" operator="greaterThan">
      <formula>$B$8*100</formula>
    </cfRule>
  </conditionalFormatting>
  <conditionalFormatting sqref="B40">
    <cfRule type="cellIs" dxfId="2319" priority="9" operator="equal">
      <formula>"YES"</formula>
    </cfRule>
    <cfRule type="cellIs" dxfId="2318" priority="10" operator="equal">
      <formula>"NO"</formula>
    </cfRule>
  </conditionalFormatting>
  <conditionalFormatting sqref="E25:E28">
    <cfRule type="cellIs" dxfId="2317" priority="5" operator="equal">
      <formula>"NO"</formula>
    </cfRule>
    <cfRule type="cellIs" dxfId="2316" priority="6" operator="equal">
      <formula>"YES"</formula>
    </cfRule>
  </conditionalFormatting>
  <conditionalFormatting sqref="E31">
    <cfRule type="cellIs" dxfId="2315" priority="2" operator="between">
      <formula>10%</formula>
      <formula>12%</formula>
    </cfRule>
    <cfRule type="cellIs" dxfId="2314" priority="3" operator="lessThan">
      <formula>0.1</formula>
    </cfRule>
    <cfRule type="cellIs" dxfId="2313" priority="4" operator="greaterThan">
      <formula>0.12</formula>
    </cfRule>
  </conditionalFormatting>
  <conditionalFormatting sqref="E30">
    <cfRule type="cellIs" dxfId="2312" priority="7" operator="lessThan">
      <formula>$B$8*100</formula>
    </cfRule>
    <cfRule type="cellIs" dxfId="2311" priority="8" operator="greaterThan">
      <formula>$B$8*100</formula>
    </cfRule>
  </conditionalFormatting>
  <conditionalFormatting sqref="B46:B47">
    <cfRule type="cellIs" dxfId="2310" priority="1" operator="greaterThan">
      <formula>0</formula>
    </cfRule>
  </conditionalFormatting>
  <hyperlinks>
    <hyperlink ref="A34" r:id="rId1" display="https://www.zillow.com/homes/recently_sold/" xr:uid="{5452F4A2-EE53-4791-B3E3-7BAE7CA2B93D}"/>
    <hyperlink ref="A23" r:id="rId2" xr:uid="{A99E3A58-71D6-4C09-95E3-70B544863D78}"/>
    <hyperlink ref="A27" r:id="rId3" display="www.mortgagecalculator.org" xr:uid="{0DF41D21-D7E6-432D-827A-1AD013E07E2F}"/>
    <hyperlink ref="A12" r:id="rId4" xr:uid="{220FF1FD-7A97-4133-B5FC-F2789C1C6DCB}"/>
  </hyperlinks>
  <pageMargins left="0.7" right="0.7" top="0.75" bottom="0.75" header="0.3" footer="0.3"/>
  <drawing r:id="rId5"/>
  <legacyDrawing r:id="rId6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1A5A-F89C-419A-B115-777D44530039}">
  <sheetPr codeName="Sheet173">
    <tabColor rgb="FFFF0000"/>
  </sheetPr>
  <dimension ref="A1:P47"/>
  <sheetViews>
    <sheetView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268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246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118915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5945.75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4756.6000000000004</v>
      </c>
      <c r="D18" s="66"/>
      <c r="E18" s="67"/>
      <c r="P18" s="21"/>
    </row>
    <row r="19" spans="1:16" x14ac:dyDescent="0.25">
      <c r="A19" s="7" t="s">
        <v>254</v>
      </c>
      <c r="B19" s="17">
        <f>B17+B18</f>
        <v>10702.35</v>
      </c>
      <c r="D19" s="66"/>
      <c r="E19" s="67"/>
      <c r="P19" s="21"/>
    </row>
    <row r="20" spans="1:16" x14ac:dyDescent="0.25">
      <c r="A20" s="7" t="s">
        <v>23</v>
      </c>
      <c r="B20" s="17">
        <f>B16-B17</f>
        <v>112969.25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798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1189.1500000000001</v>
      </c>
      <c r="D24" s="7" t="s">
        <v>77</v>
      </c>
      <c r="E24" s="17">
        <f>B16*0.01</f>
        <v>1189.1500000000001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871.89</v>
      </c>
      <c r="D27" s="7" t="s">
        <v>38</v>
      </c>
      <c r="E27" s="35">
        <f>B27</f>
        <v>871.89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1071.3900000000001</v>
      </c>
      <c r="D28" s="7" t="s">
        <v>41</v>
      </c>
      <c r="E28" s="17">
        <f>E27+I27+I36</f>
        <v>1071.3900000000001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-273.3900000000001</v>
      </c>
      <c r="D30" s="7" t="s">
        <v>43</v>
      </c>
      <c r="E30" s="44">
        <f>E23-E27-I27-I36+I26+I35</f>
        <v>58.41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-0.30653828364798397</v>
      </c>
      <c r="D31" s="46" t="s">
        <v>44</v>
      </c>
      <c r="E31" s="47">
        <f>(E30*12)/B19</f>
        <v>6.5492158264306433E-2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39.900000000000006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39.900000000000006</v>
      </c>
    </row>
    <row r="34" spans="1:9" x14ac:dyDescent="0.25">
      <c r="A34" s="26" t="s">
        <v>49</v>
      </c>
      <c r="B34" s="8">
        <f>B16</f>
        <v>118915</v>
      </c>
      <c r="G34" s="27" t="s">
        <v>50</v>
      </c>
      <c r="H34" s="48">
        <v>0.05</v>
      </c>
      <c r="I34" s="49">
        <f>$B$23*H34</f>
        <v>39.900000000000006</v>
      </c>
    </row>
    <row r="35" spans="1:9" x14ac:dyDescent="0.25">
      <c r="A35" s="7" t="s">
        <v>51</v>
      </c>
      <c r="B35" s="17">
        <f>B34-B20</f>
        <v>5945.75</v>
      </c>
      <c r="G35" s="27" t="s">
        <v>52</v>
      </c>
      <c r="H35" s="48">
        <v>0.1</v>
      </c>
      <c r="I35" s="49">
        <f>$B$23*H35</f>
        <v>79.800000000000011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199.50000000000003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80.019885416666668</v>
      </c>
      <c r="D41" s="58"/>
      <c r="E41" s="61"/>
    </row>
    <row r="42" spans="1:9" x14ac:dyDescent="0.25">
      <c r="A42" s="7" t="s">
        <v>58</v>
      </c>
      <c r="B42" s="17">
        <f>B27-B41</f>
        <v>791.87011458333336</v>
      </c>
      <c r="D42" s="58"/>
      <c r="E42" s="61"/>
    </row>
    <row r="43" spans="1:9" x14ac:dyDescent="0.25">
      <c r="A43" s="7" t="s">
        <v>59</v>
      </c>
      <c r="B43" s="43">
        <f>B23-B42-I27-I36</f>
        <v>-193.37011458333339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-0.39026891056637109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951.31999999999994</v>
      </c>
    </row>
    <row r="47" spans="1:9" ht="15.75" thickBot="1" x14ac:dyDescent="0.3">
      <c r="A47" s="63" t="s">
        <v>251</v>
      </c>
      <c r="B47" s="65">
        <f>B16*0.02</f>
        <v>2378.3000000000002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309" priority="29" operator="equal">
      <formula>"NO"</formula>
    </cfRule>
    <cfRule type="cellIs" dxfId="2308" priority="30" operator="equal">
      <formula>"YES"</formula>
    </cfRule>
  </conditionalFormatting>
  <conditionalFormatting sqref="E40">
    <cfRule type="cellIs" dxfId="2307" priority="27" operator="equal">
      <formula>"YES"</formula>
    </cfRule>
    <cfRule type="cellIs" dxfId="2306" priority="28" operator="equal">
      <formula>"NO"</formula>
    </cfRule>
  </conditionalFormatting>
  <conditionalFormatting sqref="B25">
    <cfRule type="cellIs" dxfId="2305" priority="25" operator="equal">
      <formula>"NO"</formula>
    </cfRule>
    <cfRule type="cellIs" dxfId="2304" priority="26" operator="equal">
      <formula>"YES"</formula>
    </cfRule>
  </conditionalFormatting>
  <conditionalFormatting sqref="B12">
    <cfRule type="containsText" dxfId="2303" priority="11" operator="containsText" text="Low">
      <formula>NOT(ISERROR(SEARCH("Low",B12)))</formula>
    </cfRule>
    <cfRule type="containsText" dxfId="2302" priority="12" operator="containsText" text="Medium">
      <formula>NOT(ISERROR(SEARCH("Medium",B12)))</formula>
    </cfRule>
    <cfRule type="containsText" dxfId="2301" priority="13" operator="containsText" text="High">
      <formula>NOT(ISERROR(SEARCH("High",B12)))</formula>
    </cfRule>
  </conditionalFormatting>
  <conditionalFormatting sqref="B31">
    <cfRule type="cellIs" dxfId="2300" priority="21" operator="between">
      <formula>10%</formula>
      <formula>11.9%</formula>
    </cfRule>
    <cfRule type="cellIs" dxfId="2299" priority="23" operator="lessThan">
      <formula>0.1</formula>
    </cfRule>
    <cfRule type="cellIs" dxfId="2298" priority="24" operator="greaterThanOrEqual">
      <formula>0.12</formula>
    </cfRule>
  </conditionalFormatting>
  <conditionalFormatting sqref="B44">
    <cfRule type="cellIs" dxfId="2297" priority="19" operator="between">
      <formula>0.1</formula>
      <formula>0.1199</formula>
    </cfRule>
    <cfRule type="cellIs" dxfId="2296" priority="20" operator="lessThan">
      <formula>0.1</formula>
    </cfRule>
    <cfRule type="cellIs" dxfId="2295" priority="22" operator="greaterThanOrEqual">
      <formula>0.12</formula>
    </cfRule>
  </conditionalFormatting>
  <conditionalFormatting sqref="B10">
    <cfRule type="containsText" dxfId="2294" priority="14" operator="containsText" text="Full">
      <formula>NOT(ISERROR(SEARCH("Full",B10)))</formula>
    </cfRule>
    <cfRule type="containsText" dxfId="2293" priority="15" operator="containsText" text="Heavy">
      <formula>NOT(ISERROR(SEARCH("Heavy",B10)))</formula>
    </cfRule>
    <cfRule type="containsText" dxfId="2292" priority="16" operator="containsText" text="Medium">
      <formula>NOT(ISERROR(SEARCH("Medium",B10)))</formula>
    </cfRule>
    <cfRule type="containsText" dxfId="2291" priority="17" operator="containsText" text="Light">
      <formula>NOT(ISERROR(SEARCH("Light",B10)))</formula>
    </cfRule>
    <cfRule type="containsText" dxfId="2290" priority="18" operator="containsText" text="None">
      <formula>NOT(ISERROR(SEARCH("None",B10)))</formula>
    </cfRule>
  </conditionalFormatting>
  <conditionalFormatting sqref="B30">
    <cfRule type="cellIs" dxfId="2289" priority="31" operator="lessThan">
      <formula>$B$8*100</formula>
    </cfRule>
    <cfRule type="cellIs" dxfId="2288" priority="32" operator="greaterThanOrEqual">
      <formula>$B$8*100</formula>
    </cfRule>
  </conditionalFormatting>
  <conditionalFormatting sqref="B43">
    <cfRule type="cellIs" dxfId="2287" priority="33" operator="lessThan">
      <formula>$B$8*100</formula>
    </cfRule>
    <cfRule type="cellIs" dxfId="2286" priority="34" operator="greaterThan">
      <formula>$B$8*100</formula>
    </cfRule>
    <cfRule type="cellIs" dxfId="2285" priority="35" operator="greaterThan">
      <formula>$B$8*100</formula>
    </cfRule>
  </conditionalFormatting>
  <conditionalFormatting sqref="B40">
    <cfRule type="cellIs" dxfId="2284" priority="9" operator="equal">
      <formula>"YES"</formula>
    </cfRule>
    <cfRule type="cellIs" dxfId="2283" priority="10" operator="equal">
      <formula>"NO"</formula>
    </cfRule>
  </conditionalFormatting>
  <conditionalFormatting sqref="E25:E28">
    <cfRule type="cellIs" dxfId="2282" priority="5" operator="equal">
      <formula>"NO"</formula>
    </cfRule>
    <cfRule type="cellIs" dxfId="2281" priority="6" operator="equal">
      <formula>"YES"</formula>
    </cfRule>
  </conditionalFormatting>
  <conditionalFormatting sqref="E31">
    <cfRule type="cellIs" dxfId="2280" priority="2" operator="between">
      <formula>10%</formula>
      <formula>12%</formula>
    </cfRule>
    <cfRule type="cellIs" dxfId="2279" priority="3" operator="lessThan">
      <formula>0.1</formula>
    </cfRule>
    <cfRule type="cellIs" dxfId="2278" priority="4" operator="greaterThan">
      <formula>0.12</formula>
    </cfRule>
  </conditionalFormatting>
  <conditionalFormatting sqref="E30">
    <cfRule type="cellIs" dxfId="2277" priority="7" operator="lessThan">
      <formula>$B$8*100</formula>
    </cfRule>
    <cfRule type="cellIs" dxfId="2276" priority="8" operator="greaterThan">
      <formula>$B$8*100</formula>
    </cfRule>
  </conditionalFormatting>
  <conditionalFormatting sqref="B46:B47">
    <cfRule type="cellIs" dxfId="2275" priority="1" operator="greaterThan">
      <formula>0</formula>
    </cfRule>
  </conditionalFormatting>
  <hyperlinks>
    <hyperlink ref="A34" r:id="rId1" display="https://www.zillow.com/homes/recently_sold/" xr:uid="{424F2F95-FF3B-439E-86FA-6A43D851AEA0}"/>
    <hyperlink ref="A23" r:id="rId2" xr:uid="{545B1651-FFC8-4A92-8FC0-1F14633597E8}"/>
    <hyperlink ref="A27" r:id="rId3" display="www.mortgagecalculator.org" xr:uid="{05A8FD02-E666-4209-8A0C-418437B6E3EB}"/>
    <hyperlink ref="A12" r:id="rId4" xr:uid="{B759E205-0504-44B1-9268-3EA66BBD75F5}"/>
  </hyperlinks>
  <pageMargins left="0.7" right="0.7" top="0.75" bottom="0.75" header="0.3" footer="0.3"/>
  <drawing r:id="rId5"/>
  <legacyDrawing r:id="rId6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0F69-C3E3-4C30-861C-8AE9A8CFFD1B}">
  <sheetPr codeName="Sheet174">
    <tabColor rgb="FFFF0000"/>
  </sheetPr>
  <dimension ref="A1:P47"/>
  <sheetViews>
    <sheetView topLeftCell="A11" workbookViewId="0">
      <selection activeCell="A30" sqref="A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119400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960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269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101490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101490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5074.5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4059.6</v>
      </c>
      <c r="D18" s="66"/>
      <c r="E18" s="67"/>
      <c r="P18" s="21"/>
    </row>
    <row r="19" spans="1:16" x14ac:dyDescent="0.25">
      <c r="A19" s="7" t="s">
        <v>254</v>
      </c>
      <c r="B19" s="17">
        <f>B17+B18</f>
        <v>9134.1</v>
      </c>
      <c r="D19" s="66"/>
      <c r="E19" s="67"/>
      <c r="P19" s="21"/>
    </row>
    <row r="20" spans="1:16" x14ac:dyDescent="0.25">
      <c r="A20" s="7" t="s">
        <v>23</v>
      </c>
      <c r="B20" s="17">
        <f>B16-B17</f>
        <v>96415.5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818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1014.9</v>
      </c>
      <c r="D24" s="7" t="s">
        <v>77</v>
      </c>
      <c r="E24" s="17">
        <f>B16*0.01</f>
        <v>1014.9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718.82</v>
      </c>
      <c r="D27" s="7" t="s">
        <v>38</v>
      </c>
      <c r="E27" s="35">
        <f>B27</f>
        <v>718.82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923.32</v>
      </c>
      <c r="D28" s="7" t="s">
        <v>41</v>
      </c>
      <c r="E28" s="17">
        <f>E27+I27+I36</f>
        <v>923.32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-105.32000000000005</v>
      </c>
      <c r="D30" s="7" t="s">
        <v>43</v>
      </c>
      <c r="E30" s="44">
        <f>E23-E27-I27-I36+I26+I35</f>
        <v>208.47999999999993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-0.13836502775314488</v>
      </c>
      <c r="D31" s="46" t="s">
        <v>44</v>
      </c>
      <c r="E31" s="47">
        <f>(E30*12)/B19</f>
        <v>0.27389233750451597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40.900000000000006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40.900000000000006</v>
      </c>
    </row>
    <row r="34" spans="1:9" x14ac:dyDescent="0.25">
      <c r="A34" s="26" t="s">
        <v>49</v>
      </c>
      <c r="B34" s="8">
        <f>B16</f>
        <v>101490</v>
      </c>
      <c r="G34" s="27" t="s">
        <v>50</v>
      </c>
      <c r="H34" s="48">
        <v>0.05</v>
      </c>
      <c r="I34" s="49">
        <f>$B$23*H34</f>
        <v>40.900000000000006</v>
      </c>
    </row>
    <row r="35" spans="1:9" x14ac:dyDescent="0.25">
      <c r="A35" s="7" t="s">
        <v>51</v>
      </c>
      <c r="B35" s="17">
        <f>B34-B20</f>
        <v>5074.5</v>
      </c>
      <c r="G35" s="27" t="s">
        <v>52</v>
      </c>
      <c r="H35" s="48">
        <v>0.1</v>
      </c>
      <c r="I35" s="49">
        <f>$B$23*H35</f>
        <v>81.800000000000011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204.50000000000003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68.294312500000004</v>
      </c>
      <c r="D41" s="58"/>
      <c r="E41" s="61"/>
    </row>
    <row r="42" spans="1:9" x14ac:dyDescent="0.25">
      <c r="A42" s="7" t="s">
        <v>58</v>
      </c>
      <c r="B42" s="17">
        <f>B27-B41</f>
        <v>650.5256875</v>
      </c>
      <c r="D42" s="58"/>
      <c r="E42" s="61"/>
    </row>
    <row r="43" spans="1:9" x14ac:dyDescent="0.25">
      <c r="A43" s="7" t="s">
        <v>59</v>
      </c>
      <c r="B43" s="43">
        <f>B23-B42-I27-I36</f>
        <v>-37.025687500000032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-8.7557049955660729E-2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811.92</v>
      </c>
    </row>
    <row r="47" spans="1:9" ht="15.75" thickBot="1" x14ac:dyDescent="0.3">
      <c r="A47" s="63" t="s">
        <v>251</v>
      </c>
      <c r="B47" s="65">
        <f>B16*0.02</f>
        <v>2029.8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274" priority="29" operator="equal">
      <formula>"NO"</formula>
    </cfRule>
    <cfRule type="cellIs" dxfId="2273" priority="30" operator="equal">
      <formula>"YES"</formula>
    </cfRule>
  </conditionalFormatting>
  <conditionalFormatting sqref="E40">
    <cfRule type="cellIs" dxfId="2272" priority="27" operator="equal">
      <formula>"YES"</formula>
    </cfRule>
    <cfRule type="cellIs" dxfId="2271" priority="28" operator="equal">
      <formula>"NO"</formula>
    </cfRule>
  </conditionalFormatting>
  <conditionalFormatting sqref="B25">
    <cfRule type="cellIs" dxfId="2270" priority="25" operator="equal">
      <formula>"NO"</formula>
    </cfRule>
    <cfRule type="cellIs" dxfId="2269" priority="26" operator="equal">
      <formula>"YES"</formula>
    </cfRule>
  </conditionalFormatting>
  <conditionalFormatting sqref="B12">
    <cfRule type="containsText" dxfId="2268" priority="11" operator="containsText" text="Low">
      <formula>NOT(ISERROR(SEARCH("Low",B12)))</formula>
    </cfRule>
    <cfRule type="containsText" dxfId="2267" priority="12" operator="containsText" text="Medium">
      <formula>NOT(ISERROR(SEARCH("Medium",B12)))</formula>
    </cfRule>
    <cfRule type="containsText" dxfId="2266" priority="13" operator="containsText" text="High">
      <formula>NOT(ISERROR(SEARCH("High",B12)))</formula>
    </cfRule>
  </conditionalFormatting>
  <conditionalFormatting sqref="B31">
    <cfRule type="cellIs" dxfId="2265" priority="21" operator="between">
      <formula>10%</formula>
      <formula>11.9%</formula>
    </cfRule>
    <cfRule type="cellIs" dxfId="2264" priority="23" operator="lessThan">
      <formula>0.1</formula>
    </cfRule>
    <cfRule type="cellIs" dxfId="2263" priority="24" operator="greaterThanOrEqual">
      <formula>0.12</formula>
    </cfRule>
  </conditionalFormatting>
  <conditionalFormatting sqref="B44">
    <cfRule type="cellIs" dxfId="2262" priority="19" operator="between">
      <formula>0.1</formula>
      <formula>0.1199</formula>
    </cfRule>
    <cfRule type="cellIs" dxfId="2261" priority="20" operator="lessThan">
      <formula>0.1</formula>
    </cfRule>
    <cfRule type="cellIs" dxfId="2260" priority="22" operator="greaterThanOrEqual">
      <formula>0.12</formula>
    </cfRule>
  </conditionalFormatting>
  <conditionalFormatting sqref="B10">
    <cfRule type="containsText" dxfId="2259" priority="14" operator="containsText" text="Full">
      <formula>NOT(ISERROR(SEARCH("Full",B10)))</formula>
    </cfRule>
    <cfRule type="containsText" dxfId="2258" priority="15" operator="containsText" text="Heavy">
      <formula>NOT(ISERROR(SEARCH("Heavy",B10)))</formula>
    </cfRule>
    <cfRule type="containsText" dxfId="2257" priority="16" operator="containsText" text="Medium">
      <formula>NOT(ISERROR(SEARCH("Medium",B10)))</formula>
    </cfRule>
    <cfRule type="containsText" dxfId="2256" priority="17" operator="containsText" text="Light">
      <formula>NOT(ISERROR(SEARCH("Light",B10)))</formula>
    </cfRule>
    <cfRule type="containsText" dxfId="2255" priority="18" operator="containsText" text="None">
      <formula>NOT(ISERROR(SEARCH("None",B10)))</formula>
    </cfRule>
  </conditionalFormatting>
  <conditionalFormatting sqref="B30">
    <cfRule type="cellIs" dxfId="2254" priority="31" operator="lessThan">
      <formula>$B$8*100</formula>
    </cfRule>
    <cfRule type="cellIs" dxfId="2253" priority="32" operator="greaterThanOrEqual">
      <formula>$B$8*100</formula>
    </cfRule>
  </conditionalFormatting>
  <conditionalFormatting sqref="B43">
    <cfRule type="cellIs" dxfId="2252" priority="33" operator="lessThan">
      <formula>$B$8*100</formula>
    </cfRule>
    <cfRule type="cellIs" dxfId="2251" priority="34" operator="greaterThan">
      <formula>$B$8*100</formula>
    </cfRule>
    <cfRule type="cellIs" dxfId="2250" priority="35" operator="greaterThan">
      <formula>$B$8*100</formula>
    </cfRule>
  </conditionalFormatting>
  <conditionalFormatting sqref="B40">
    <cfRule type="cellIs" dxfId="2249" priority="9" operator="equal">
      <formula>"YES"</formula>
    </cfRule>
    <cfRule type="cellIs" dxfId="2248" priority="10" operator="equal">
      <formula>"NO"</formula>
    </cfRule>
  </conditionalFormatting>
  <conditionalFormatting sqref="E25:E28">
    <cfRule type="cellIs" dxfId="2247" priority="5" operator="equal">
      <formula>"NO"</formula>
    </cfRule>
    <cfRule type="cellIs" dxfId="2246" priority="6" operator="equal">
      <formula>"YES"</formula>
    </cfRule>
  </conditionalFormatting>
  <conditionalFormatting sqref="E31">
    <cfRule type="cellIs" dxfId="2245" priority="2" operator="between">
      <formula>10%</formula>
      <formula>12%</formula>
    </cfRule>
    <cfRule type="cellIs" dxfId="2244" priority="3" operator="lessThan">
      <formula>0.1</formula>
    </cfRule>
    <cfRule type="cellIs" dxfId="2243" priority="4" operator="greaterThan">
      <formula>0.12</formula>
    </cfRule>
  </conditionalFormatting>
  <conditionalFormatting sqref="E30">
    <cfRule type="cellIs" dxfId="2242" priority="7" operator="lessThan">
      <formula>$B$8*100</formula>
    </cfRule>
    <cfRule type="cellIs" dxfId="2241" priority="8" operator="greaterThan">
      <formula>$B$8*100</formula>
    </cfRule>
  </conditionalFormatting>
  <conditionalFormatting sqref="B46:B47">
    <cfRule type="cellIs" dxfId="2240" priority="1" operator="greaterThan">
      <formula>0</formula>
    </cfRule>
  </conditionalFormatting>
  <hyperlinks>
    <hyperlink ref="A34" r:id="rId1" display="https://www.zillow.com/homes/recently_sold/" xr:uid="{22DD00B4-F198-45E3-9FBF-958A2B3E70E5}"/>
    <hyperlink ref="A23" r:id="rId2" xr:uid="{B769C016-CA1E-490C-B63B-826E7ACB7284}"/>
    <hyperlink ref="A27" r:id="rId3" display="www.mortgagecalculator.org" xr:uid="{A3651302-BA23-4387-869D-C3571E46A53D}"/>
    <hyperlink ref="A12" r:id="rId4" xr:uid="{B3E18E06-58FD-4A2A-A90F-E8EEFB78025D}"/>
  </hyperlinks>
  <pageMargins left="0.7" right="0.7" top="0.75" bottom="0.75" header="0.3" footer="0.3"/>
  <drawing r:id="rId5"/>
  <legacyDrawing r:id="rId6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EB38F-461E-4155-91CF-C141BC959BBE}">
  <sheetPr codeName="Sheet175">
    <tabColor rgb="FFFF0000"/>
  </sheetPr>
  <dimension ref="A1:P47"/>
  <sheetViews>
    <sheetView topLeftCell="A7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1420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136000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21300</v>
      </c>
      <c r="D15" s="2"/>
      <c r="E15" s="3"/>
    </row>
    <row r="16" spans="1:10" x14ac:dyDescent="0.25">
      <c r="A16" s="7" t="s">
        <v>20</v>
      </c>
      <c r="B16" s="17">
        <f>B15+B13</f>
        <v>157300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5505.5000000000009</v>
      </c>
      <c r="D17" s="19"/>
      <c r="E17" s="20"/>
      <c r="P17" s="21"/>
    </row>
    <row r="18" spans="1:16" x14ac:dyDescent="0.25">
      <c r="A18" s="7" t="s">
        <v>253</v>
      </c>
      <c r="B18" s="17">
        <f>B13*0.04</f>
        <v>5440</v>
      </c>
      <c r="D18" s="66"/>
      <c r="E18" s="67"/>
      <c r="P18" s="21"/>
    </row>
    <row r="19" spans="1:16" x14ac:dyDescent="0.25">
      <c r="A19" s="7" t="s">
        <v>254</v>
      </c>
      <c r="B19" s="17">
        <f>B17+B18</f>
        <v>10945.5</v>
      </c>
      <c r="D19" s="66"/>
      <c r="E19" s="67"/>
      <c r="P19" s="21"/>
    </row>
    <row r="20" spans="1:16" x14ac:dyDescent="0.25">
      <c r="A20" s="7" t="s">
        <v>23</v>
      </c>
      <c r="B20" s="17">
        <f>B16-B17</f>
        <v>151794.5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1052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1573</v>
      </c>
      <c r="D24" s="7" t="s">
        <v>77</v>
      </c>
      <c r="E24" s="17">
        <f>B16*0.01</f>
        <v>1573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1165.54</v>
      </c>
      <c r="D27" s="7" t="s">
        <v>38</v>
      </c>
      <c r="E27" s="35">
        <f>B27</f>
        <v>1165.54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1428.54</v>
      </c>
      <c r="D28" s="7" t="s">
        <v>41</v>
      </c>
      <c r="E28" s="17">
        <f>E27+I27+I36</f>
        <v>1428.54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-376.53999999999996</v>
      </c>
      <c r="D30" s="7" t="s">
        <v>43</v>
      </c>
      <c r="E30" s="44">
        <f>E23-E27-I27-I36+I26+I35</f>
        <v>-273.33999999999997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-0.41281622584623812</v>
      </c>
      <c r="D31" s="46" t="s">
        <v>44</v>
      </c>
      <c r="E31" s="47">
        <f>(E30*12)/B19</f>
        <v>-0.29967383856379332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52.6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52.6</v>
      </c>
    </row>
    <row r="34" spans="1:9" x14ac:dyDescent="0.25">
      <c r="A34" s="26" t="s">
        <v>49</v>
      </c>
      <c r="B34" s="8">
        <f>B16</f>
        <v>157300</v>
      </c>
      <c r="G34" s="27" t="s">
        <v>50</v>
      </c>
      <c r="H34" s="48">
        <v>0.05</v>
      </c>
      <c r="I34" s="49">
        <f>$B$23*H34</f>
        <v>52.6</v>
      </c>
    </row>
    <row r="35" spans="1:9" x14ac:dyDescent="0.25">
      <c r="A35" s="7" t="s">
        <v>51</v>
      </c>
      <c r="B35" s="17">
        <f>B34-B20</f>
        <v>5505.5</v>
      </c>
      <c r="G35" s="27" t="s">
        <v>52</v>
      </c>
      <c r="H35" s="48">
        <v>0.1</v>
      </c>
      <c r="I35" s="49">
        <f>$B$23*H35</f>
        <v>105.2</v>
      </c>
    </row>
    <row r="36" spans="1:9" ht="15.75" thickBot="1" x14ac:dyDescent="0.3">
      <c r="A36" s="7" t="s">
        <v>53</v>
      </c>
      <c r="B36" s="50">
        <f>B35/B17</f>
        <v>0.99999999999999989</v>
      </c>
      <c r="G36" s="36" t="s">
        <v>39</v>
      </c>
      <c r="H36" s="37"/>
      <c r="I36" s="51">
        <f>SUM(I32:I35)</f>
        <v>263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107.52110416666666</v>
      </c>
      <c r="D41" s="58"/>
      <c r="E41" s="61"/>
    </row>
    <row r="42" spans="1:9" x14ac:dyDescent="0.25">
      <c r="A42" s="7" t="s">
        <v>58</v>
      </c>
      <c r="B42" s="17">
        <f>B27-B41</f>
        <v>1058.0188958333333</v>
      </c>
      <c r="D42" s="58"/>
      <c r="E42" s="61"/>
    </row>
    <row r="43" spans="1:9" x14ac:dyDescent="0.25">
      <c r="A43" s="7" t="s">
        <v>59</v>
      </c>
      <c r="B43" s="43">
        <f>B23-B42-I27-I36</f>
        <v>-269.01889583333332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-0.58636395422759047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1258.4000000000001</v>
      </c>
    </row>
    <row r="47" spans="1:9" ht="15.75" thickBot="1" x14ac:dyDescent="0.3">
      <c r="A47" s="63" t="s">
        <v>251</v>
      </c>
      <c r="B47" s="65">
        <f>B16*0.02</f>
        <v>3146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239" priority="29" operator="equal">
      <formula>"NO"</formula>
    </cfRule>
    <cfRule type="cellIs" dxfId="2238" priority="30" operator="equal">
      <formula>"YES"</formula>
    </cfRule>
  </conditionalFormatting>
  <conditionalFormatting sqref="E40">
    <cfRule type="cellIs" dxfId="2237" priority="27" operator="equal">
      <formula>"YES"</formula>
    </cfRule>
    <cfRule type="cellIs" dxfId="2236" priority="28" operator="equal">
      <formula>"NO"</formula>
    </cfRule>
  </conditionalFormatting>
  <conditionalFormatting sqref="B25">
    <cfRule type="cellIs" dxfId="2235" priority="25" operator="equal">
      <formula>"NO"</formula>
    </cfRule>
    <cfRule type="cellIs" dxfId="2234" priority="26" operator="equal">
      <formula>"YES"</formula>
    </cfRule>
  </conditionalFormatting>
  <conditionalFormatting sqref="B12">
    <cfRule type="containsText" dxfId="2233" priority="11" operator="containsText" text="Low">
      <formula>NOT(ISERROR(SEARCH("Low",B12)))</formula>
    </cfRule>
    <cfRule type="containsText" dxfId="2232" priority="12" operator="containsText" text="Medium">
      <formula>NOT(ISERROR(SEARCH("Medium",B12)))</formula>
    </cfRule>
    <cfRule type="containsText" dxfId="2231" priority="13" operator="containsText" text="High">
      <formula>NOT(ISERROR(SEARCH("High",B12)))</formula>
    </cfRule>
  </conditionalFormatting>
  <conditionalFormatting sqref="B31">
    <cfRule type="cellIs" dxfId="2230" priority="21" operator="between">
      <formula>10%</formula>
      <formula>11.9%</formula>
    </cfRule>
    <cfRule type="cellIs" dxfId="2229" priority="23" operator="lessThan">
      <formula>0.1</formula>
    </cfRule>
    <cfRule type="cellIs" dxfId="2228" priority="24" operator="greaterThanOrEqual">
      <formula>0.12</formula>
    </cfRule>
  </conditionalFormatting>
  <conditionalFormatting sqref="B44">
    <cfRule type="cellIs" dxfId="2227" priority="19" operator="between">
      <formula>0.1</formula>
      <formula>0.1199</formula>
    </cfRule>
    <cfRule type="cellIs" dxfId="2226" priority="20" operator="lessThan">
      <formula>0.1</formula>
    </cfRule>
    <cfRule type="cellIs" dxfId="2225" priority="22" operator="greaterThanOrEqual">
      <formula>0.12</formula>
    </cfRule>
  </conditionalFormatting>
  <conditionalFormatting sqref="B10">
    <cfRule type="containsText" dxfId="2224" priority="14" operator="containsText" text="Full">
      <formula>NOT(ISERROR(SEARCH("Full",B10)))</formula>
    </cfRule>
    <cfRule type="containsText" dxfId="2223" priority="15" operator="containsText" text="Heavy">
      <formula>NOT(ISERROR(SEARCH("Heavy",B10)))</formula>
    </cfRule>
    <cfRule type="containsText" dxfId="2222" priority="16" operator="containsText" text="Medium">
      <formula>NOT(ISERROR(SEARCH("Medium",B10)))</formula>
    </cfRule>
    <cfRule type="containsText" dxfId="2221" priority="17" operator="containsText" text="Light">
      <formula>NOT(ISERROR(SEARCH("Light",B10)))</formula>
    </cfRule>
    <cfRule type="containsText" dxfId="2220" priority="18" operator="containsText" text="None">
      <formula>NOT(ISERROR(SEARCH("None",B10)))</formula>
    </cfRule>
  </conditionalFormatting>
  <conditionalFormatting sqref="B30">
    <cfRule type="cellIs" dxfId="2219" priority="31" operator="lessThan">
      <formula>$B$8*100</formula>
    </cfRule>
    <cfRule type="cellIs" dxfId="2218" priority="32" operator="greaterThanOrEqual">
      <formula>$B$8*100</formula>
    </cfRule>
  </conditionalFormatting>
  <conditionalFormatting sqref="B43">
    <cfRule type="cellIs" dxfId="2217" priority="33" operator="lessThan">
      <formula>$B$8*100</formula>
    </cfRule>
    <cfRule type="cellIs" dxfId="2216" priority="34" operator="greaterThan">
      <formula>$B$8*100</formula>
    </cfRule>
    <cfRule type="cellIs" dxfId="2215" priority="35" operator="greaterThan">
      <formula>$B$8*100</formula>
    </cfRule>
  </conditionalFormatting>
  <conditionalFormatting sqref="B40">
    <cfRule type="cellIs" dxfId="2214" priority="9" operator="equal">
      <formula>"YES"</formula>
    </cfRule>
    <cfRule type="cellIs" dxfId="2213" priority="10" operator="equal">
      <formula>"NO"</formula>
    </cfRule>
  </conditionalFormatting>
  <conditionalFormatting sqref="E25:E28">
    <cfRule type="cellIs" dxfId="2212" priority="5" operator="equal">
      <formula>"NO"</formula>
    </cfRule>
    <cfRule type="cellIs" dxfId="2211" priority="6" operator="equal">
      <formula>"YES"</formula>
    </cfRule>
  </conditionalFormatting>
  <conditionalFormatting sqref="E31">
    <cfRule type="cellIs" dxfId="2210" priority="2" operator="between">
      <formula>10%</formula>
      <formula>12%</formula>
    </cfRule>
    <cfRule type="cellIs" dxfId="2209" priority="3" operator="lessThan">
      <formula>0.1</formula>
    </cfRule>
    <cfRule type="cellIs" dxfId="2208" priority="4" operator="greaterThan">
      <formula>0.12</formula>
    </cfRule>
  </conditionalFormatting>
  <conditionalFormatting sqref="E30">
    <cfRule type="cellIs" dxfId="2207" priority="7" operator="lessThan">
      <formula>$B$8*100</formula>
    </cfRule>
    <cfRule type="cellIs" dxfId="2206" priority="8" operator="greaterThan">
      <formula>$B$8*100</formula>
    </cfRule>
  </conditionalFormatting>
  <conditionalFormatting sqref="B46:B47">
    <cfRule type="cellIs" dxfId="2205" priority="1" operator="greaterThan">
      <formula>0</formula>
    </cfRule>
  </conditionalFormatting>
  <hyperlinks>
    <hyperlink ref="A34" r:id="rId1" display="https://www.zillow.com/homes/recently_sold/" xr:uid="{77393DED-0608-4D0D-800F-BF0A31AEF199}"/>
    <hyperlink ref="A23" r:id="rId2" xr:uid="{5E6371AD-BE7D-495F-8411-88F5C1A0B33D}"/>
    <hyperlink ref="A27" r:id="rId3" display="www.mortgagecalculator.org" xr:uid="{C4CF39B1-2B52-4406-9A15-AE6EB6769983}"/>
    <hyperlink ref="A12" r:id="rId4" xr:uid="{D27250C1-58F6-41F8-BC1E-682DF87B8E46}"/>
  </hyperlinks>
  <pageMargins left="0.7" right="0.7" top="0.75" bottom="0.75" header="0.3" footer="0.3"/>
  <drawing r:id="rId5"/>
  <legacyDrawing r:id="rId6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5F4E-64E0-472C-B1F3-F0C7F4B258EF}">
  <sheetPr codeName="Sheet176">
    <tabColor rgb="FFFF0000"/>
  </sheetPr>
  <dimension ref="A1:P47"/>
  <sheetViews>
    <sheetView topLeftCell="A7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1188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136000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17820</v>
      </c>
      <c r="D15" s="2"/>
      <c r="E15" s="3"/>
    </row>
    <row r="16" spans="1:10" x14ac:dyDescent="0.25">
      <c r="A16" s="7" t="s">
        <v>20</v>
      </c>
      <c r="B16" s="17">
        <f>B15+B13</f>
        <v>153820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5383.7000000000007</v>
      </c>
      <c r="D17" s="19"/>
      <c r="E17" s="20"/>
      <c r="P17" s="21"/>
    </row>
    <row r="18" spans="1:16" x14ac:dyDescent="0.25">
      <c r="A18" s="7" t="s">
        <v>253</v>
      </c>
      <c r="B18" s="17">
        <f>B13*0.04</f>
        <v>5440</v>
      </c>
      <c r="D18" s="66"/>
      <c r="E18" s="67"/>
      <c r="P18" s="21"/>
    </row>
    <row r="19" spans="1:16" x14ac:dyDescent="0.25">
      <c r="A19" s="7" t="s">
        <v>254</v>
      </c>
      <c r="B19" s="17">
        <f>B17+B18</f>
        <v>10823.7</v>
      </c>
      <c r="D19" s="66"/>
      <c r="E19" s="67"/>
      <c r="P19" s="21"/>
    </row>
    <row r="20" spans="1:16" x14ac:dyDescent="0.25">
      <c r="A20" s="7" t="s">
        <v>23</v>
      </c>
      <c r="B20" s="17">
        <f>B16-B17</f>
        <v>148436.29999999999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1128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1538.2</v>
      </c>
      <c r="D24" s="7" t="s">
        <v>77</v>
      </c>
      <c r="E24" s="17">
        <f>B16*0.01</f>
        <v>1538.2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1155.47</v>
      </c>
      <c r="D27" s="7" t="s">
        <v>38</v>
      </c>
      <c r="E27" s="35">
        <f>B27</f>
        <v>1155.47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1437.47</v>
      </c>
      <c r="D28" s="7" t="s">
        <v>41</v>
      </c>
      <c r="E28" s="17">
        <f>E27+I27+I36</f>
        <v>1437.47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-309.47000000000003</v>
      </c>
      <c r="D30" s="7" t="s">
        <v>43</v>
      </c>
      <c r="E30" s="44">
        <f>E23-E27-I27-I36+I26+I35</f>
        <v>-274.67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-0.34310263588236928</v>
      </c>
      <c r="D31" s="46" t="s">
        <v>44</v>
      </c>
      <c r="E31" s="47">
        <f>(E30*12)/B19</f>
        <v>-0.30452063527259621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56.400000000000006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56.400000000000006</v>
      </c>
    </row>
    <row r="34" spans="1:9" x14ac:dyDescent="0.25">
      <c r="A34" s="26" t="s">
        <v>49</v>
      </c>
      <c r="B34" s="8">
        <f>B16</f>
        <v>153820</v>
      </c>
      <c r="G34" s="27" t="s">
        <v>50</v>
      </c>
      <c r="H34" s="48">
        <v>0.05</v>
      </c>
      <c r="I34" s="49">
        <f>$B$23*H34</f>
        <v>56.400000000000006</v>
      </c>
    </row>
    <row r="35" spans="1:9" x14ac:dyDescent="0.25">
      <c r="A35" s="7" t="s">
        <v>51</v>
      </c>
      <c r="B35" s="17">
        <f>B34-B20</f>
        <v>5383.7000000000116</v>
      </c>
      <c r="G35" s="27" t="s">
        <v>52</v>
      </c>
      <c r="H35" s="48">
        <v>0.1</v>
      </c>
      <c r="I35" s="49">
        <f>$B$23*H35</f>
        <v>112.80000000000001</v>
      </c>
    </row>
    <row r="36" spans="1:9" ht="15.75" thickBot="1" x14ac:dyDescent="0.3">
      <c r="A36" s="7" t="s">
        <v>53</v>
      </c>
      <c r="B36" s="50">
        <f>B35/B17</f>
        <v>1.000000000000002</v>
      </c>
      <c r="G36" s="36" t="s">
        <v>39</v>
      </c>
      <c r="H36" s="37"/>
      <c r="I36" s="51">
        <f>SUM(I32:I35)</f>
        <v>282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105.14237916666667</v>
      </c>
      <c r="D41" s="58"/>
      <c r="E41" s="61"/>
    </row>
    <row r="42" spans="1:9" x14ac:dyDescent="0.25">
      <c r="A42" s="7" t="s">
        <v>58</v>
      </c>
      <c r="B42" s="17">
        <f>B27-B41</f>
        <v>1050.3276208333334</v>
      </c>
      <c r="D42" s="58"/>
      <c r="E42" s="61"/>
    </row>
    <row r="43" spans="1:9" x14ac:dyDescent="0.25">
      <c r="A43" s="7" t="s">
        <v>59</v>
      </c>
      <c r="B43" s="43">
        <f>B23-B42-I27-I36</f>
        <v>-204.32762083333341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-0.45543612199788264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1230.56</v>
      </c>
    </row>
    <row r="47" spans="1:9" ht="15.75" thickBot="1" x14ac:dyDescent="0.3">
      <c r="A47" s="63" t="s">
        <v>251</v>
      </c>
      <c r="B47" s="65">
        <f>B16*0.02</f>
        <v>3076.4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204" priority="29" operator="equal">
      <formula>"NO"</formula>
    </cfRule>
    <cfRule type="cellIs" dxfId="2203" priority="30" operator="equal">
      <formula>"YES"</formula>
    </cfRule>
  </conditionalFormatting>
  <conditionalFormatting sqref="E40">
    <cfRule type="cellIs" dxfId="2202" priority="27" operator="equal">
      <formula>"YES"</formula>
    </cfRule>
    <cfRule type="cellIs" dxfId="2201" priority="28" operator="equal">
      <formula>"NO"</formula>
    </cfRule>
  </conditionalFormatting>
  <conditionalFormatting sqref="B25">
    <cfRule type="cellIs" dxfId="2200" priority="25" operator="equal">
      <formula>"NO"</formula>
    </cfRule>
    <cfRule type="cellIs" dxfId="2199" priority="26" operator="equal">
      <formula>"YES"</formula>
    </cfRule>
  </conditionalFormatting>
  <conditionalFormatting sqref="B12">
    <cfRule type="containsText" dxfId="2198" priority="11" operator="containsText" text="Low">
      <formula>NOT(ISERROR(SEARCH("Low",B12)))</formula>
    </cfRule>
    <cfRule type="containsText" dxfId="2197" priority="12" operator="containsText" text="Medium">
      <formula>NOT(ISERROR(SEARCH("Medium",B12)))</formula>
    </cfRule>
    <cfRule type="containsText" dxfId="2196" priority="13" operator="containsText" text="High">
      <formula>NOT(ISERROR(SEARCH("High",B12)))</formula>
    </cfRule>
  </conditionalFormatting>
  <conditionalFormatting sqref="B31">
    <cfRule type="cellIs" dxfId="2195" priority="21" operator="between">
      <formula>10%</formula>
      <formula>11.9%</formula>
    </cfRule>
    <cfRule type="cellIs" dxfId="2194" priority="23" operator="lessThan">
      <formula>0.1</formula>
    </cfRule>
    <cfRule type="cellIs" dxfId="2193" priority="24" operator="greaterThanOrEqual">
      <formula>0.12</formula>
    </cfRule>
  </conditionalFormatting>
  <conditionalFormatting sqref="B44">
    <cfRule type="cellIs" dxfId="2192" priority="19" operator="between">
      <formula>0.1</formula>
      <formula>0.1199</formula>
    </cfRule>
    <cfRule type="cellIs" dxfId="2191" priority="20" operator="lessThan">
      <formula>0.1</formula>
    </cfRule>
    <cfRule type="cellIs" dxfId="2190" priority="22" operator="greaterThanOrEqual">
      <formula>0.12</formula>
    </cfRule>
  </conditionalFormatting>
  <conditionalFormatting sqref="B10">
    <cfRule type="containsText" dxfId="2189" priority="14" operator="containsText" text="Full">
      <formula>NOT(ISERROR(SEARCH("Full",B10)))</formula>
    </cfRule>
    <cfRule type="containsText" dxfId="2188" priority="15" operator="containsText" text="Heavy">
      <formula>NOT(ISERROR(SEARCH("Heavy",B10)))</formula>
    </cfRule>
    <cfRule type="containsText" dxfId="2187" priority="16" operator="containsText" text="Medium">
      <formula>NOT(ISERROR(SEARCH("Medium",B10)))</formula>
    </cfRule>
    <cfRule type="containsText" dxfId="2186" priority="17" operator="containsText" text="Light">
      <formula>NOT(ISERROR(SEARCH("Light",B10)))</formula>
    </cfRule>
    <cfRule type="containsText" dxfId="2185" priority="18" operator="containsText" text="None">
      <formula>NOT(ISERROR(SEARCH("None",B10)))</formula>
    </cfRule>
  </conditionalFormatting>
  <conditionalFormatting sqref="B30">
    <cfRule type="cellIs" dxfId="2184" priority="31" operator="lessThan">
      <formula>$B$8*100</formula>
    </cfRule>
    <cfRule type="cellIs" dxfId="2183" priority="32" operator="greaterThanOrEqual">
      <formula>$B$8*100</formula>
    </cfRule>
  </conditionalFormatting>
  <conditionalFormatting sqref="B43">
    <cfRule type="cellIs" dxfId="2182" priority="33" operator="lessThan">
      <formula>$B$8*100</formula>
    </cfRule>
    <cfRule type="cellIs" dxfId="2181" priority="34" operator="greaterThan">
      <formula>$B$8*100</formula>
    </cfRule>
    <cfRule type="cellIs" dxfId="2180" priority="35" operator="greaterThan">
      <formula>$B$8*100</formula>
    </cfRule>
  </conditionalFormatting>
  <conditionalFormatting sqref="B40">
    <cfRule type="cellIs" dxfId="2179" priority="9" operator="equal">
      <formula>"YES"</formula>
    </cfRule>
    <cfRule type="cellIs" dxfId="2178" priority="10" operator="equal">
      <formula>"NO"</formula>
    </cfRule>
  </conditionalFormatting>
  <conditionalFormatting sqref="E25:E28">
    <cfRule type="cellIs" dxfId="2177" priority="5" operator="equal">
      <formula>"NO"</formula>
    </cfRule>
    <cfRule type="cellIs" dxfId="2176" priority="6" operator="equal">
      <formula>"YES"</formula>
    </cfRule>
  </conditionalFormatting>
  <conditionalFormatting sqref="E31">
    <cfRule type="cellIs" dxfId="2175" priority="2" operator="between">
      <formula>10%</formula>
      <formula>12%</formula>
    </cfRule>
    <cfRule type="cellIs" dxfId="2174" priority="3" operator="lessThan">
      <formula>0.1</formula>
    </cfRule>
    <cfRule type="cellIs" dxfId="2173" priority="4" operator="greaterThan">
      <formula>0.12</formula>
    </cfRule>
  </conditionalFormatting>
  <conditionalFormatting sqref="E30">
    <cfRule type="cellIs" dxfId="2172" priority="7" operator="lessThan">
      <formula>$B$8*100</formula>
    </cfRule>
    <cfRule type="cellIs" dxfId="2171" priority="8" operator="greaterThan">
      <formula>$B$8*100</formula>
    </cfRule>
  </conditionalFormatting>
  <conditionalFormatting sqref="B46:B47">
    <cfRule type="cellIs" dxfId="2170" priority="1" operator="greaterThan">
      <formula>0</formula>
    </cfRule>
  </conditionalFormatting>
  <hyperlinks>
    <hyperlink ref="A34" r:id="rId1" display="https://www.zillow.com/homes/recently_sold/" xr:uid="{4595CD19-CC9D-47F2-9AB4-37A1EBF341A7}"/>
    <hyperlink ref="A23" r:id="rId2" xr:uid="{8653E452-E313-4FD1-8ABF-56504E886599}"/>
    <hyperlink ref="A27" r:id="rId3" display="www.mortgagecalculator.org" xr:uid="{7A8DEC50-906A-4736-B8F8-35854E7A2056}"/>
    <hyperlink ref="A12" r:id="rId4" xr:uid="{DC333C65-2850-49ED-92B8-D2D109602331}"/>
  </hyperlinks>
  <pageMargins left="0.7" right="0.7" top="0.75" bottom="0.75" header="0.3" footer="0.3"/>
  <drawing r:id="rId5"/>
  <legacyDrawing r:id="rId6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E62F-FEFB-48CF-8F24-BD1A349AAEC2}">
  <sheetPr codeName="Sheet177">
    <tabColor rgb="FFFF0000"/>
  </sheetPr>
  <dimension ref="A1:P47"/>
  <sheetViews>
    <sheetView topLeftCell="A9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145900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988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124015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24700</v>
      </c>
      <c r="D15" s="2"/>
      <c r="E15" s="3"/>
    </row>
    <row r="16" spans="1:10" x14ac:dyDescent="0.25">
      <c r="A16" s="7" t="s">
        <v>20</v>
      </c>
      <c r="B16" s="17">
        <f>B15+B13</f>
        <v>148715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5205.0250000000005</v>
      </c>
      <c r="D17" s="19"/>
      <c r="E17" s="20"/>
      <c r="P17" s="21"/>
    </row>
    <row r="18" spans="1:16" x14ac:dyDescent="0.25">
      <c r="A18" s="7" t="s">
        <v>253</v>
      </c>
      <c r="B18" s="17">
        <f>B13*0.04</f>
        <v>4960.6000000000004</v>
      </c>
      <c r="D18" s="66"/>
      <c r="E18" s="67"/>
      <c r="P18" s="21"/>
    </row>
    <row r="19" spans="1:16" x14ac:dyDescent="0.25">
      <c r="A19" s="7" t="s">
        <v>254</v>
      </c>
      <c r="B19" s="17">
        <f>B17+B18</f>
        <v>10165.625</v>
      </c>
      <c r="D19" s="66"/>
      <c r="E19" s="67"/>
      <c r="P19" s="21"/>
    </row>
    <row r="20" spans="1:16" x14ac:dyDescent="0.25">
      <c r="A20" s="7" t="s">
        <v>23</v>
      </c>
      <c r="B20" s="17">
        <f>B16-B17</f>
        <v>143509.97500000001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1194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1487.15</v>
      </c>
      <c r="D24" s="7" t="s">
        <v>77</v>
      </c>
      <c r="E24" s="17">
        <f>B16*0.01</f>
        <v>1487.15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1095.1199999999999</v>
      </c>
      <c r="D27" s="7" t="s">
        <v>38</v>
      </c>
      <c r="E27" s="35">
        <f>B27</f>
        <v>1095.1199999999999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1393.62</v>
      </c>
      <c r="D28" s="7" t="s">
        <v>41</v>
      </c>
      <c r="E28" s="17">
        <f>E27+I27+I36</f>
        <v>1393.62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-199.61999999999989</v>
      </c>
      <c r="D30" s="7" t="s">
        <v>43</v>
      </c>
      <c r="E30" s="44">
        <f>E23-E27-I27-I36+I26+I35</f>
        <v>-224.21999999999989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-0.23564119274515818</v>
      </c>
      <c r="D31" s="46" t="s">
        <v>44</v>
      </c>
      <c r="E31" s="47">
        <f>(E30*12)/B19</f>
        <v>-0.26468023363049475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59.7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59.7</v>
      </c>
    </row>
    <row r="34" spans="1:9" x14ac:dyDescent="0.25">
      <c r="A34" s="26" t="s">
        <v>49</v>
      </c>
      <c r="B34" s="8">
        <f>B16</f>
        <v>148715</v>
      </c>
      <c r="G34" s="27" t="s">
        <v>50</v>
      </c>
      <c r="H34" s="48">
        <v>0.05</v>
      </c>
      <c r="I34" s="49">
        <f>$B$23*H34</f>
        <v>59.7</v>
      </c>
    </row>
    <row r="35" spans="1:9" x14ac:dyDescent="0.25">
      <c r="A35" s="7" t="s">
        <v>51</v>
      </c>
      <c r="B35" s="17">
        <f>B34-B20</f>
        <v>5205.0249999999942</v>
      </c>
      <c r="G35" s="27" t="s">
        <v>52</v>
      </c>
      <c r="H35" s="48">
        <v>0.1</v>
      </c>
      <c r="I35" s="49">
        <f>$B$23*H35</f>
        <v>119.4</v>
      </c>
    </row>
    <row r="36" spans="1:9" ht="15.75" thickBot="1" x14ac:dyDescent="0.3">
      <c r="A36" s="7" t="s">
        <v>53</v>
      </c>
      <c r="B36" s="50">
        <f>B35/B17</f>
        <v>0.99999999999999878</v>
      </c>
      <c r="G36" s="36" t="s">
        <v>39</v>
      </c>
      <c r="H36" s="37"/>
      <c r="I36" s="51">
        <f>SUM(I32:I35)</f>
        <v>298.5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101.65289895833335</v>
      </c>
      <c r="D41" s="58"/>
      <c r="E41" s="61"/>
    </row>
    <row r="42" spans="1:9" x14ac:dyDescent="0.25">
      <c r="A42" s="7" t="s">
        <v>58</v>
      </c>
      <c r="B42" s="17">
        <f>B27-B41</f>
        <v>993.46710104166652</v>
      </c>
      <c r="D42" s="58"/>
      <c r="E42" s="61"/>
    </row>
    <row r="43" spans="1:9" x14ac:dyDescent="0.25">
      <c r="A43" s="7" t="s">
        <v>59</v>
      </c>
      <c r="B43" s="43">
        <f>B23-B42-I27-I36</f>
        <v>-97.967101041666524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-0.22585966686038936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1189.72</v>
      </c>
    </row>
    <row r="47" spans="1:9" ht="15.75" thickBot="1" x14ac:dyDescent="0.3">
      <c r="A47" s="63" t="s">
        <v>251</v>
      </c>
      <c r="B47" s="65">
        <f>B16*0.02</f>
        <v>2974.3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169" priority="29" operator="equal">
      <formula>"NO"</formula>
    </cfRule>
    <cfRule type="cellIs" dxfId="2168" priority="30" operator="equal">
      <formula>"YES"</formula>
    </cfRule>
  </conditionalFormatting>
  <conditionalFormatting sqref="E40">
    <cfRule type="cellIs" dxfId="2167" priority="27" operator="equal">
      <formula>"YES"</formula>
    </cfRule>
    <cfRule type="cellIs" dxfId="2166" priority="28" operator="equal">
      <formula>"NO"</formula>
    </cfRule>
  </conditionalFormatting>
  <conditionalFormatting sqref="B25">
    <cfRule type="cellIs" dxfId="2165" priority="25" operator="equal">
      <formula>"NO"</formula>
    </cfRule>
    <cfRule type="cellIs" dxfId="2164" priority="26" operator="equal">
      <formula>"YES"</formula>
    </cfRule>
  </conditionalFormatting>
  <conditionalFormatting sqref="B12">
    <cfRule type="containsText" dxfId="2163" priority="11" operator="containsText" text="Low">
      <formula>NOT(ISERROR(SEARCH("Low",B12)))</formula>
    </cfRule>
    <cfRule type="containsText" dxfId="2162" priority="12" operator="containsText" text="Medium">
      <formula>NOT(ISERROR(SEARCH("Medium",B12)))</formula>
    </cfRule>
    <cfRule type="containsText" dxfId="2161" priority="13" operator="containsText" text="High">
      <formula>NOT(ISERROR(SEARCH("High",B12)))</formula>
    </cfRule>
  </conditionalFormatting>
  <conditionalFormatting sqref="B31">
    <cfRule type="cellIs" dxfId="2160" priority="21" operator="between">
      <formula>10%</formula>
      <formula>11.9%</formula>
    </cfRule>
    <cfRule type="cellIs" dxfId="2159" priority="23" operator="lessThan">
      <formula>0.1</formula>
    </cfRule>
    <cfRule type="cellIs" dxfId="2158" priority="24" operator="greaterThanOrEqual">
      <formula>0.12</formula>
    </cfRule>
  </conditionalFormatting>
  <conditionalFormatting sqref="B44">
    <cfRule type="cellIs" dxfId="2157" priority="19" operator="between">
      <formula>0.1</formula>
      <formula>0.1199</formula>
    </cfRule>
    <cfRule type="cellIs" dxfId="2156" priority="20" operator="lessThan">
      <formula>0.1</formula>
    </cfRule>
    <cfRule type="cellIs" dxfId="2155" priority="22" operator="greaterThanOrEqual">
      <formula>0.12</formula>
    </cfRule>
  </conditionalFormatting>
  <conditionalFormatting sqref="B10">
    <cfRule type="containsText" dxfId="2154" priority="14" operator="containsText" text="Full">
      <formula>NOT(ISERROR(SEARCH("Full",B10)))</formula>
    </cfRule>
    <cfRule type="containsText" dxfId="2153" priority="15" operator="containsText" text="Heavy">
      <formula>NOT(ISERROR(SEARCH("Heavy",B10)))</formula>
    </cfRule>
    <cfRule type="containsText" dxfId="2152" priority="16" operator="containsText" text="Medium">
      <formula>NOT(ISERROR(SEARCH("Medium",B10)))</formula>
    </cfRule>
    <cfRule type="containsText" dxfId="2151" priority="17" operator="containsText" text="Light">
      <formula>NOT(ISERROR(SEARCH("Light",B10)))</formula>
    </cfRule>
    <cfRule type="containsText" dxfId="2150" priority="18" operator="containsText" text="None">
      <formula>NOT(ISERROR(SEARCH("None",B10)))</formula>
    </cfRule>
  </conditionalFormatting>
  <conditionalFormatting sqref="B30">
    <cfRule type="cellIs" dxfId="2149" priority="31" operator="lessThan">
      <formula>$B$8*100</formula>
    </cfRule>
    <cfRule type="cellIs" dxfId="2148" priority="32" operator="greaterThanOrEqual">
      <formula>$B$8*100</formula>
    </cfRule>
  </conditionalFormatting>
  <conditionalFormatting sqref="B43">
    <cfRule type="cellIs" dxfId="2147" priority="33" operator="lessThan">
      <formula>$B$8*100</formula>
    </cfRule>
    <cfRule type="cellIs" dxfId="2146" priority="34" operator="greaterThan">
      <formula>$B$8*100</formula>
    </cfRule>
    <cfRule type="cellIs" dxfId="2145" priority="35" operator="greaterThan">
      <formula>$B$8*100</formula>
    </cfRule>
  </conditionalFormatting>
  <conditionalFormatting sqref="B40">
    <cfRule type="cellIs" dxfId="2144" priority="9" operator="equal">
      <formula>"YES"</formula>
    </cfRule>
    <cfRule type="cellIs" dxfId="2143" priority="10" operator="equal">
      <formula>"NO"</formula>
    </cfRule>
  </conditionalFormatting>
  <conditionalFormatting sqref="E25:E28">
    <cfRule type="cellIs" dxfId="2142" priority="5" operator="equal">
      <formula>"NO"</formula>
    </cfRule>
    <cfRule type="cellIs" dxfId="2141" priority="6" operator="equal">
      <formula>"YES"</formula>
    </cfRule>
  </conditionalFormatting>
  <conditionalFormatting sqref="E31">
    <cfRule type="cellIs" dxfId="2140" priority="2" operator="between">
      <formula>10%</formula>
      <formula>12%</formula>
    </cfRule>
    <cfRule type="cellIs" dxfId="2139" priority="3" operator="lessThan">
      <formula>0.1</formula>
    </cfRule>
    <cfRule type="cellIs" dxfId="2138" priority="4" operator="greaterThan">
      <formula>0.12</formula>
    </cfRule>
  </conditionalFormatting>
  <conditionalFormatting sqref="E30">
    <cfRule type="cellIs" dxfId="2137" priority="7" operator="lessThan">
      <formula>$B$8*100</formula>
    </cfRule>
    <cfRule type="cellIs" dxfId="2136" priority="8" operator="greaterThan">
      <formula>$B$8*100</formula>
    </cfRule>
  </conditionalFormatting>
  <conditionalFormatting sqref="B46:B47">
    <cfRule type="cellIs" dxfId="2135" priority="1" operator="greaterThan">
      <formula>0</formula>
    </cfRule>
  </conditionalFormatting>
  <hyperlinks>
    <hyperlink ref="A34" r:id="rId1" display="https://www.zillow.com/homes/recently_sold/" xr:uid="{2571F0A0-4668-427F-872C-B905446F2A96}"/>
    <hyperlink ref="A23" r:id="rId2" xr:uid="{1CB4DB50-12CD-41E7-ABB3-E9D47E6BC6BB}"/>
    <hyperlink ref="A27" r:id="rId3" display="www.mortgagecalculator.org" xr:uid="{C2C322AB-0C56-4129-A675-E3561AD1C0C7}"/>
    <hyperlink ref="A12" r:id="rId4" xr:uid="{5AB80689-2FE4-4AA7-B01D-36362E0F1B46}"/>
  </hyperlinks>
  <pageMargins left="0.7" right="0.7" top="0.75" bottom="0.75" header="0.3" footer="0.3"/>
  <drawing r:id="rId5"/>
  <legacyDrawing r:id="rId6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149F1-D9FA-45C5-B506-B2A8ABDB3455}">
  <sheetPr codeName="Sheet178">
    <tabColor rgb="FFFF0000"/>
  </sheetPr>
  <dimension ref="A1:P47"/>
  <sheetViews>
    <sheetView topLeftCell="A13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234999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1471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199749.15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199749.15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9987.4575000000004</v>
      </c>
      <c r="D17" s="19"/>
      <c r="E17" s="20"/>
      <c r="P17" s="21"/>
    </row>
    <row r="18" spans="1:16" x14ac:dyDescent="0.25">
      <c r="A18" s="7" t="s">
        <v>253</v>
      </c>
      <c r="B18" s="17">
        <f>B13*0.04</f>
        <v>7989.9660000000003</v>
      </c>
      <c r="D18" s="66"/>
      <c r="E18" s="67"/>
      <c r="P18" s="21"/>
    </row>
    <row r="19" spans="1:16" x14ac:dyDescent="0.25">
      <c r="A19" s="7" t="s">
        <v>254</v>
      </c>
      <c r="B19" s="17">
        <f>B17+B18</f>
        <v>17977.423500000001</v>
      </c>
      <c r="D19" s="66"/>
      <c r="E19" s="67"/>
      <c r="P19" s="21"/>
    </row>
    <row r="20" spans="1:16" x14ac:dyDescent="0.25">
      <c r="A20" s="7" t="s">
        <v>23</v>
      </c>
      <c r="B20" s="17">
        <f>B16-B17</f>
        <v>189761.6925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f>1200</f>
        <v>1200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1997.4915000000001</v>
      </c>
      <c r="D24" s="7" t="s">
        <v>77</v>
      </c>
      <c r="E24" s="17">
        <f>B16*0.01</f>
        <v>1997.4915000000001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1352.79</v>
      </c>
      <c r="D27" s="7" t="s">
        <v>38</v>
      </c>
      <c r="E27" s="35">
        <f>B27</f>
        <v>1352.79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1652.79</v>
      </c>
      <c r="D28" s="7" t="s">
        <v>41</v>
      </c>
      <c r="E28" s="17">
        <f>E27+I27+I36</f>
        <v>1652.79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-452.78999999999996</v>
      </c>
      <c r="D30" s="7" t="s">
        <v>43</v>
      </c>
      <c r="E30" s="44">
        <f>E23-E27-I27-I36+I26+I35</f>
        <v>-482.78999999999996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-0.30223908337031719</v>
      </c>
      <c r="D31" s="46" t="s">
        <v>44</v>
      </c>
      <c r="E31" s="47">
        <f>(E30*12)/B19</f>
        <v>-0.32226419987269028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</v>
      </c>
    </row>
    <row r="34" spans="1:9" x14ac:dyDescent="0.25">
      <c r="A34" s="26" t="s">
        <v>49</v>
      </c>
      <c r="B34" s="8">
        <f>B16</f>
        <v>199749.15</v>
      </c>
      <c r="G34" s="27" t="s">
        <v>50</v>
      </c>
      <c r="H34" s="48">
        <v>0.05</v>
      </c>
      <c r="I34" s="49">
        <f>$B$23*H34</f>
        <v>60</v>
      </c>
    </row>
    <row r="35" spans="1:9" x14ac:dyDescent="0.25">
      <c r="A35" s="7" t="s">
        <v>51</v>
      </c>
      <c r="B35" s="17">
        <f>B34-B20</f>
        <v>9987.4574999999895</v>
      </c>
      <c r="G35" s="27" t="s">
        <v>52</v>
      </c>
      <c r="H35" s="48">
        <v>0.1</v>
      </c>
      <c r="I35" s="49">
        <f>$B$23*H35</f>
        <v>120</v>
      </c>
    </row>
    <row r="36" spans="1:9" ht="15.75" thickBot="1" x14ac:dyDescent="0.3">
      <c r="A36" s="7" t="s">
        <v>53</v>
      </c>
      <c r="B36" s="50">
        <f>B35/B17</f>
        <v>0.99999999999999889</v>
      </c>
      <c r="G36" s="36" t="s">
        <v>39</v>
      </c>
      <c r="H36" s="37"/>
      <c r="I36" s="51">
        <f>SUM(I32:I35)</f>
        <v>300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0.95000000000000007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134.41453218750001</v>
      </c>
      <c r="D41" s="58"/>
      <c r="E41" s="61"/>
    </row>
    <row r="42" spans="1:9" x14ac:dyDescent="0.25">
      <c r="A42" s="7" t="s">
        <v>58</v>
      </c>
      <c r="B42" s="17">
        <f>B27-B41</f>
        <v>1218.3754678124999</v>
      </c>
      <c r="D42" s="58"/>
      <c r="E42" s="61"/>
    </row>
    <row r="43" spans="1:9" x14ac:dyDescent="0.25">
      <c r="A43" s="7" t="s">
        <v>59</v>
      </c>
      <c r="B43" s="43">
        <f>B23-B42-I27-I36</f>
        <v>-318.37546781249989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-0.38253035006657082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1597.9931999999999</v>
      </c>
    </row>
    <row r="47" spans="1:9" ht="15.75" thickBot="1" x14ac:dyDescent="0.3">
      <c r="A47" s="63" t="s">
        <v>251</v>
      </c>
      <c r="B47" s="65">
        <f>B16*0.02</f>
        <v>3994.9830000000002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134" priority="29" operator="equal">
      <formula>"NO"</formula>
    </cfRule>
    <cfRule type="cellIs" dxfId="2133" priority="30" operator="equal">
      <formula>"YES"</formula>
    </cfRule>
  </conditionalFormatting>
  <conditionalFormatting sqref="E40">
    <cfRule type="cellIs" dxfId="2132" priority="27" operator="equal">
      <formula>"YES"</formula>
    </cfRule>
    <cfRule type="cellIs" dxfId="2131" priority="28" operator="equal">
      <formula>"NO"</formula>
    </cfRule>
  </conditionalFormatting>
  <conditionalFormatting sqref="B25">
    <cfRule type="cellIs" dxfId="2130" priority="25" operator="equal">
      <formula>"NO"</formula>
    </cfRule>
    <cfRule type="cellIs" dxfId="2129" priority="26" operator="equal">
      <formula>"YES"</formula>
    </cfRule>
  </conditionalFormatting>
  <conditionalFormatting sqref="B12">
    <cfRule type="containsText" dxfId="2128" priority="11" operator="containsText" text="Low">
      <formula>NOT(ISERROR(SEARCH("Low",B12)))</formula>
    </cfRule>
    <cfRule type="containsText" dxfId="2127" priority="12" operator="containsText" text="Medium">
      <formula>NOT(ISERROR(SEARCH("Medium",B12)))</formula>
    </cfRule>
    <cfRule type="containsText" dxfId="2126" priority="13" operator="containsText" text="High">
      <formula>NOT(ISERROR(SEARCH("High",B12)))</formula>
    </cfRule>
  </conditionalFormatting>
  <conditionalFormatting sqref="B31">
    <cfRule type="cellIs" dxfId="2125" priority="21" operator="between">
      <formula>10%</formula>
      <formula>11.9%</formula>
    </cfRule>
    <cfRule type="cellIs" dxfId="2124" priority="23" operator="lessThan">
      <formula>0.1</formula>
    </cfRule>
    <cfRule type="cellIs" dxfId="2123" priority="24" operator="greaterThanOrEqual">
      <formula>0.12</formula>
    </cfRule>
  </conditionalFormatting>
  <conditionalFormatting sqref="B44">
    <cfRule type="cellIs" dxfId="2122" priority="19" operator="between">
      <formula>0.1</formula>
      <formula>0.1199</formula>
    </cfRule>
    <cfRule type="cellIs" dxfId="2121" priority="20" operator="lessThan">
      <formula>0.1</formula>
    </cfRule>
    <cfRule type="cellIs" dxfId="2120" priority="22" operator="greaterThanOrEqual">
      <formula>0.12</formula>
    </cfRule>
  </conditionalFormatting>
  <conditionalFormatting sqref="B10">
    <cfRule type="containsText" dxfId="2119" priority="14" operator="containsText" text="Full">
      <formula>NOT(ISERROR(SEARCH("Full",B10)))</formula>
    </cfRule>
    <cfRule type="containsText" dxfId="2118" priority="15" operator="containsText" text="Heavy">
      <formula>NOT(ISERROR(SEARCH("Heavy",B10)))</formula>
    </cfRule>
    <cfRule type="containsText" dxfId="2117" priority="16" operator="containsText" text="Medium">
      <formula>NOT(ISERROR(SEARCH("Medium",B10)))</formula>
    </cfRule>
    <cfRule type="containsText" dxfId="2116" priority="17" operator="containsText" text="Light">
      <formula>NOT(ISERROR(SEARCH("Light",B10)))</formula>
    </cfRule>
    <cfRule type="containsText" dxfId="2115" priority="18" operator="containsText" text="None">
      <formula>NOT(ISERROR(SEARCH("None",B10)))</formula>
    </cfRule>
  </conditionalFormatting>
  <conditionalFormatting sqref="B30">
    <cfRule type="cellIs" dxfId="2114" priority="31" operator="lessThan">
      <formula>$B$8*100</formula>
    </cfRule>
    <cfRule type="cellIs" dxfId="2113" priority="32" operator="greaterThanOrEqual">
      <formula>$B$8*100</formula>
    </cfRule>
  </conditionalFormatting>
  <conditionalFormatting sqref="B43">
    <cfRule type="cellIs" dxfId="2112" priority="33" operator="lessThan">
      <formula>$B$8*100</formula>
    </cfRule>
    <cfRule type="cellIs" dxfId="2111" priority="34" operator="greaterThan">
      <formula>$B$8*100</formula>
    </cfRule>
    <cfRule type="cellIs" dxfId="2110" priority="35" operator="greaterThan">
      <formula>$B$8*100</formula>
    </cfRule>
  </conditionalFormatting>
  <conditionalFormatting sqref="B40">
    <cfRule type="cellIs" dxfId="2109" priority="9" operator="equal">
      <formula>"YES"</formula>
    </cfRule>
    <cfRule type="cellIs" dxfId="2108" priority="10" operator="equal">
      <formula>"NO"</formula>
    </cfRule>
  </conditionalFormatting>
  <conditionalFormatting sqref="E25:E28">
    <cfRule type="cellIs" dxfId="2107" priority="5" operator="equal">
      <formula>"NO"</formula>
    </cfRule>
    <cfRule type="cellIs" dxfId="2106" priority="6" operator="equal">
      <formula>"YES"</formula>
    </cfRule>
  </conditionalFormatting>
  <conditionalFormatting sqref="E31">
    <cfRule type="cellIs" dxfId="2105" priority="2" operator="between">
      <formula>10%</formula>
      <formula>12%</formula>
    </cfRule>
    <cfRule type="cellIs" dxfId="2104" priority="3" operator="lessThan">
      <formula>0.1</formula>
    </cfRule>
    <cfRule type="cellIs" dxfId="2103" priority="4" operator="greaterThan">
      <formula>0.12</formula>
    </cfRule>
  </conditionalFormatting>
  <conditionalFormatting sqref="E30">
    <cfRule type="cellIs" dxfId="2102" priority="7" operator="lessThan">
      <formula>$B$8*100</formula>
    </cfRule>
    <cfRule type="cellIs" dxfId="2101" priority="8" operator="greaterThan">
      <formula>$B$8*100</formula>
    </cfRule>
  </conditionalFormatting>
  <conditionalFormatting sqref="B46:B47">
    <cfRule type="cellIs" dxfId="2100" priority="1" operator="greaterThan">
      <formula>0</formula>
    </cfRule>
  </conditionalFormatting>
  <hyperlinks>
    <hyperlink ref="A34" r:id="rId1" display="https://www.zillow.com/homes/recently_sold/" xr:uid="{890963AD-432C-4DB9-A06C-A4DEBCCC4F1B}"/>
    <hyperlink ref="A23" r:id="rId2" xr:uid="{85B59B5E-BC8B-4CB4-9338-C86C6BFBB323}"/>
    <hyperlink ref="A27" r:id="rId3" display="www.mortgagecalculator.org" xr:uid="{F6159EEB-B9C6-431D-AA0D-8D647B8DB48F}"/>
    <hyperlink ref="A12" r:id="rId4" xr:uid="{4B53EE85-792D-4324-A367-5696C89AFCCA}"/>
  </hyperlinks>
  <pageMargins left="0.7" right="0.7" top="0.75" bottom="0.75" header="0.3" footer="0.3"/>
  <drawing r:id="rId5"/>
  <legacyDrawing r:id="rId6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57F1-C289-475C-924B-C4651E83A317}">
  <sheetPr codeName="Sheet179">
    <tabColor rgb="FFFF0000"/>
  </sheetPr>
  <dimension ref="A1:P47"/>
  <sheetViews>
    <sheetView topLeftCell="A17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1439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191250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191250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9562.5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7650</v>
      </c>
      <c r="D18" s="66"/>
      <c r="E18" s="67"/>
      <c r="P18" s="21"/>
    </row>
    <row r="19" spans="1:16" x14ac:dyDescent="0.25">
      <c r="A19" s="7" t="s">
        <v>254</v>
      </c>
      <c r="B19" s="17">
        <f>B17+B18</f>
        <v>17212.5</v>
      </c>
      <c r="D19" s="66"/>
      <c r="E19" s="67"/>
      <c r="P19" s="21"/>
    </row>
    <row r="20" spans="1:16" x14ac:dyDescent="0.25">
      <c r="A20" s="7" t="s">
        <v>23</v>
      </c>
      <c r="B20" s="17">
        <f>B16-B17</f>
        <v>181687.5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1912.5</v>
      </c>
      <c r="D24" s="7" t="s">
        <v>77</v>
      </c>
      <c r="E24" s="17">
        <f>B16*0.01</f>
        <v>1912.5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1337.6</v>
      </c>
      <c r="D27" s="7" t="s">
        <v>38</v>
      </c>
      <c r="E27" s="35">
        <f>B27</f>
        <v>1337.6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1637.6</v>
      </c>
      <c r="D28" s="7" t="s">
        <v>41</v>
      </c>
      <c r="E28" s="17">
        <f>E27+I27+I36</f>
        <v>1637.6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-437.59999999999991</v>
      </c>
      <c r="D30" s="7" t="s">
        <v>43</v>
      </c>
      <c r="E30" s="44">
        <f>E23-E27-I27-I36+I26+I35</f>
        <v>-467.59999999999991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-0.30508061002178644</v>
      </c>
      <c r="D31" s="46" t="s">
        <v>44</v>
      </c>
      <c r="E31" s="47">
        <f>(E30*12)/B19</f>
        <v>-0.32599564270152498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</v>
      </c>
    </row>
    <row r="34" spans="1:9" x14ac:dyDescent="0.25">
      <c r="A34" s="26" t="s">
        <v>49</v>
      </c>
      <c r="B34" s="8">
        <f>B16</f>
        <v>191250</v>
      </c>
      <c r="G34" s="27" t="s">
        <v>50</v>
      </c>
      <c r="H34" s="48">
        <v>0.05</v>
      </c>
      <c r="I34" s="49">
        <f>$B$23*H34</f>
        <v>60</v>
      </c>
    </row>
    <row r="35" spans="1:9" x14ac:dyDescent="0.25">
      <c r="A35" s="7" t="s">
        <v>51</v>
      </c>
      <c r="B35" s="17">
        <f>B34-B20</f>
        <v>9562.5</v>
      </c>
      <c r="G35" s="27" t="s">
        <v>52</v>
      </c>
      <c r="H35" s="48">
        <v>0.1</v>
      </c>
      <c r="I35" s="49">
        <f>$B$23*H35</f>
        <v>120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300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128.6953125</v>
      </c>
      <c r="D41" s="58"/>
      <c r="E41" s="61"/>
    </row>
    <row r="42" spans="1:9" x14ac:dyDescent="0.25">
      <c r="A42" s="7" t="s">
        <v>58</v>
      </c>
      <c r="B42" s="17">
        <f>B27-B41</f>
        <v>1208.9046874999999</v>
      </c>
      <c r="D42" s="58"/>
      <c r="E42" s="61"/>
    </row>
    <row r="43" spans="1:9" x14ac:dyDescent="0.25">
      <c r="A43" s="7" t="s">
        <v>59</v>
      </c>
      <c r="B43" s="43">
        <f>B23-B42-I27-I36</f>
        <v>-308.90468749999991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-0.3876450980392156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1530</v>
      </c>
    </row>
    <row r="47" spans="1:9" ht="15.75" thickBot="1" x14ac:dyDescent="0.3">
      <c r="A47" s="63" t="s">
        <v>251</v>
      </c>
      <c r="B47" s="65">
        <f>B16*0.02</f>
        <v>3825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099" priority="29" operator="equal">
      <formula>"NO"</formula>
    </cfRule>
    <cfRule type="cellIs" dxfId="2098" priority="30" operator="equal">
      <formula>"YES"</formula>
    </cfRule>
  </conditionalFormatting>
  <conditionalFormatting sqref="E40">
    <cfRule type="cellIs" dxfId="2097" priority="27" operator="equal">
      <formula>"YES"</formula>
    </cfRule>
    <cfRule type="cellIs" dxfId="2096" priority="28" operator="equal">
      <formula>"NO"</formula>
    </cfRule>
  </conditionalFormatting>
  <conditionalFormatting sqref="B25">
    <cfRule type="cellIs" dxfId="2095" priority="25" operator="equal">
      <formula>"NO"</formula>
    </cfRule>
    <cfRule type="cellIs" dxfId="2094" priority="26" operator="equal">
      <formula>"YES"</formula>
    </cfRule>
  </conditionalFormatting>
  <conditionalFormatting sqref="B12">
    <cfRule type="containsText" dxfId="2093" priority="11" operator="containsText" text="Low">
      <formula>NOT(ISERROR(SEARCH("Low",B12)))</formula>
    </cfRule>
    <cfRule type="containsText" dxfId="2092" priority="12" operator="containsText" text="Medium">
      <formula>NOT(ISERROR(SEARCH("Medium",B12)))</formula>
    </cfRule>
    <cfRule type="containsText" dxfId="2091" priority="13" operator="containsText" text="High">
      <formula>NOT(ISERROR(SEARCH("High",B12)))</formula>
    </cfRule>
  </conditionalFormatting>
  <conditionalFormatting sqref="B31">
    <cfRule type="cellIs" dxfId="2090" priority="21" operator="between">
      <formula>10%</formula>
      <formula>11.9%</formula>
    </cfRule>
    <cfRule type="cellIs" dxfId="2089" priority="23" operator="lessThan">
      <formula>0.1</formula>
    </cfRule>
    <cfRule type="cellIs" dxfId="2088" priority="24" operator="greaterThanOrEqual">
      <formula>0.12</formula>
    </cfRule>
  </conditionalFormatting>
  <conditionalFormatting sqref="B44">
    <cfRule type="cellIs" dxfId="2087" priority="19" operator="between">
      <formula>0.1</formula>
      <formula>0.1199</formula>
    </cfRule>
    <cfRule type="cellIs" dxfId="2086" priority="20" operator="lessThan">
      <formula>0.1</formula>
    </cfRule>
    <cfRule type="cellIs" dxfId="2085" priority="22" operator="greaterThanOrEqual">
      <formula>0.12</formula>
    </cfRule>
  </conditionalFormatting>
  <conditionalFormatting sqref="B10">
    <cfRule type="containsText" dxfId="2084" priority="14" operator="containsText" text="Full">
      <formula>NOT(ISERROR(SEARCH("Full",B10)))</formula>
    </cfRule>
    <cfRule type="containsText" dxfId="2083" priority="15" operator="containsText" text="Heavy">
      <formula>NOT(ISERROR(SEARCH("Heavy",B10)))</formula>
    </cfRule>
    <cfRule type="containsText" dxfId="2082" priority="16" operator="containsText" text="Medium">
      <formula>NOT(ISERROR(SEARCH("Medium",B10)))</formula>
    </cfRule>
    <cfRule type="containsText" dxfId="2081" priority="17" operator="containsText" text="Light">
      <formula>NOT(ISERROR(SEARCH("Light",B10)))</formula>
    </cfRule>
    <cfRule type="containsText" dxfId="2080" priority="18" operator="containsText" text="None">
      <formula>NOT(ISERROR(SEARCH("None",B10)))</formula>
    </cfRule>
  </conditionalFormatting>
  <conditionalFormatting sqref="B30">
    <cfRule type="cellIs" dxfId="2079" priority="31" operator="lessThan">
      <formula>$B$8*100</formula>
    </cfRule>
    <cfRule type="cellIs" dxfId="2078" priority="32" operator="greaterThanOrEqual">
      <formula>$B$8*100</formula>
    </cfRule>
  </conditionalFormatting>
  <conditionalFormatting sqref="B43">
    <cfRule type="cellIs" dxfId="2077" priority="33" operator="lessThan">
      <formula>$B$8*100</formula>
    </cfRule>
    <cfRule type="cellIs" dxfId="2076" priority="34" operator="greaterThan">
      <formula>$B$8*100</formula>
    </cfRule>
    <cfRule type="cellIs" dxfId="2075" priority="35" operator="greaterThan">
      <formula>$B$8*100</formula>
    </cfRule>
  </conditionalFormatting>
  <conditionalFormatting sqref="B40">
    <cfRule type="cellIs" dxfId="2074" priority="9" operator="equal">
      <formula>"YES"</formula>
    </cfRule>
    <cfRule type="cellIs" dxfId="2073" priority="10" operator="equal">
      <formula>"NO"</formula>
    </cfRule>
  </conditionalFormatting>
  <conditionalFormatting sqref="E25:E28">
    <cfRule type="cellIs" dxfId="2072" priority="5" operator="equal">
      <formula>"NO"</formula>
    </cfRule>
    <cfRule type="cellIs" dxfId="2071" priority="6" operator="equal">
      <formula>"YES"</formula>
    </cfRule>
  </conditionalFormatting>
  <conditionalFormatting sqref="E31">
    <cfRule type="cellIs" dxfId="2070" priority="2" operator="between">
      <formula>10%</formula>
      <formula>12%</formula>
    </cfRule>
    <cfRule type="cellIs" dxfId="2069" priority="3" operator="lessThan">
      <formula>0.1</formula>
    </cfRule>
    <cfRule type="cellIs" dxfId="2068" priority="4" operator="greaterThan">
      <formula>0.12</formula>
    </cfRule>
  </conditionalFormatting>
  <conditionalFormatting sqref="E30">
    <cfRule type="cellIs" dxfId="2067" priority="7" operator="lessThan">
      <formula>$B$8*100</formula>
    </cfRule>
    <cfRule type="cellIs" dxfId="2066" priority="8" operator="greaterThan">
      <formula>$B$8*100</formula>
    </cfRule>
  </conditionalFormatting>
  <conditionalFormatting sqref="B46:B47">
    <cfRule type="cellIs" dxfId="2065" priority="1" operator="greaterThan">
      <formula>0</formula>
    </cfRule>
  </conditionalFormatting>
  <hyperlinks>
    <hyperlink ref="A34" r:id="rId1" display="https://www.zillow.com/homes/recently_sold/" xr:uid="{19F9C72E-9E58-425D-83B6-DB91882F7A59}"/>
    <hyperlink ref="A23" r:id="rId2" xr:uid="{892F969C-EF79-49A5-AEBB-65896F6FEE6A}"/>
    <hyperlink ref="A27" r:id="rId3" display="www.mortgagecalculator.org" xr:uid="{630B4D59-81CA-4FF6-B040-10E3E7506910}"/>
    <hyperlink ref="A12" r:id="rId4" xr:uid="{370DB8E0-75FB-48FA-91E3-F25E00207C9C}"/>
  </hyperlinks>
  <pageMargins left="0.7" right="0.7" top="0.75" bottom="0.75" header="0.3" footer="0.3"/>
  <drawing r:id="rId5"/>
  <legacyDrawing r:id="rId6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DD92-FF9B-4FE3-92BC-C74D086AF92B}">
  <sheetPr codeName="Sheet180">
    <tabColor rgb="FFFF0000"/>
  </sheetPr>
  <dimension ref="A1:P47"/>
  <sheetViews>
    <sheetView topLeftCell="A15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209900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178415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178415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8920.75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7136.6</v>
      </c>
      <c r="D18" s="66"/>
      <c r="E18" s="67"/>
      <c r="P18" s="21"/>
    </row>
    <row r="19" spans="1:16" x14ac:dyDescent="0.25">
      <c r="A19" s="7" t="s">
        <v>254</v>
      </c>
      <c r="B19" s="17">
        <f>B17+B18</f>
        <v>16057.35</v>
      </c>
      <c r="D19" s="66"/>
      <c r="E19" s="67"/>
      <c r="P19" s="21"/>
    </row>
    <row r="20" spans="1:16" x14ac:dyDescent="0.25">
      <c r="A20" s="7" t="s">
        <v>23</v>
      </c>
      <c r="B20" s="17">
        <f>B16-B17</f>
        <v>169494.25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1377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1784.15</v>
      </c>
      <c r="D24" s="7" t="s">
        <v>77</v>
      </c>
      <c r="E24" s="17">
        <f>B16*0.01</f>
        <v>1784.15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1243.58</v>
      </c>
      <c r="D27" s="7" t="s">
        <v>38</v>
      </c>
      <c r="E27" s="35">
        <f>B27</f>
        <v>1243.58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1587.83</v>
      </c>
      <c r="D28" s="7" t="s">
        <v>41</v>
      </c>
      <c r="E28" s="17">
        <f>E27+I27+I36</f>
        <v>1587.83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-210.82999999999993</v>
      </c>
      <c r="D30" s="7" t="s">
        <v>43</v>
      </c>
      <c r="E30" s="44">
        <f>E23-E27-I27-I36+I26+I35</f>
        <v>-400.12999999999988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-0.15755775392577226</v>
      </c>
      <c r="D31" s="46" t="s">
        <v>44</v>
      </c>
      <c r="E31" s="47">
        <f>(E30*12)/B19</f>
        <v>-0.2990256798288633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68.850000000000009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68.850000000000009</v>
      </c>
    </row>
    <row r="34" spans="1:9" x14ac:dyDescent="0.25">
      <c r="A34" s="26" t="s">
        <v>49</v>
      </c>
      <c r="B34" s="8">
        <f>B16</f>
        <v>178415</v>
      </c>
      <c r="G34" s="27" t="s">
        <v>50</v>
      </c>
      <c r="H34" s="48">
        <v>0.05</v>
      </c>
      <c r="I34" s="49">
        <f>$B$23*H34</f>
        <v>68.850000000000009</v>
      </c>
    </row>
    <row r="35" spans="1:9" x14ac:dyDescent="0.25">
      <c r="A35" s="7" t="s">
        <v>51</v>
      </c>
      <c r="B35" s="17">
        <f>B34-B20</f>
        <v>8920.75</v>
      </c>
      <c r="G35" s="27" t="s">
        <v>52</v>
      </c>
      <c r="H35" s="48">
        <v>0.1</v>
      </c>
      <c r="I35" s="49">
        <f>$B$23*H35</f>
        <v>137.70000000000002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344.25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120.05842708333334</v>
      </c>
      <c r="D41" s="58"/>
      <c r="E41" s="61"/>
    </row>
    <row r="42" spans="1:9" x14ac:dyDescent="0.25">
      <c r="A42" s="7" t="s">
        <v>58</v>
      </c>
      <c r="B42" s="17">
        <f>B27-B41</f>
        <v>1123.5215729166666</v>
      </c>
      <c r="D42" s="58"/>
      <c r="E42" s="61"/>
    </row>
    <row r="43" spans="1:9" x14ac:dyDescent="0.25">
      <c r="A43" s="7" t="s">
        <v>59</v>
      </c>
      <c r="B43" s="43">
        <f>B23-B42-I27-I36</f>
        <v>-90.771572916666628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-0.1221039570663901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1427.32</v>
      </c>
    </row>
    <row r="47" spans="1:9" ht="15.75" thickBot="1" x14ac:dyDescent="0.3">
      <c r="A47" s="63" t="s">
        <v>251</v>
      </c>
      <c r="B47" s="65">
        <f>B16*0.02</f>
        <v>3568.3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064" priority="29" operator="equal">
      <formula>"NO"</formula>
    </cfRule>
    <cfRule type="cellIs" dxfId="2063" priority="30" operator="equal">
      <formula>"YES"</formula>
    </cfRule>
  </conditionalFormatting>
  <conditionalFormatting sqref="E40">
    <cfRule type="cellIs" dxfId="2062" priority="27" operator="equal">
      <formula>"YES"</formula>
    </cfRule>
    <cfRule type="cellIs" dxfId="2061" priority="28" operator="equal">
      <formula>"NO"</formula>
    </cfRule>
  </conditionalFormatting>
  <conditionalFormatting sqref="B25">
    <cfRule type="cellIs" dxfId="2060" priority="25" operator="equal">
      <formula>"NO"</formula>
    </cfRule>
    <cfRule type="cellIs" dxfId="2059" priority="26" operator="equal">
      <formula>"YES"</formula>
    </cfRule>
  </conditionalFormatting>
  <conditionalFormatting sqref="B12">
    <cfRule type="containsText" dxfId="2058" priority="11" operator="containsText" text="Low">
      <formula>NOT(ISERROR(SEARCH("Low",B12)))</formula>
    </cfRule>
    <cfRule type="containsText" dxfId="2057" priority="12" operator="containsText" text="Medium">
      <formula>NOT(ISERROR(SEARCH("Medium",B12)))</formula>
    </cfRule>
    <cfRule type="containsText" dxfId="2056" priority="13" operator="containsText" text="High">
      <formula>NOT(ISERROR(SEARCH("High",B12)))</formula>
    </cfRule>
  </conditionalFormatting>
  <conditionalFormatting sqref="B31">
    <cfRule type="cellIs" dxfId="2055" priority="21" operator="between">
      <formula>10%</formula>
      <formula>11.9%</formula>
    </cfRule>
    <cfRule type="cellIs" dxfId="2054" priority="23" operator="lessThan">
      <formula>0.1</formula>
    </cfRule>
    <cfRule type="cellIs" dxfId="2053" priority="24" operator="greaterThanOrEqual">
      <formula>0.12</formula>
    </cfRule>
  </conditionalFormatting>
  <conditionalFormatting sqref="B44">
    <cfRule type="cellIs" dxfId="2052" priority="19" operator="between">
      <formula>0.1</formula>
      <formula>0.1199</formula>
    </cfRule>
    <cfRule type="cellIs" dxfId="2051" priority="20" operator="lessThan">
      <formula>0.1</formula>
    </cfRule>
    <cfRule type="cellIs" dxfId="2050" priority="22" operator="greaterThanOrEqual">
      <formula>0.12</formula>
    </cfRule>
  </conditionalFormatting>
  <conditionalFormatting sqref="B10">
    <cfRule type="containsText" dxfId="2049" priority="14" operator="containsText" text="Full">
      <formula>NOT(ISERROR(SEARCH("Full",B10)))</formula>
    </cfRule>
    <cfRule type="containsText" dxfId="2048" priority="15" operator="containsText" text="Heavy">
      <formula>NOT(ISERROR(SEARCH("Heavy",B10)))</formula>
    </cfRule>
    <cfRule type="containsText" dxfId="2047" priority="16" operator="containsText" text="Medium">
      <formula>NOT(ISERROR(SEARCH("Medium",B10)))</formula>
    </cfRule>
    <cfRule type="containsText" dxfId="2046" priority="17" operator="containsText" text="Light">
      <formula>NOT(ISERROR(SEARCH("Light",B10)))</formula>
    </cfRule>
    <cfRule type="containsText" dxfId="2045" priority="18" operator="containsText" text="None">
      <formula>NOT(ISERROR(SEARCH("None",B10)))</formula>
    </cfRule>
  </conditionalFormatting>
  <conditionalFormatting sqref="B30">
    <cfRule type="cellIs" dxfId="2044" priority="31" operator="lessThan">
      <formula>$B$8*100</formula>
    </cfRule>
    <cfRule type="cellIs" dxfId="2043" priority="32" operator="greaterThanOrEqual">
      <formula>$B$8*100</formula>
    </cfRule>
  </conditionalFormatting>
  <conditionalFormatting sqref="B43">
    <cfRule type="cellIs" dxfId="2042" priority="33" operator="lessThan">
      <formula>$B$8*100</formula>
    </cfRule>
    <cfRule type="cellIs" dxfId="2041" priority="34" operator="greaterThan">
      <formula>$B$8*100</formula>
    </cfRule>
    <cfRule type="cellIs" dxfId="2040" priority="35" operator="greaterThan">
      <formula>$B$8*100</formula>
    </cfRule>
  </conditionalFormatting>
  <conditionalFormatting sqref="B40">
    <cfRule type="cellIs" dxfId="2039" priority="9" operator="equal">
      <formula>"YES"</formula>
    </cfRule>
    <cfRule type="cellIs" dxfId="2038" priority="10" operator="equal">
      <formula>"NO"</formula>
    </cfRule>
  </conditionalFormatting>
  <conditionalFormatting sqref="E25:E28">
    <cfRule type="cellIs" dxfId="2037" priority="5" operator="equal">
      <formula>"NO"</formula>
    </cfRule>
    <cfRule type="cellIs" dxfId="2036" priority="6" operator="equal">
      <formula>"YES"</formula>
    </cfRule>
  </conditionalFormatting>
  <conditionalFormatting sqref="E31">
    <cfRule type="cellIs" dxfId="2035" priority="2" operator="between">
      <formula>10%</formula>
      <formula>12%</formula>
    </cfRule>
    <cfRule type="cellIs" dxfId="2034" priority="3" operator="lessThan">
      <formula>0.1</formula>
    </cfRule>
    <cfRule type="cellIs" dxfId="2033" priority="4" operator="greaterThan">
      <formula>0.12</formula>
    </cfRule>
  </conditionalFormatting>
  <conditionalFormatting sqref="E30">
    <cfRule type="cellIs" dxfId="2032" priority="7" operator="lessThan">
      <formula>$B$8*100</formula>
    </cfRule>
    <cfRule type="cellIs" dxfId="2031" priority="8" operator="greaterThan">
      <formula>$B$8*100</formula>
    </cfRule>
  </conditionalFormatting>
  <conditionalFormatting sqref="B46:B47">
    <cfRule type="cellIs" dxfId="2030" priority="1" operator="greaterThan">
      <formula>0</formula>
    </cfRule>
  </conditionalFormatting>
  <hyperlinks>
    <hyperlink ref="A34" r:id="rId1" display="https://www.zillow.com/homes/recently_sold/" xr:uid="{86550CE8-AAB6-4AFD-BCDA-4DC9B7AA1301}"/>
    <hyperlink ref="A23" r:id="rId2" xr:uid="{0B936918-BF28-4552-B089-2BBEA9FA8334}"/>
    <hyperlink ref="A27" r:id="rId3" display="www.mortgagecalculator.org" xr:uid="{CF90BF67-8664-4D41-B572-E78C47540DF6}"/>
    <hyperlink ref="A12" r:id="rId4" xr:uid="{18F1BB9D-6230-4578-B653-573260A37D2C}"/>
  </hyperlinks>
  <pageMargins left="0.7" right="0.7" top="0.75" bottom="0.75" header="0.3" footer="0.3"/>
  <drawing r:id="rId5"/>
  <legacyDrawing r:id="rId6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9FFA-FC84-4924-9F79-ABDA889796CB}">
  <sheetPr codeName="Sheet181">
    <tabColor rgb="FFFF0000"/>
  </sheetPr>
  <dimension ref="A1:P47"/>
  <sheetViews>
    <sheetView topLeftCell="A15" workbookViewId="0">
      <selection activeCell="H33" sqref="H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1300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B7*0.95</f>
        <v>142405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142405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7120.25</v>
      </c>
      <c r="D17" s="19"/>
      <c r="E17" s="20"/>
      <c r="P17" s="21"/>
    </row>
    <row r="18" spans="1:16" x14ac:dyDescent="0.25">
      <c r="A18" s="7" t="s">
        <v>253</v>
      </c>
      <c r="B18" s="17">
        <f>B13*0.04</f>
        <v>5696.2</v>
      </c>
      <c r="D18" s="66"/>
      <c r="E18" s="67"/>
      <c r="P18" s="21"/>
    </row>
    <row r="19" spans="1:16" x14ac:dyDescent="0.25">
      <c r="A19" s="7" t="s">
        <v>254</v>
      </c>
      <c r="B19" s="17">
        <f>B17+B18</f>
        <v>12816.45</v>
      </c>
      <c r="D19" s="66"/>
      <c r="E19" s="67"/>
      <c r="P19" s="21"/>
    </row>
    <row r="20" spans="1:16" x14ac:dyDescent="0.25">
      <c r="A20" s="7" t="s">
        <v>23</v>
      </c>
      <c r="B20" s="17">
        <f>B16-B17</f>
        <v>135284.75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1377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1424.05</v>
      </c>
      <c r="D24" s="7" t="s">
        <v>77</v>
      </c>
      <c r="E24" s="17">
        <f>B16*0.01</f>
        <v>1424.05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971.59</v>
      </c>
      <c r="D27" s="7" t="s">
        <v>38</v>
      </c>
      <c r="E27" s="35">
        <f>B27</f>
        <v>971.59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1288.3000000000002</v>
      </c>
      <c r="D28" s="7" t="s">
        <v>41</v>
      </c>
      <c r="E28" s="17">
        <f>E27+I27+I36</f>
        <v>1288.3000000000002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88.699999999999818</v>
      </c>
      <c r="D30" s="7" t="s">
        <v>43</v>
      </c>
      <c r="E30" s="44">
        <f>E23-E27-I27-I36+I26+I35</f>
        <v>-100.60000000000005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8.3049518392378369E-2</v>
      </c>
      <c r="D31" s="46" t="s">
        <v>44</v>
      </c>
      <c r="E31" s="47">
        <f>(E30*12)/B19</f>
        <v>-9.41914492702738E-2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41.309999999999995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68.850000000000009</v>
      </c>
    </row>
    <row r="34" spans="1:9" x14ac:dyDescent="0.25">
      <c r="A34" s="26" t="s">
        <v>49</v>
      </c>
      <c r="B34" s="8">
        <f>B16</f>
        <v>142405</v>
      </c>
      <c r="G34" s="27" t="s">
        <v>50</v>
      </c>
      <c r="H34" s="48">
        <v>0.05</v>
      </c>
      <c r="I34" s="49">
        <f>$B$23*H34</f>
        <v>68.850000000000009</v>
      </c>
    </row>
    <row r="35" spans="1:9" x14ac:dyDescent="0.25">
      <c r="A35" s="7" t="s">
        <v>51</v>
      </c>
      <c r="B35" s="17">
        <f>B34-B20</f>
        <v>7120.25</v>
      </c>
      <c r="G35" s="27" t="s">
        <v>52</v>
      </c>
      <c r="H35" s="48">
        <v>0.1</v>
      </c>
      <c r="I35" s="49">
        <f>$B$23*H35</f>
        <v>137.70000000000002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316.71000000000004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95.826697916666674</v>
      </c>
      <c r="D41" s="58"/>
      <c r="E41" s="61"/>
    </row>
    <row r="42" spans="1:9" x14ac:dyDescent="0.25">
      <c r="A42" s="7" t="s">
        <v>58</v>
      </c>
      <c r="B42" s="17">
        <f>B27-B41</f>
        <v>875.76330208333331</v>
      </c>
      <c r="D42" s="58"/>
      <c r="E42" s="61"/>
    </row>
    <row r="43" spans="1:9" x14ac:dyDescent="0.25">
      <c r="A43" s="7" t="s">
        <v>59</v>
      </c>
      <c r="B43" s="43">
        <f>B23-B42-I27-I36</f>
        <v>184.52669791666665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0.31098913310628135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1139.24</v>
      </c>
    </row>
    <row r="47" spans="1:9" ht="15.75" thickBot="1" x14ac:dyDescent="0.3">
      <c r="A47" s="63" t="s">
        <v>251</v>
      </c>
      <c r="B47" s="65">
        <f>B16*0.02</f>
        <v>2848.1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2029" priority="29" operator="equal">
      <formula>"NO"</formula>
    </cfRule>
    <cfRule type="cellIs" dxfId="2028" priority="30" operator="equal">
      <formula>"YES"</formula>
    </cfRule>
  </conditionalFormatting>
  <conditionalFormatting sqref="E40">
    <cfRule type="cellIs" dxfId="2027" priority="27" operator="equal">
      <formula>"YES"</formula>
    </cfRule>
    <cfRule type="cellIs" dxfId="2026" priority="28" operator="equal">
      <formula>"NO"</formula>
    </cfRule>
  </conditionalFormatting>
  <conditionalFormatting sqref="B25">
    <cfRule type="cellIs" dxfId="2025" priority="25" operator="equal">
      <formula>"NO"</formula>
    </cfRule>
    <cfRule type="cellIs" dxfId="2024" priority="26" operator="equal">
      <formula>"YES"</formula>
    </cfRule>
  </conditionalFormatting>
  <conditionalFormatting sqref="B12">
    <cfRule type="containsText" dxfId="2023" priority="11" operator="containsText" text="Low">
      <formula>NOT(ISERROR(SEARCH("Low",B12)))</formula>
    </cfRule>
    <cfRule type="containsText" dxfId="2022" priority="12" operator="containsText" text="Medium">
      <formula>NOT(ISERROR(SEARCH("Medium",B12)))</formula>
    </cfRule>
    <cfRule type="containsText" dxfId="2021" priority="13" operator="containsText" text="High">
      <formula>NOT(ISERROR(SEARCH("High",B12)))</formula>
    </cfRule>
  </conditionalFormatting>
  <conditionalFormatting sqref="B31">
    <cfRule type="cellIs" dxfId="2020" priority="21" operator="between">
      <formula>10%</formula>
      <formula>11.9%</formula>
    </cfRule>
    <cfRule type="cellIs" dxfId="2019" priority="23" operator="lessThan">
      <formula>0.1</formula>
    </cfRule>
    <cfRule type="cellIs" dxfId="2018" priority="24" operator="greaterThanOrEqual">
      <formula>0.12</formula>
    </cfRule>
  </conditionalFormatting>
  <conditionalFormatting sqref="B44">
    <cfRule type="cellIs" dxfId="2017" priority="19" operator="between">
      <formula>0.1</formula>
      <formula>0.1199</formula>
    </cfRule>
    <cfRule type="cellIs" dxfId="2016" priority="20" operator="lessThan">
      <formula>0.1</formula>
    </cfRule>
    <cfRule type="cellIs" dxfId="2015" priority="22" operator="greaterThanOrEqual">
      <formula>0.12</formula>
    </cfRule>
  </conditionalFormatting>
  <conditionalFormatting sqref="B10">
    <cfRule type="containsText" dxfId="2014" priority="14" operator="containsText" text="Full">
      <formula>NOT(ISERROR(SEARCH("Full",B10)))</formula>
    </cfRule>
    <cfRule type="containsText" dxfId="2013" priority="15" operator="containsText" text="Heavy">
      <formula>NOT(ISERROR(SEARCH("Heavy",B10)))</formula>
    </cfRule>
    <cfRule type="containsText" dxfId="2012" priority="16" operator="containsText" text="Medium">
      <formula>NOT(ISERROR(SEARCH("Medium",B10)))</formula>
    </cfRule>
    <cfRule type="containsText" dxfId="2011" priority="17" operator="containsText" text="Light">
      <formula>NOT(ISERROR(SEARCH("Light",B10)))</formula>
    </cfRule>
    <cfRule type="containsText" dxfId="2010" priority="18" operator="containsText" text="None">
      <formula>NOT(ISERROR(SEARCH("None",B10)))</formula>
    </cfRule>
  </conditionalFormatting>
  <conditionalFormatting sqref="B30">
    <cfRule type="cellIs" dxfId="2009" priority="31" operator="lessThan">
      <formula>$B$8*100</formula>
    </cfRule>
    <cfRule type="cellIs" dxfId="2008" priority="32" operator="greaterThanOrEqual">
      <formula>$B$8*100</formula>
    </cfRule>
  </conditionalFormatting>
  <conditionalFormatting sqref="B43">
    <cfRule type="cellIs" dxfId="2007" priority="33" operator="lessThan">
      <formula>$B$8*100</formula>
    </cfRule>
    <cfRule type="cellIs" dxfId="2006" priority="34" operator="greaterThan">
      <formula>$B$8*100</formula>
    </cfRule>
    <cfRule type="cellIs" dxfId="2005" priority="35" operator="greaterThan">
      <formula>$B$8*100</formula>
    </cfRule>
  </conditionalFormatting>
  <conditionalFormatting sqref="B40">
    <cfRule type="cellIs" dxfId="2004" priority="9" operator="equal">
      <formula>"YES"</formula>
    </cfRule>
    <cfRule type="cellIs" dxfId="2003" priority="10" operator="equal">
      <formula>"NO"</formula>
    </cfRule>
  </conditionalFormatting>
  <conditionalFormatting sqref="E25:E28">
    <cfRule type="cellIs" dxfId="2002" priority="5" operator="equal">
      <formula>"NO"</formula>
    </cfRule>
    <cfRule type="cellIs" dxfId="2001" priority="6" operator="equal">
      <formula>"YES"</formula>
    </cfRule>
  </conditionalFormatting>
  <conditionalFormatting sqref="E31">
    <cfRule type="cellIs" dxfId="2000" priority="2" operator="between">
      <formula>10%</formula>
      <formula>12%</formula>
    </cfRule>
    <cfRule type="cellIs" dxfId="1999" priority="3" operator="lessThan">
      <formula>0.1</formula>
    </cfRule>
    <cfRule type="cellIs" dxfId="1998" priority="4" operator="greaterThan">
      <formula>0.12</formula>
    </cfRule>
  </conditionalFormatting>
  <conditionalFormatting sqref="E30">
    <cfRule type="cellIs" dxfId="1997" priority="7" operator="lessThan">
      <formula>$B$8*100</formula>
    </cfRule>
    <cfRule type="cellIs" dxfId="1996" priority="8" operator="greaterThan">
      <formula>$B$8*100</formula>
    </cfRule>
  </conditionalFormatting>
  <conditionalFormatting sqref="B46:B47">
    <cfRule type="cellIs" dxfId="1995" priority="1" operator="greaterThan">
      <formula>0</formula>
    </cfRule>
  </conditionalFormatting>
  <hyperlinks>
    <hyperlink ref="A34" r:id="rId1" display="https://www.zillow.com/homes/recently_sold/" xr:uid="{AEA999C4-F00B-4F43-9CA6-E36A8B70A27C}"/>
    <hyperlink ref="A23" r:id="rId2" xr:uid="{327C3292-30B9-4C1D-986D-C6517B1E352C}"/>
    <hyperlink ref="A27" r:id="rId3" display="www.mortgagecalculator.org" xr:uid="{B38E28D9-377B-4D15-B362-690B10298243}"/>
    <hyperlink ref="A12" r:id="rId4" xr:uid="{D70EB508-1FCB-4968-BDDD-D3686D12FC80}"/>
  </hyperlinks>
  <pageMargins left="0.7" right="0.7" top="0.75" bottom="0.75" header="0.3" footer="0.3"/>
  <drawing r:id="rId5"/>
  <legacyDrawing r:id="rId6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B63D-2CB9-417F-A85F-8A40EA9D480E}">
  <sheetPr codeName="Sheet182">
    <tabColor rgb="FFFF0000"/>
  </sheetPr>
  <dimension ref="A1:P47"/>
  <sheetViews>
    <sheetView topLeftCell="A12" workbookViewId="0">
      <selection activeCell="B18" sqref="B1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1022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189000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189000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9450</v>
      </c>
      <c r="D17" s="19"/>
      <c r="E17" s="20"/>
      <c r="P17" s="21"/>
    </row>
    <row r="18" spans="1:16" x14ac:dyDescent="0.25">
      <c r="A18" s="7" t="s">
        <v>253</v>
      </c>
      <c r="B18" s="17">
        <f>B13*0.04</f>
        <v>7560</v>
      </c>
      <c r="D18" s="66"/>
      <c r="E18" s="67"/>
      <c r="P18" s="21"/>
    </row>
    <row r="19" spans="1:16" x14ac:dyDescent="0.25">
      <c r="A19" s="7" t="s">
        <v>254</v>
      </c>
      <c r="B19" s="17">
        <f>B17+B18</f>
        <v>17010</v>
      </c>
      <c r="D19" s="66"/>
      <c r="E19" s="67"/>
      <c r="P19" s="21"/>
    </row>
    <row r="20" spans="1:16" x14ac:dyDescent="0.25">
      <c r="A20" s="7" t="s">
        <v>23</v>
      </c>
      <c r="B20" s="17">
        <f>B16-B17</f>
        <v>179550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1197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1890</v>
      </c>
      <c r="D24" s="7" t="s">
        <v>77</v>
      </c>
      <c r="E24" s="17">
        <f>B16*0.01</f>
        <v>1890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1106.99</v>
      </c>
      <c r="D27" s="7" t="s">
        <v>38</v>
      </c>
      <c r="E27" s="35">
        <f>B27</f>
        <v>1106.99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1406.24</v>
      </c>
      <c r="D28" s="7" t="s">
        <v>41</v>
      </c>
      <c r="E28" s="17">
        <f>E27+I27+I36</f>
        <v>1406.24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-209.24</v>
      </c>
      <c r="D30" s="7" t="s">
        <v>43</v>
      </c>
      <c r="E30" s="44">
        <f>E23-E27-I27-I36+I26+I35</f>
        <v>-236.54000000000002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-0.14761199294532629</v>
      </c>
      <c r="D31" s="46" t="s">
        <v>44</v>
      </c>
      <c r="E31" s="47">
        <f>(E30*12)/B19</f>
        <v>-0.16687125220458557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59.85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59.85</v>
      </c>
    </row>
    <row r="34" spans="1:9" x14ac:dyDescent="0.25">
      <c r="A34" s="26" t="s">
        <v>49</v>
      </c>
      <c r="B34" s="8">
        <f>B16</f>
        <v>189000</v>
      </c>
      <c r="G34" s="27" t="s">
        <v>50</v>
      </c>
      <c r="H34" s="48">
        <v>0.05</v>
      </c>
      <c r="I34" s="49">
        <f>$B$23*H34</f>
        <v>59.85</v>
      </c>
    </row>
    <row r="35" spans="1:9" x14ac:dyDescent="0.25">
      <c r="A35" s="7" t="s">
        <v>51</v>
      </c>
      <c r="B35" s="17">
        <f>B34-B20</f>
        <v>9450</v>
      </c>
      <c r="G35" s="27" t="s">
        <v>52</v>
      </c>
      <c r="H35" s="48">
        <v>0.1</v>
      </c>
      <c r="I35" s="49">
        <f>$B$23*H35</f>
        <v>119.7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299.25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127.18125000000002</v>
      </c>
      <c r="D41" s="58"/>
      <c r="E41" s="61"/>
    </row>
    <row r="42" spans="1:9" x14ac:dyDescent="0.25">
      <c r="A42" s="7" t="s">
        <v>58</v>
      </c>
      <c r="B42" s="17">
        <f>B27-B41</f>
        <v>979.80875000000003</v>
      </c>
      <c r="D42" s="58"/>
      <c r="E42" s="61"/>
    </row>
    <row r="43" spans="1:9" x14ac:dyDescent="0.25">
      <c r="A43" s="7" t="s">
        <v>59</v>
      </c>
      <c r="B43" s="43">
        <f>B23-B42-I27-I36</f>
        <v>-82.058750000000032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-0.10420158730158734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1512</v>
      </c>
    </row>
    <row r="47" spans="1:9" ht="15.75" thickBot="1" x14ac:dyDescent="0.3">
      <c r="A47" s="63" t="s">
        <v>251</v>
      </c>
      <c r="B47" s="65">
        <f>B16*0.02</f>
        <v>3780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994" priority="29" operator="equal">
      <formula>"NO"</formula>
    </cfRule>
    <cfRule type="cellIs" dxfId="1993" priority="30" operator="equal">
      <formula>"YES"</formula>
    </cfRule>
  </conditionalFormatting>
  <conditionalFormatting sqref="E40">
    <cfRule type="cellIs" dxfId="1992" priority="27" operator="equal">
      <formula>"YES"</formula>
    </cfRule>
    <cfRule type="cellIs" dxfId="1991" priority="28" operator="equal">
      <formula>"NO"</formula>
    </cfRule>
  </conditionalFormatting>
  <conditionalFormatting sqref="B25">
    <cfRule type="cellIs" dxfId="1990" priority="25" operator="equal">
      <formula>"NO"</formula>
    </cfRule>
    <cfRule type="cellIs" dxfId="1989" priority="26" operator="equal">
      <formula>"YES"</formula>
    </cfRule>
  </conditionalFormatting>
  <conditionalFormatting sqref="B12">
    <cfRule type="containsText" dxfId="1988" priority="11" operator="containsText" text="Low">
      <formula>NOT(ISERROR(SEARCH("Low",B12)))</formula>
    </cfRule>
    <cfRule type="containsText" dxfId="1987" priority="12" operator="containsText" text="Medium">
      <formula>NOT(ISERROR(SEARCH("Medium",B12)))</formula>
    </cfRule>
    <cfRule type="containsText" dxfId="1986" priority="13" operator="containsText" text="High">
      <formula>NOT(ISERROR(SEARCH("High",B12)))</formula>
    </cfRule>
  </conditionalFormatting>
  <conditionalFormatting sqref="B31">
    <cfRule type="cellIs" dxfId="1985" priority="21" operator="between">
      <formula>10%</formula>
      <formula>11.9%</formula>
    </cfRule>
    <cfRule type="cellIs" dxfId="1984" priority="23" operator="lessThan">
      <formula>0.1</formula>
    </cfRule>
    <cfRule type="cellIs" dxfId="1983" priority="24" operator="greaterThanOrEqual">
      <formula>0.12</formula>
    </cfRule>
  </conditionalFormatting>
  <conditionalFormatting sqref="B44">
    <cfRule type="cellIs" dxfId="1982" priority="19" operator="between">
      <formula>0.1</formula>
      <formula>0.1199</formula>
    </cfRule>
    <cfRule type="cellIs" dxfId="1981" priority="20" operator="lessThan">
      <formula>0.1</formula>
    </cfRule>
    <cfRule type="cellIs" dxfId="1980" priority="22" operator="greaterThanOrEqual">
      <formula>0.12</formula>
    </cfRule>
  </conditionalFormatting>
  <conditionalFormatting sqref="B10">
    <cfRule type="containsText" dxfId="1979" priority="14" operator="containsText" text="Full">
      <formula>NOT(ISERROR(SEARCH("Full",B10)))</formula>
    </cfRule>
    <cfRule type="containsText" dxfId="1978" priority="15" operator="containsText" text="Heavy">
      <formula>NOT(ISERROR(SEARCH("Heavy",B10)))</formula>
    </cfRule>
    <cfRule type="containsText" dxfId="1977" priority="16" operator="containsText" text="Medium">
      <formula>NOT(ISERROR(SEARCH("Medium",B10)))</formula>
    </cfRule>
    <cfRule type="containsText" dxfId="1976" priority="17" operator="containsText" text="Light">
      <formula>NOT(ISERROR(SEARCH("Light",B10)))</formula>
    </cfRule>
    <cfRule type="containsText" dxfId="1975" priority="18" operator="containsText" text="None">
      <formula>NOT(ISERROR(SEARCH("None",B10)))</formula>
    </cfRule>
  </conditionalFormatting>
  <conditionalFormatting sqref="B30">
    <cfRule type="cellIs" dxfId="1974" priority="31" operator="lessThan">
      <formula>$B$8*100</formula>
    </cfRule>
    <cfRule type="cellIs" dxfId="1973" priority="32" operator="greaterThanOrEqual">
      <formula>$B$8*100</formula>
    </cfRule>
  </conditionalFormatting>
  <conditionalFormatting sqref="B43">
    <cfRule type="cellIs" dxfId="1972" priority="33" operator="lessThan">
      <formula>$B$8*100</formula>
    </cfRule>
    <cfRule type="cellIs" dxfId="1971" priority="34" operator="greaterThan">
      <formula>$B$8*100</formula>
    </cfRule>
    <cfRule type="cellIs" dxfId="1970" priority="35" operator="greaterThan">
      <formula>$B$8*100</formula>
    </cfRule>
  </conditionalFormatting>
  <conditionalFormatting sqref="B40">
    <cfRule type="cellIs" dxfId="1969" priority="9" operator="equal">
      <formula>"YES"</formula>
    </cfRule>
    <cfRule type="cellIs" dxfId="1968" priority="10" operator="equal">
      <formula>"NO"</formula>
    </cfRule>
  </conditionalFormatting>
  <conditionalFormatting sqref="E25:E28">
    <cfRule type="cellIs" dxfId="1967" priority="5" operator="equal">
      <formula>"NO"</formula>
    </cfRule>
    <cfRule type="cellIs" dxfId="1966" priority="6" operator="equal">
      <formula>"YES"</formula>
    </cfRule>
  </conditionalFormatting>
  <conditionalFormatting sqref="E31">
    <cfRule type="cellIs" dxfId="1965" priority="2" operator="between">
      <formula>10%</formula>
      <formula>12%</formula>
    </cfRule>
    <cfRule type="cellIs" dxfId="1964" priority="3" operator="lessThan">
      <formula>0.1</formula>
    </cfRule>
    <cfRule type="cellIs" dxfId="1963" priority="4" operator="greaterThan">
      <formula>0.12</formula>
    </cfRule>
  </conditionalFormatting>
  <conditionalFormatting sqref="E30">
    <cfRule type="cellIs" dxfId="1962" priority="7" operator="lessThan">
      <formula>$B$8*100</formula>
    </cfRule>
    <cfRule type="cellIs" dxfId="1961" priority="8" operator="greaterThan">
      <formula>$B$8*100</formula>
    </cfRule>
  </conditionalFormatting>
  <conditionalFormatting sqref="B46:B47">
    <cfRule type="cellIs" dxfId="1960" priority="1" operator="greaterThan">
      <formula>0</formula>
    </cfRule>
  </conditionalFormatting>
  <hyperlinks>
    <hyperlink ref="A34" r:id="rId1" display="https://www.zillow.com/homes/recently_sold/" xr:uid="{0E1DF537-9962-409D-A326-639A4901085F}"/>
    <hyperlink ref="A23" r:id="rId2" xr:uid="{0E21A4FF-EDD4-4CA2-833C-4E8741CE466F}"/>
    <hyperlink ref="A27" r:id="rId3" display="www.mortgagecalculator.org" xr:uid="{583BD515-ED59-48F7-B0D8-1E0985E1BAB6}"/>
    <hyperlink ref="A12" r:id="rId4" xr:uid="{EB3E3ACF-1257-4B29-AD63-2CA3259067E5}"/>
  </hyperlinks>
  <pageMargins left="0.7" right="0.7" top="0.75" bottom="0.75" header="0.3" footer="0.3"/>
  <drawing r:id="rId5"/>
  <legacyDrawing r:id="rId6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9F2E-CE05-4DCF-9630-62489ABBB994}">
  <sheetPr codeName="Sheet183">
    <tabColor rgb="FFFF0000"/>
  </sheetPr>
  <dimension ref="A1:P47"/>
  <sheetViews>
    <sheetView topLeftCell="A17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279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1108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189900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189900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9495</v>
      </c>
      <c r="D17" s="19"/>
      <c r="E17" s="20"/>
      <c r="P17" s="21"/>
    </row>
    <row r="18" spans="1:16" x14ac:dyDescent="0.25">
      <c r="A18" s="7" t="s">
        <v>253</v>
      </c>
      <c r="B18" s="17">
        <f>B13*0.04</f>
        <v>7596</v>
      </c>
      <c r="D18" s="66"/>
      <c r="E18" s="67"/>
      <c r="P18" s="21"/>
    </row>
    <row r="19" spans="1:16" x14ac:dyDescent="0.25">
      <c r="A19" s="7" t="s">
        <v>254</v>
      </c>
      <c r="B19" s="17">
        <f>B17+B18</f>
        <v>17091</v>
      </c>
      <c r="D19" s="66"/>
      <c r="E19" s="67"/>
      <c r="P19" s="21"/>
    </row>
    <row r="20" spans="1:16" x14ac:dyDescent="0.25">
      <c r="A20" s="7" t="s">
        <v>23</v>
      </c>
      <c r="B20" s="17">
        <f>B16-B17</f>
        <v>180405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1407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1899</v>
      </c>
      <c r="D24" s="7" t="s">
        <v>77</v>
      </c>
      <c r="E24" s="17">
        <f>B16*0.01</f>
        <v>1899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1215.01</v>
      </c>
      <c r="D27" s="7" t="s">
        <v>38</v>
      </c>
      <c r="E27" s="35">
        <f>B27</f>
        <v>1215.01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1566.76</v>
      </c>
      <c r="D28" s="7" t="s">
        <v>41</v>
      </c>
      <c r="E28" s="17">
        <f>E27+I27+I36</f>
        <v>1566.76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-159.76</v>
      </c>
      <c r="D30" s="7" t="s">
        <v>43</v>
      </c>
      <c r="E30" s="44">
        <f>E23-E27-I27-I36+I26+I35</f>
        <v>-376.05999999999995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-0.11217131823766895</v>
      </c>
      <c r="D31" s="46" t="s">
        <v>44</v>
      </c>
      <c r="E31" s="47">
        <f>(E30*12)/B19</f>
        <v>-0.2640407231876426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70.350000000000009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70.350000000000009</v>
      </c>
    </row>
    <row r="34" spans="1:9" x14ac:dyDescent="0.25">
      <c r="A34" s="26" t="s">
        <v>49</v>
      </c>
      <c r="B34" s="8">
        <f>B16</f>
        <v>189900</v>
      </c>
      <c r="G34" s="27" t="s">
        <v>50</v>
      </c>
      <c r="H34" s="48">
        <v>0.05</v>
      </c>
      <c r="I34" s="49">
        <f>$B$23*H34</f>
        <v>70.350000000000009</v>
      </c>
    </row>
    <row r="35" spans="1:9" x14ac:dyDescent="0.25">
      <c r="A35" s="7" t="s">
        <v>51</v>
      </c>
      <c r="B35" s="17">
        <f>B34-B20</f>
        <v>9495</v>
      </c>
      <c r="G35" s="27" t="s">
        <v>52</v>
      </c>
      <c r="H35" s="48">
        <v>0.1</v>
      </c>
      <c r="I35" s="49">
        <f>$B$23*H35</f>
        <v>140.70000000000002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351.75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127.78687500000001</v>
      </c>
      <c r="D41" s="58"/>
      <c r="E41" s="61"/>
    </row>
    <row r="42" spans="1:9" x14ac:dyDescent="0.25">
      <c r="A42" s="7" t="s">
        <v>58</v>
      </c>
      <c r="B42" s="17">
        <f>B27-B41</f>
        <v>1087.223125</v>
      </c>
      <c r="D42" s="58"/>
      <c r="E42" s="61"/>
    </row>
    <row r="43" spans="1:9" x14ac:dyDescent="0.25">
      <c r="A43" s="7" t="s">
        <v>59</v>
      </c>
      <c r="B43" s="43">
        <f>B23-B42-I27-I36</f>
        <v>-31.973124999999982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-4.0408372827804087E-2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1519.1999999999998</v>
      </c>
    </row>
    <row r="47" spans="1:9" ht="15.75" thickBot="1" x14ac:dyDescent="0.3">
      <c r="A47" s="63" t="s">
        <v>251</v>
      </c>
      <c r="B47" s="65">
        <f>B16*0.02</f>
        <v>3798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959" priority="29" operator="equal">
      <formula>"NO"</formula>
    </cfRule>
    <cfRule type="cellIs" dxfId="1958" priority="30" operator="equal">
      <formula>"YES"</formula>
    </cfRule>
  </conditionalFormatting>
  <conditionalFormatting sqref="E40">
    <cfRule type="cellIs" dxfId="1957" priority="27" operator="equal">
      <formula>"YES"</formula>
    </cfRule>
    <cfRule type="cellIs" dxfId="1956" priority="28" operator="equal">
      <formula>"NO"</formula>
    </cfRule>
  </conditionalFormatting>
  <conditionalFormatting sqref="B25">
    <cfRule type="cellIs" dxfId="1955" priority="25" operator="equal">
      <formula>"NO"</formula>
    </cfRule>
    <cfRule type="cellIs" dxfId="1954" priority="26" operator="equal">
      <formula>"YES"</formula>
    </cfRule>
  </conditionalFormatting>
  <conditionalFormatting sqref="B12">
    <cfRule type="containsText" dxfId="1953" priority="11" operator="containsText" text="Low">
      <formula>NOT(ISERROR(SEARCH("Low",B12)))</formula>
    </cfRule>
    <cfRule type="containsText" dxfId="1952" priority="12" operator="containsText" text="Medium">
      <formula>NOT(ISERROR(SEARCH("Medium",B12)))</formula>
    </cfRule>
    <cfRule type="containsText" dxfId="1951" priority="13" operator="containsText" text="High">
      <formula>NOT(ISERROR(SEARCH("High",B12)))</formula>
    </cfRule>
  </conditionalFormatting>
  <conditionalFormatting sqref="B31">
    <cfRule type="cellIs" dxfId="1950" priority="21" operator="between">
      <formula>10%</formula>
      <formula>11.9%</formula>
    </cfRule>
    <cfRule type="cellIs" dxfId="1949" priority="23" operator="lessThan">
      <formula>0.1</formula>
    </cfRule>
    <cfRule type="cellIs" dxfId="1948" priority="24" operator="greaterThanOrEqual">
      <formula>0.12</formula>
    </cfRule>
  </conditionalFormatting>
  <conditionalFormatting sqref="B44">
    <cfRule type="cellIs" dxfId="1947" priority="19" operator="between">
      <formula>0.1</formula>
      <formula>0.1199</formula>
    </cfRule>
    <cfRule type="cellIs" dxfId="1946" priority="20" operator="lessThan">
      <formula>0.1</formula>
    </cfRule>
    <cfRule type="cellIs" dxfId="1945" priority="22" operator="greaterThanOrEqual">
      <formula>0.12</formula>
    </cfRule>
  </conditionalFormatting>
  <conditionalFormatting sqref="B10">
    <cfRule type="containsText" dxfId="1944" priority="14" operator="containsText" text="Full">
      <formula>NOT(ISERROR(SEARCH("Full",B10)))</formula>
    </cfRule>
    <cfRule type="containsText" dxfId="1943" priority="15" operator="containsText" text="Heavy">
      <formula>NOT(ISERROR(SEARCH("Heavy",B10)))</formula>
    </cfRule>
    <cfRule type="containsText" dxfId="1942" priority="16" operator="containsText" text="Medium">
      <formula>NOT(ISERROR(SEARCH("Medium",B10)))</formula>
    </cfRule>
    <cfRule type="containsText" dxfId="1941" priority="17" operator="containsText" text="Light">
      <formula>NOT(ISERROR(SEARCH("Light",B10)))</formula>
    </cfRule>
    <cfRule type="containsText" dxfId="1940" priority="18" operator="containsText" text="None">
      <formula>NOT(ISERROR(SEARCH("None",B10)))</formula>
    </cfRule>
  </conditionalFormatting>
  <conditionalFormatting sqref="B30">
    <cfRule type="cellIs" dxfId="1939" priority="31" operator="lessThan">
      <formula>$B$8*100</formula>
    </cfRule>
    <cfRule type="cellIs" dxfId="1938" priority="32" operator="greaterThanOrEqual">
      <formula>$B$8*100</formula>
    </cfRule>
  </conditionalFormatting>
  <conditionalFormatting sqref="B43">
    <cfRule type="cellIs" dxfId="1937" priority="33" operator="lessThan">
      <formula>$B$8*100</formula>
    </cfRule>
    <cfRule type="cellIs" dxfId="1936" priority="34" operator="greaterThan">
      <formula>$B$8*100</formula>
    </cfRule>
    <cfRule type="cellIs" dxfId="1935" priority="35" operator="greaterThan">
      <formula>$B$8*100</formula>
    </cfRule>
  </conditionalFormatting>
  <conditionalFormatting sqref="B40">
    <cfRule type="cellIs" dxfId="1934" priority="9" operator="equal">
      <formula>"YES"</formula>
    </cfRule>
    <cfRule type="cellIs" dxfId="1933" priority="10" operator="equal">
      <formula>"NO"</formula>
    </cfRule>
  </conditionalFormatting>
  <conditionalFormatting sqref="E25:E28">
    <cfRule type="cellIs" dxfId="1932" priority="5" operator="equal">
      <formula>"NO"</formula>
    </cfRule>
    <cfRule type="cellIs" dxfId="1931" priority="6" operator="equal">
      <formula>"YES"</formula>
    </cfRule>
  </conditionalFormatting>
  <conditionalFormatting sqref="E31">
    <cfRule type="cellIs" dxfId="1930" priority="2" operator="between">
      <formula>10%</formula>
      <formula>12%</formula>
    </cfRule>
    <cfRule type="cellIs" dxfId="1929" priority="3" operator="lessThan">
      <formula>0.1</formula>
    </cfRule>
    <cfRule type="cellIs" dxfId="1928" priority="4" operator="greaterThan">
      <formula>0.12</formula>
    </cfRule>
  </conditionalFormatting>
  <conditionalFormatting sqref="E30">
    <cfRule type="cellIs" dxfId="1927" priority="7" operator="lessThan">
      <formula>$B$8*100</formula>
    </cfRule>
    <cfRule type="cellIs" dxfId="1926" priority="8" operator="greaterThan">
      <formula>$B$8*100</formula>
    </cfRule>
  </conditionalFormatting>
  <conditionalFormatting sqref="B46:B47">
    <cfRule type="cellIs" dxfId="1925" priority="1" operator="greaterThan">
      <formula>0</formula>
    </cfRule>
  </conditionalFormatting>
  <hyperlinks>
    <hyperlink ref="A34" r:id="rId1" display="https://www.zillow.com/homes/recently_sold/" xr:uid="{34258C55-BA88-4B9D-A681-6D042C278905}"/>
    <hyperlink ref="A23" r:id="rId2" xr:uid="{1F7C0E42-D71C-4847-9924-62B2343E4EC3}"/>
    <hyperlink ref="A27" r:id="rId3" display="www.mortgagecalculator.org" xr:uid="{86039515-3D14-4AE6-BB58-571FB75C29CC}"/>
    <hyperlink ref="A12" r:id="rId4" xr:uid="{56A2FD25-7CA9-44CA-A284-BA5E9BCC7EF0}"/>
  </hyperlinks>
  <pageMargins left="0.7" right="0.7" top="0.75" bottom="0.75" header="0.3" footer="0.3"/>
  <drawing r:id="rId5"/>
  <legacyDrawing r:id="rId6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DDC1-DDD4-4AAC-A575-7F10B44D5F0C}">
  <sheetPr codeName="Sheet184">
    <tabColor rgb="FFFF0000"/>
  </sheetPr>
  <dimension ref="A1:P47"/>
  <sheetViews>
    <sheetView topLeftCell="A9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280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262500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1858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259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223125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223125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11156.25</v>
      </c>
      <c r="D17" s="19"/>
      <c r="E17" s="20"/>
      <c r="P17" s="21"/>
    </row>
    <row r="18" spans="1:16" x14ac:dyDescent="0.25">
      <c r="A18" s="7" t="s">
        <v>253</v>
      </c>
      <c r="B18" s="17">
        <f>B13*0.04</f>
        <v>8925</v>
      </c>
      <c r="D18" s="66"/>
      <c r="E18" s="67"/>
      <c r="P18" s="21"/>
    </row>
    <row r="19" spans="1:16" x14ac:dyDescent="0.25">
      <c r="A19" s="7" t="s">
        <v>254</v>
      </c>
      <c r="B19" s="17">
        <f>B17+B18</f>
        <v>20081.25</v>
      </c>
      <c r="D19" s="66"/>
      <c r="E19" s="67"/>
      <c r="P19" s="21"/>
    </row>
    <row r="20" spans="1:16" x14ac:dyDescent="0.25">
      <c r="A20" s="7" t="s">
        <v>23</v>
      </c>
      <c r="B20" s="17">
        <f>B16-B17</f>
        <v>211968.75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1406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2231.25</v>
      </c>
      <c r="D24" s="7" t="s">
        <v>77</v>
      </c>
      <c r="E24" s="17">
        <f>B16*0.01</f>
        <v>2231.25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1442.82</v>
      </c>
      <c r="D27" s="7" t="s">
        <v>38</v>
      </c>
      <c r="E27" s="35">
        <f>B27</f>
        <v>1442.82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1794.32</v>
      </c>
      <c r="D28" s="7" t="s">
        <v>41</v>
      </c>
      <c r="E28" s="17">
        <f>E27+I27+I36</f>
        <v>1794.32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-388.31999999999994</v>
      </c>
      <c r="D30" s="7" t="s">
        <v>43</v>
      </c>
      <c r="E30" s="44">
        <f>E23-E27-I27-I36+I26+I35</f>
        <v>-603.71999999999991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-0.23204929971988791</v>
      </c>
      <c r="D31" s="46" t="s">
        <v>44</v>
      </c>
      <c r="E31" s="47">
        <f>(E30*12)/B19</f>
        <v>-0.36076638655462184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70.3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70.3</v>
      </c>
    </row>
    <row r="34" spans="1:9" x14ac:dyDescent="0.25">
      <c r="A34" s="26" t="s">
        <v>49</v>
      </c>
      <c r="B34" s="8">
        <f>B16</f>
        <v>223125</v>
      </c>
      <c r="G34" s="27" t="s">
        <v>50</v>
      </c>
      <c r="H34" s="48">
        <v>0.05</v>
      </c>
      <c r="I34" s="49">
        <f>$B$23*H34</f>
        <v>70.3</v>
      </c>
    </row>
    <row r="35" spans="1:9" x14ac:dyDescent="0.25">
      <c r="A35" s="7" t="s">
        <v>51</v>
      </c>
      <c r="B35" s="17">
        <f>B34-B20</f>
        <v>11156.25</v>
      </c>
      <c r="G35" s="27" t="s">
        <v>52</v>
      </c>
      <c r="H35" s="48">
        <v>0.1</v>
      </c>
      <c r="I35" s="49">
        <f>$B$23*H35</f>
        <v>140.6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351.5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150.14453125000003</v>
      </c>
      <c r="D41" s="58"/>
      <c r="E41" s="61"/>
    </row>
    <row r="42" spans="1:9" x14ac:dyDescent="0.25">
      <c r="A42" s="7" t="s">
        <v>58</v>
      </c>
      <c r="B42" s="17">
        <f>B27-B41</f>
        <v>1292.6754687499999</v>
      </c>
      <c r="D42" s="58"/>
      <c r="E42" s="61"/>
    </row>
    <row r="43" spans="1:9" x14ac:dyDescent="0.25">
      <c r="A43" s="7" t="s">
        <v>59</v>
      </c>
      <c r="B43" s="43">
        <f>B23-B42-I27-I36</f>
        <v>-238.17546874999994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-0.25618873949579823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1785</v>
      </c>
    </row>
    <row r="47" spans="1:9" ht="15.75" thickBot="1" x14ac:dyDescent="0.3">
      <c r="A47" s="63" t="s">
        <v>251</v>
      </c>
      <c r="B47" s="65">
        <f>B16*0.02</f>
        <v>4462.5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924" priority="29" operator="equal">
      <formula>"NO"</formula>
    </cfRule>
    <cfRule type="cellIs" dxfId="1923" priority="30" operator="equal">
      <formula>"YES"</formula>
    </cfRule>
  </conditionalFormatting>
  <conditionalFormatting sqref="E40">
    <cfRule type="cellIs" dxfId="1922" priority="27" operator="equal">
      <formula>"YES"</formula>
    </cfRule>
    <cfRule type="cellIs" dxfId="1921" priority="28" operator="equal">
      <formula>"NO"</formula>
    </cfRule>
  </conditionalFormatting>
  <conditionalFormatting sqref="B25">
    <cfRule type="cellIs" dxfId="1920" priority="25" operator="equal">
      <formula>"NO"</formula>
    </cfRule>
    <cfRule type="cellIs" dxfId="1919" priority="26" operator="equal">
      <formula>"YES"</formula>
    </cfRule>
  </conditionalFormatting>
  <conditionalFormatting sqref="B12">
    <cfRule type="containsText" dxfId="1918" priority="11" operator="containsText" text="Low">
      <formula>NOT(ISERROR(SEARCH("Low",B12)))</formula>
    </cfRule>
    <cfRule type="containsText" dxfId="1917" priority="12" operator="containsText" text="Medium">
      <formula>NOT(ISERROR(SEARCH("Medium",B12)))</formula>
    </cfRule>
    <cfRule type="containsText" dxfId="1916" priority="13" operator="containsText" text="High">
      <formula>NOT(ISERROR(SEARCH("High",B12)))</formula>
    </cfRule>
  </conditionalFormatting>
  <conditionalFormatting sqref="B31">
    <cfRule type="cellIs" dxfId="1915" priority="21" operator="between">
      <formula>10%</formula>
      <formula>11.9%</formula>
    </cfRule>
    <cfRule type="cellIs" dxfId="1914" priority="23" operator="lessThan">
      <formula>0.1</formula>
    </cfRule>
    <cfRule type="cellIs" dxfId="1913" priority="24" operator="greaterThanOrEqual">
      <formula>0.12</formula>
    </cfRule>
  </conditionalFormatting>
  <conditionalFormatting sqref="B44">
    <cfRule type="cellIs" dxfId="1912" priority="19" operator="between">
      <formula>0.1</formula>
      <formula>0.1199</formula>
    </cfRule>
    <cfRule type="cellIs" dxfId="1911" priority="20" operator="lessThan">
      <formula>0.1</formula>
    </cfRule>
    <cfRule type="cellIs" dxfId="1910" priority="22" operator="greaterThanOrEqual">
      <formula>0.12</formula>
    </cfRule>
  </conditionalFormatting>
  <conditionalFormatting sqref="B10">
    <cfRule type="containsText" dxfId="1909" priority="14" operator="containsText" text="Full">
      <formula>NOT(ISERROR(SEARCH("Full",B10)))</formula>
    </cfRule>
    <cfRule type="containsText" dxfId="1908" priority="15" operator="containsText" text="Heavy">
      <formula>NOT(ISERROR(SEARCH("Heavy",B10)))</formula>
    </cfRule>
    <cfRule type="containsText" dxfId="1907" priority="16" operator="containsText" text="Medium">
      <formula>NOT(ISERROR(SEARCH("Medium",B10)))</formula>
    </cfRule>
    <cfRule type="containsText" dxfId="1906" priority="17" operator="containsText" text="Light">
      <formula>NOT(ISERROR(SEARCH("Light",B10)))</formula>
    </cfRule>
    <cfRule type="containsText" dxfId="1905" priority="18" operator="containsText" text="None">
      <formula>NOT(ISERROR(SEARCH("None",B10)))</formula>
    </cfRule>
  </conditionalFormatting>
  <conditionalFormatting sqref="B30">
    <cfRule type="cellIs" dxfId="1904" priority="31" operator="lessThan">
      <formula>$B$8*100</formula>
    </cfRule>
    <cfRule type="cellIs" dxfId="1903" priority="32" operator="greaterThanOrEqual">
      <formula>$B$8*100</formula>
    </cfRule>
  </conditionalFormatting>
  <conditionalFormatting sqref="B43">
    <cfRule type="cellIs" dxfId="1902" priority="33" operator="lessThan">
      <formula>$B$8*100</formula>
    </cfRule>
    <cfRule type="cellIs" dxfId="1901" priority="34" operator="greaterThan">
      <formula>$B$8*100</formula>
    </cfRule>
    <cfRule type="cellIs" dxfId="1900" priority="35" operator="greaterThan">
      <formula>$B$8*100</formula>
    </cfRule>
  </conditionalFormatting>
  <conditionalFormatting sqref="B40">
    <cfRule type="cellIs" dxfId="1899" priority="9" operator="equal">
      <formula>"YES"</formula>
    </cfRule>
    <cfRule type="cellIs" dxfId="1898" priority="10" operator="equal">
      <formula>"NO"</formula>
    </cfRule>
  </conditionalFormatting>
  <conditionalFormatting sqref="E25:E28">
    <cfRule type="cellIs" dxfId="1897" priority="5" operator="equal">
      <formula>"NO"</formula>
    </cfRule>
    <cfRule type="cellIs" dxfId="1896" priority="6" operator="equal">
      <formula>"YES"</formula>
    </cfRule>
  </conditionalFormatting>
  <conditionalFormatting sqref="E31">
    <cfRule type="cellIs" dxfId="1895" priority="2" operator="between">
      <formula>10%</formula>
      <formula>12%</formula>
    </cfRule>
    <cfRule type="cellIs" dxfId="1894" priority="3" operator="lessThan">
      <formula>0.1</formula>
    </cfRule>
    <cfRule type="cellIs" dxfId="1893" priority="4" operator="greaterThan">
      <formula>0.12</formula>
    </cfRule>
  </conditionalFormatting>
  <conditionalFormatting sqref="E30">
    <cfRule type="cellIs" dxfId="1892" priority="7" operator="lessThan">
      <formula>$B$8*100</formula>
    </cfRule>
    <cfRule type="cellIs" dxfId="1891" priority="8" operator="greaterThan">
      <formula>$B$8*100</formula>
    </cfRule>
  </conditionalFormatting>
  <conditionalFormatting sqref="B46:B47">
    <cfRule type="cellIs" dxfId="1890" priority="1" operator="greaterThan">
      <formula>0</formula>
    </cfRule>
  </conditionalFormatting>
  <hyperlinks>
    <hyperlink ref="A34" r:id="rId1" display="https://www.zillow.com/homes/recently_sold/" xr:uid="{36073067-0CB0-4D5A-8F03-FB0C27B15E5D}"/>
    <hyperlink ref="A23" r:id="rId2" xr:uid="{6B9E2E3A-59FC-460F-9254-9C220C7C8293}"/>
    <hyperlink ref="A27" r:id="rId3" display="www.mortgagecalculator.org" xr:uid="{EDD248A5-B32C-4481-9D25-4F854369EB57}"/>
    <hyperlink ref="A12" r:id="rId4" xr:uid="{59E3C582-6FB2-43FE-9FC4-1438EF9D278E}"/>
  </hyperlinks>
  <pageMargins left="0.7" right="0.7" top="0.75" bottom="0.75" header="0.3" footer="0.3"/>
  <drawing r:id="rId5"/>
  <legacyDrawing r:id="rId6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35E5-8F13-4890-BE77-DDB450A90C15}">
  <sheetPr codeName="Sheet185">
    <tabColor rgb="FFFF0000"/>
  </sheetPr>
  <dimension ref="A1:P47"/>
  <sheetViews>
    <sheetView topLeftCell="A12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281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299900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254915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254915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12745.75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10196.6</v>
      </c>
      <c r="D18" s="66"/>
      <c r="E18" s="67"/>
      <c r="P18" s="21"/>
    </row>
    <row r="19" spans="1:16" x14ac:dyDescent="0.25">
      <c r="A19" s="7" t="s">
        <v>254</v>
      </c>
      <c r="B19" s="17">
        <f>B17+B18</f>
        <v>22942.35</v>
      </c>
      <c r="D19" s="66"/>
      <c r="E19" s="67"/>
      <c r="P19" s="21"/>
    </row>
    <row r="20" spans="1:16" x14ac:dyDescent="0.25">
      <c r="A20" s="7" t="s">
        <v>23</v>
      </c>
      <c r="B20" s="17">
        <f>B16-B17</f>
        <v>242169.25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1500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2549.15</v>
      </c>
      <c r="D24" s="7" t="s">
        <v>77</v>
      </c>
      <c r="E24" s="17">
        <f>B16*0.01</f>
        <v>2549.15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1589.02</v>
      </c>
      <c r="D27" s="7" t="s">
        <v>38</v>
      </c>
      <c r="E27" s="35">
        <f>B27</f>
        <v>1589.02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1964.02</v>
      </c>
      <c r="D28" s="7" t="s">
        <v>41</v>
      </c>
      <c r="E28" s="17">
        <f>E27+I27+I36</f>
        <v>1964.02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-464.02</v>
      </c>
      <c r="D30" s="7" t="s">
        <v>43</v>
      </c>
      <c r="E30" s="44">
        <f>E23-E27-I27-I36+I26+I35</f>
        <v>-764.02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-0.24270573851414523</v>
      </c>
      <c r="D31" s="46" t="s">
        <v>44</v>
      </c>
      <c r="E31" s="47">
        <f>(E30*12)/B19</f>
        <v>-0.39962078862888939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75</v>
      </c>
    </row>
    <row r="34" spans="1:9" x14ac:dyDescent="0.25">
      <c r="A34" s="26" t="s">
        <v>49</v>
      </c>
      <c r="B34" s="8">
        <f>B16</f>
        <v>254915</v>
      </c>
      <c r="G34" s="27" t="s">
        <v>50</v>
      </c>
      <c r="H34" s="48">
        <v>0.05</v>
      </c>
      <c r="I34" s="49">
        <f>$B$23*H34</f>
        <v>75</v>
      </c>
    </row>
    <row r="35" spans="1:9" x14ac:dyDescent="0.25">
      <c r="A35" s="7" t="s">
        <v>51</v>
      </c>
      <c r="B35" s="17">
        <f>B34-B20</f>
        <v>12745.75</v>
      </c>
      <c r="G35" s="27" t="s">
        <v>52</v>
      </c>
      <c r="H35" s="48">
        <v>0.1</v>
      </c>
      <c r="I35" s="49">
        <f>$B$23*H35</f>
        <v>150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171.53655208333336</v>
      </c>
      <c r="D41" s="58"/>
      <c r="E41" s="61"/>
    </row>
    <row r="42" spans="1:9" x14ac:dyDescent="0.25">
      <c r="A42" s="7" t="s">
        <v>58</v>
      </c>
      <c r="B42" s="17">
        <f>B27-B41</f>
        <v>1417.4834479166666</v>
      </c>
      <c r="D42" s="58"/>
      <c r="E42" s="61"/>
    </row>
    <row r="43" spans="1:9" x14ac:dyDescent="0.25">
      <c r="A43" s="7" t="s">
        <v>59</v>
      </c>
      <c r="B43" s="43">
        <f>B23-B42-I27-I36</f>
        <v>-292.48344791666659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-0.27537032932546135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2039.3200000000002</v>
      </c>
    </row>
    <row r="47" spans="1:9" ht="15.75" thickBot="1" x14ac:dyDescent="0.3">
      <c r="A47" s="63" t="s">
        <v>251</v>
      </c>
      <c r="B47" s="65">
        <f>B16*0.02</f>
        <v>5098.3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889" priority="29" operator="equal">
      <formula>"NO"</formula>
    </cfRule>
    <cfRule type="cellIs" dxfId="1888" priority="30" operator="equal">
      <formula>"YES"</formula>
    </cfRule>
  </conditionalFormatting>
  <conditionalFormatting sqref="E40">
    <cfRule type="cellIs" dxfId="1887" priority="27" operator="equal">
      <formula>"YES"</formula>
    </cfRule>
    <cfRule type="cellIs" dxfId="1886" priority="28" operator="equal">
      <formula>"NO"</formula>
    </cfRule>
  </conditionalFormatting>
  <conditionalFormatting sqref="B25">
    <cfRule type="cellIs" dxfId="1885" priority="25" operator="equal">
      <formula>"NO"</formula>
    </cfRule>
    <cfRule type="cellIs" dxfId="1884" priority="26" operator="equal">
      <formula>"YES"</formula>
    </cfRule>
  </conditionalFormatting>
  <conditionalFormatting sqref="B12">
    <cfRule type="containsText" dxfId="1883" priority="11" operator="containsText" text="Low">
      <formula>NOT(ISERROR(SEARCH("Low",B12)))</formula>
    </cfRule>
    <cfRule type="containsText" dxfId="1882" priority="12" operator="containsText" text="Medium">
      <formula>NOT(ISERROR(SEARCH("Medium",B12)))</formula>
    </cfRule>
    <cfRule type="containsText" dxfId="1881" priority="13" operator="containsText" text="High">
      <formula>NOT(ISERROR(SEARCH("High",B12)))</formula>
    </cfRule>
  </conditionalFormatting>
  <conditionalFormatting sqref="B31">
    <cfRule type="cellIs" dxfId="1880" priority="21" operator="between">
      <formula>10%</formula>
      <formula>11.9%</formula>
    </cfRule>
    <cfRule type="cellIs" dxfId="1879" priority="23" operator="lessThan">
      <formula>0.1</formula>
    </cfRule>
    <cfRule type="cellIs" dxfId="1878" priority="24" operator="greaterThanOrEqual">
      <formula>0.12</formula>
    </cfRule>
  </conditionalFormatting>
  <conditionalFormatting sqref="B44">
    <cfRule type="cellIs" dxfId="1877" priority="19" operator="between">
      <formula>0.1</formula>
      <formula>0.1199</formula>
    </cfRule>
    <cfRule type="cellIs" dxfId="1876" priority="20" operator="lessThan">
      <formula>0.1</formula>
    </cfRule>
    <cfRule type="cellIs" dxfId="1875" priority="22" operator="greaterThanOrEqual">
      <formula>0.12</formula>
    </cfRule>
  </conditionalFormatting>
  <conditionalFormatting sqref="B10">
    <cfRule type="containsText" dxfId="1874" priority="14" operator="containsText" text="Full">
      <formula>NOT(ISERROR(SEARCH("Full",B10)))</formula>
    </cfRule>
    <cfRule type="containsText" dxfId="1873" priority="15" operator="containsText" text="Heavy">
      <formula>NOT(ISERROR(SEARCH("Heavy",B10)))</formula>
    </cfRule>
    <cfRule type="containsText" dxfId="1872" priority="16" operator="containsText" text="Medium">
      <formula>NOT(ISERROR(SEARCH("Medium",B10)))</formula>
    </cfRule>
    <cfRule type="containsText" dxfId="1871" priority="17" operator="containsText" text="Light">
      <formula>NOT(ISERROR(SEARCH("Light",B10)))</formula>
    </cfRule>
    <cfRule type="containsText" dxfId="1870" priority="18" operator="containsText" text="None">
      <formula>NOT(ISERROR(SEARCH("None",B10)))</formula>
    </cfRule>
  </conditionalFormatting>
  <conditionalFormatting sqref="B30">
    <cfRule type="cellIs" dxfId="1869" priority="31" operator="lessThan">
      <formula>$B$8*100</formula>
    </cfRule>
    <cfRule type="cellIs" dxfId="1868" priority="32" operator="greaterThanOrEqual">
      <formula>$B$8*100</formula>
    </cfRule>
  </conditionalFormatting>
  <conditionalFormatting sqref="B43">
    <cfRule type="cellIs" dxfId="1867" priority="33" operator="lessThan">
      <formula>$B$8*100</formula>
    </cfRule>
    <cfRule type="cellIs" dxfId="1866" priority="34" operator="greaterThan">
      <formula>$B$8*100</formula>
    </cfRule>
    <cfRule type="cellIs" dxfId="1865" priority="35" operator="greaterThan">
      <formula>$B$8*100</formula>
    </cfRule>
  </conditionalFormatting>
  <conditionalFormatting sqref="B40">
    <cfRule type="cellIs" dxfId="1864" priority="9" operator="equal">
      <formula>"YES"</formula>
    </cfRule>
    <cfRule type="cellIs" dxfId="1863" priority="10" operator="equal">
      <formula>"NO"</formula>
    </cfRule>
  </conditionalFormatting>
  <conditionalFormatting sqref="E25:E28">
    <cfRule type="cellIs" dxfId="1862" priority="5" operator="equal">
      <formula>"NO"</formula>
    </cfRule>
    <cfRule type="cellIs" dxfId="1861" priority="6" operator="equal">
      <formula>"YES"</formula>
    </cfRule>
  </conditionalFormatting>
  <conditionalFormatting sqref="E31">
    <cfRule type="cellIs" dxfId="1860" priority="2" operator="between">
      <formula>10%</formula>
      <formula>12%</formula>
    </cfRule>
    <cfRule type="cellIs" dxfId="1859" priority="3" operator="lessThan">
      <formula>0.1</formula>
    </cfRule>
    <cfRule type="cellIs" dxfId="1858" priority="4" operator="greaterThan">
      <formula>0.12</formula>
    </cfRule>
  </conditionalFormatting>
  <conditionalFormatting sqref="E30">
    <cfRule type="cellIs" dxfId="1857" priority="7" operator="lessThan">
      <formula>$B$8*100</formula>
    </cfRule>
    <cfRule type="cellIs" dxfId="1856" priority="8" operator="greaterThan">
      <formula>$B$8*100</formula>
    </cfRule>
  </conditionalFormatting>
  <conditionalFormatting sqref="B46:B47">
    <cfRule type="cellIs" dxfId="1855" priority="1" operator="greaterThan">
      <formula>0</formula>
    </cfRule>
  </conditionalFormatting>
  <hyperlinks>
    <hyperlink ref="A34" r:id="rId1" display="https://www.zillow.com/homes/recently_sold/" xr:uid="{8DB29C34-DC32-4FEE-AAA5-97B67011EFB8}"/>
    <hyperlink ref="A23" r:id="rId2" xr:uid="{C150F55D-05EA-4729-857C-3F3D649AB7F2}"/>
    <hyperlink ref="A27" r:id="rId3" display="www.mortgagecalculator.org" xr:uid="{5F7FCEDD-0CCF-42A2-88E7-7CAEBA1B5EAB}"/>
    <hyperlink ref="A12" r:id="rId4" xr:uid="{D16A5BC5-C757-475E-A241-7C45F2F53BEE}"/>
  </hyperlinks>
  <pageMargins left="0.7" right="0.7" top="0.75" bottom="0.75" header="0.3" footer="0.3"/>
  <drawing r:id="rId5"/>
  <legacyDrawing r:id="rId6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95CE-8453-4F83-B7D1-3221779E73A1}">
  <sheetPr codeName="Sheet186">
    <tabColor rgb="FFFF0000"/>
  </sheetPr>
  <dimension ref="A1:P47"/>
  <sheetViews>
    <sheetView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2867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352750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352750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17637.5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14110</v>
      </c>
      <c r="D18" s="66"/>
      <c r="E18" s="67"/>
      <c r="P18" s="21"/>
    </row>
    <row r="19" spans="1:16" x14ac:dyDescent="0.25">
      <c r="A19" s="7" t="s">
        <v>254</v>
      </c>
      <c r="B19" s="17">
        <f>B17+B18</f>
        <v>31747.5</v>
      </c>
      <c r="D19" s="66"/>
      <c r="E19" s="67"/>
      <c r="P19" s="21"/>
    </row>
    <row r="20" spans="1:16" x14ac:dyDescent="0.25">
      <c r="A20" s="7" t="s">
        <v>23</v>
      </c>
      <c r="B20" s="17">
        <f>B16-B17</f>
        <v>335112.5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2000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3527.5</v>
      </c>
      <c r="D24" s="7" t="s">
        <v>77</v>
      </c>
      <c r="E24" s="17">
        <f>B16*0.01</f>
        <v>3527.5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2213.96</v>
      </c>
      <c r="D27" s="7" t="s">
        <v>38</v>
      </c>
      <c r="E27" s="35">
        <f>B27</f>
        <v>2213.96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2713.96</v>
      </c>
      <c r="D28" s="7" t="s">
        <v>41</v>
      </c>
      <c r="E28" s="17">
        <f>E27+I27+I36</f>
        <v>2713.96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-713.96</v>
      </c>
      <c r="D30" s="7" t="s">
        <v>43</v>
      </c>
      <c r="E30" s="44">
        <f>E23-E27-I27-I36+I26+I35</f>
        <v>-1463.96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-0.26986439877155682</v>
      </c>
      <c r="D31" s="46" t="s">
        <v>44</v>
      </c>
      <c r="E31" s="47">
        <f>(E30*12)/B19</f>
        <v>-0.55335128750295304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100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100</v>
      </c>
    </row>
    <row r="34" spans="1:9" x14ac:dyDescent="0.25">
      <c r="A34" s="26" t="s">
        <v>49</v>
      </c>
      <c r="B34" s="8">
        <f>B16</f>
        <v>352750</v>
      </c>
      <c r="G34" s="27" t="s">
        <v>50</v>
      </c>
      <c r="H34" s="48">
        <v>0.05</v>
      </c>
      <c r="I34" s="49">
        <f>$B$23*H34</f>
        <v>100</v>
      </c>
    </row>
    <row r="35" spans="1:9" x14ac:dyDescent="0.25">
      <c r="A35" s="7" t="s">
        <v>51</v>
      </c>
      <c r="B35" s="17">
        <f>B34-B20</f>
        <v>17637.5</v>
      </c>
      <c r="G35" s="27" t="s">
        <v>52</v>
      </c>
      <c r="H35" s="48">
        <v>0.1</v>
      </c>
      <c r="I35" s="49">
        <f>$B$23*H35</f>
        <v>200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500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237.37135416666669</v>
      </c>
      <c r="D41" s="58"/>
      <c r="E41" s="61"/>
    </row>
    <row r="42" spans="1:9" x14ac:dyDescent="0.25">
      <c r="A42" s="7" t="s">
        <v>58</v>
      </c>
      <c r="B42" s="17">
        <f>B27-B41</f>
        <v>1976.5886458333334</v>
      </c>
      <c r="D42" s="58"/>
      <c r="E42" s="61"/>
    </row>
    <row r="43" spans="1:9" x14ac:dyDescent="0.25">
      <c r="A43" s="7" t="s">
        <v>59</v>
      </c>
      <c r="B43" s="43">
        <f>B23-B42-I27-I36</f>
        <v>-476.58864583333343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-0.32425591778880236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2822</v>
      </c>
    </row>
    <row r="47" spans="1:9" ht="15.75" thickBot="1" x14ac:dyDescent="0.3">
      <c r="A47" s="63" t="s">
        <v>251</v>
      </c>
      <c r="B47" s="65">
        <f>B16*0.02</f>
        <v>7055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854" priority="29" operator="equal">
      <formula>"NO"</formula>
    </cfRule>
    <cfRule type="cellIs" dxfId="1853" priority="30" operator="equal">
      <formula>"YES"</formula>
    </cfRule>
  </conditionalFormatting>
  <conditionalFormatting sqref="E40">
    <cfRule type="cellIs" dxfId="1852" priority="27" operator="equal">
      <formula>"YES"</formula>
    </cfRule>
    <cfRule type="cellIs" dxfId="1851" priority="28" operator="equal">
      <formula>"NO"</formula>
    </cfRule>
  </conditionalFormatting>
  <conditionalFormatting sqref="B25">
    <cfRule type="cellIs" dxfId="1850" priority="25" operator="equal">
      <formula>"NO"</formula>
    </cfRule>
    <cfRule type="cellIs" dxfId="1849" priority="26" operator="equal">
      <formula>"YES"</formula>
    </cfRule>
  </conditionalFormatting>
  <conditionalFormatting sqref="B12">
    <cfRule type="containsText" dxfId="1848" priority="11" operator="containsText" text="Low">
      <formula>NOT(ISERROR(SEARCH("Low",B12)))</formula>
    </cfRule>
    <cfRule type="containsText" dxfId="1847" priority="12" operator="containsText" text="Medium">
      <formula>NOT(ISERROR(SEARCH("Medium",B12)))</formula>
    </cfRule>
    <cfRule type="containsText" dxfId="1846" priority="13" operator="containsText" text="High">
      <formula>NOT(ISERROR(SEARCH("High",B12)))</formula>
    </cfRule>
  </conditionalFormatting>
  <conditionalFormatting sqref="B31">
    <cfRule type="cellIs" dxfId="1845" priority="21" operator="between">
      <formula>10%</formula>
      <formula>11.9%</formula>
    </cfRule>
    <cfRule type="cellIs" dxfId="1844" priority="23" operator="lessThan">
      <formula>0.1</formula>
    </cfRule>
    <cfRule type="cellIs" dxfId="1843" priority="24" operator="greaterThanOrEqual">
      <formula>0.12</formula>
    </cfRule>
  </conditionalFormatting>
  <conditionalFormatting sqref="B44">
    <cfRule type="cellIs" dxfId="1842" priority="19" operator="between">
      <formula>0.1</formula>
      <formula>0.1199</formula>
    </cfRule>
    <cfRule type="cellIs" dxfId="1841" priority="20" operator="lessThan">
      <formula>0.1</formula>
    </cfRule>
    <cfRule type="cellIs" dxfId="1840" priority="22" operator="greaterThanOrEqual">
      <formula>0.12</formula>
    </cfRule>
  </conditionalFormatting>
  <conditionalFormatting sqref="B10">
    <cfRule type="containsText" dxfId="1839" priority="14" operator="containsText" text="Full">
      <formula>NOT(ISERROR(SEARCH("Full",B10)))</formula>
    </cfRule>
    <cfRule type="containsText" dxfId="1838" priority="15" operator="containsText" text="Heavy">
      <formula>NOT(ISERROR(SEARCH("Heavy",B10)))</formula>
    </cfRule>
    <cfRule type="containsText" dxfId="1837" priority="16" operator="containsText" text="Medium">
      <formula>NOT(ISERROR(SEARCH("Medium",B10)))</formula>
    </cfRule>
    <cfRule type="containsText" dxfId="1836" priority="17" operator="containsText" text="Light">
      <formula>NOT(ISERROR(SEARCH("Light",B10)))</formula>
    </cfRule>
    <cfRule type="containsText" dxfId="1835" priority="18" operator="containsText" text="None">
      <formula>NOT(ISERROR(SEARCH("None",B10)))</formula>
    </cfRule>
  </conditionalFormatting>
  <conditionalFormatting sqref="B30">
    <cfRule type="cellIs" dxfId="1834" priority="31" operator="lessThan">
      <formula>$B$8*100</formula>
    </cfRule>
    <cfRule type="cellIs" dxfId="1833" priority="32" operator="greaterThanOrEqual">
      <formula>$B$8*100</formula>
    </cfRule>
  </conditionalFormatting>
  <conditionalFormatting sqref="B43">
    <cfRule type="cellIs" dxfId="1832" priority="33" operator="lessThan">
      <formula>$B$8*100</formula>
    </cfRule>
    <cfRule type="cellIs" dxfId="1831" priority="34" operator="greaterThan">
      <formula>$B$8*100</formula>
    </cfRule>
    <cfRule type="cellIs" dxfId="1830" priority="35" operator="greaterThan">
      <formula>$B$8*100</formula>
    </cfRule>
  </conditionalFormatting>
  <conditionalFormatting sqref="B40">
    <cfRule type="cellIs" dxfId="1829" priority="9" operator="equal">
      <formula>"YES"</formula>
    </cfRule>
    <cfRule type="cellIs" dxfId="1828" priority="10" operator="equal">
      <formula>"NO"</formula>
    </cfRule>
  </conditionalFormatting>
  <conditionalFormatting sqref="E25:E28">
    <cfRule type="cellIs" dxfId="1827" priority="5" operator="equal">
      <formula>"NO"</formula>
    </cfRule>
    <cfRule type="cellIs" dxfId="1826" priority="6" operator="equal">
      <formula>"YES"</formula>
    </cfRule>
  </conditionalFormatting>
  <conditionalFormatting sqref="E31">
    <cfRule type="cellIs" dxfId="1825" priority="2" operator="between">
      <formula>10%</formula>
      <formula>12%</formula>
    </cfRule>
    <cfRule type="cellIs" dxfId="1824" priority="3" operator="lessThan">
      <formula>0.1</formula>
    </cfRule>
    <cfRule type="cellIs" dxfId="1823" priority="4" operator="greaterThan">
      <formula>0.12</formula>
    </cfRule>
  </conditionalFormatting>
  <conditionalFormatting sqref="E30">
    <cfRule type="cellIs" dxfId="1822" priority="7" operator="lessThan">
      <formula>$B$8*100</formula>
    </cfRule>
    <cfRule type="cellIs" dxfId="1821" priority="8" operator="greaterThan">
      <formula>$B$8*100</formula>
    </cfRule>
  </conditionalFormatting>
  <conditionalFormatting sqref="B46:B47">
    <cfRule type="cellIs" dxfId="1820" priority="1" operator="greaterThan">
      <formula>0</formula>
    </cfRule>
  </conditionalFormatting>
  <hyperlinks>
    <hyperlink ref="A34" r:id="rId1" display="https://www.zillow.com/homes/recently_sold/" xr:uid="{2A65125E-BA5E-4F88-949D-470137693891}"/>
    <hyperlink ref="A23" r:id="rId2" xr:uid="{CA4B557F-ACF0-453D-AE73-87A2025684DA}"/>
    <hyperlink ref="A27" r:id="rId3" display="www.mortgagecalculator.org" xr:uid="{3D131DF1-C197-40B9-8938-67D00213A415}"/>
    <hyperlink ref="A12" r:id="rId4" xr:uid="{B9D62A1A-746D-4766-B272-49958659A0BD}"/>
  </hyperlinks>
  <pageMargins left="0.7" right="0.7" top="0.75" bottom="0.75" header="0.3" footer="0.3"/>
  <drawing r:id="rId5"/>
  <legacyDrawing r:id="rId6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E139-A817-45DA-8505-434CCD5995CE}">
  <sheetPr codeName="Sheet187">
    <tabColor rgb="FFFF0000"/>
  </sheetPr>
  <dimension ref="A1:P47"/>
  <sheetViews>
    <sheetView topLeftCell="A15" workbookViewId="0">
      <selection activeCell="A32" sqref="A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283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1254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118915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118915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5945.75</v>
      </c>
      <c r="D17" s="19"/>
      <c r="E17" s="20"/>
      <c r="P17" s="21"/>
    </row>
    <row r="18" spans="1:16" x14ac:dyDescent="0.25">
      <c r="A18" s="7" t="s">
        <v>253</v>
      </c>
      <c r="B18" s="17">
        <f>B13*0.04</f>
        <v>4756.6000000000004</v>
      </c>
      <c r="D18" s="66"/>
      <c r="E18" s="67"/>
      <c r="P18" s="21"/>
    </row>
    <row r="19" spans="1:16" x14ac:dyDescent="0.25">
      <c r="A19" s="7" t="s">
        <v>254</v>
      </c>
      <c r="B19" s="17">
        <f>B17+B18</f>
        <v>10702.35</v>
      </c>
      <c r="D19" s="66"/>
      <c r="E19" s="67"/>
      <c r="P19" s="21"/>
    </row>
    <row r="20" spans="1:16" x14ac:dyDescent="0.25">
      <c r="A20" s="7" t="s">
        <v>23</v>
      </c>
      <c r="B20" s="17">
        <f>B16-B17</f>
        <v>112969.25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1069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1189.1500000000001</v>
      </c>
      <c r="D24" s="7" t="s">
        <v>77</v>
      </c>
      <c r="E24" s="17">
        <f>B16*0.01</f>
        <v>1189.1500000000001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846.89</v>
      </c>
      <c r="D27" s="7" t="s">
        <v>38</v>
      </c>
      <c r="E27" s="35">
        <f>B27</f>
        <v>846.89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1114.1399999999999</v>
      </c>
      <c r="D28" s="7" t="s">
        <v>41</v>
      </c>
      <c r="E28" s="17">
        <f>E27+I27+I36</f>
        <v>1114.1399999999999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-45.139999999999873</v>
      </c>
      <c r="D30" s="7" t="s">
        <v>43</v>
      </c>
      <c r="E30" s="44">
        <f>E23-E27-I27-I36+I26+I35</f>
        <v>42.760000000000019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-5.0613183085957615E-2</v>
      </c>
      <c r="D31" s="46" t="s">
        <v>44</v>
      </c>
      <c r="E31" s="47">
        <f>(E30*12)/B19</f>
        <v>4.7944610295869619E-2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53.45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53.45</v>
      </c>
    </row>
    <row r="34" spans="1:9" x14ac:dyDescent="0.25">
      <c r="A34" s="26" t="s">
        <v>49</v>
      </c>
      <c r="B34" s="8">
        <f>B16</f>
        <v>118915</v>
      </c>
      <c r="G34" s="27" t="s">
        <v>50</v>
      </c>
      <c r="H34" s="48">
        <v>0.05</v>
      </c>
      <c r="I34" s="49">
        <f>$B$23*H34</f>
        <v>53.45</v>
      </c>
    </row>
    <row r="35" spans="1:9" x14ac:dyDescent="0.25">
      <c r="A35" s="7" t="s">
        <v>51</v>
      </c>
      <c r="B35" s="17">
        <f>B34-B20</f>
        <v>5945.75</v>
      </c>
      <c r="G35" s="27" t="s">
        <v>52</v>
      </c>
      <c r="H35" s="48">
        <v>0.1</v>
      </c>
      <c r="I35" s="49">
        <f>$B$23*H35</f>
        <v>106.9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267.25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80.019885416666668</v>
      </c>
      <c r="D41" s="58"/>
      <c r="E41" s="61"/>
    </row>
    <row r="42" spans="1:9" x14ac:dyDescent="0.25">
      <c r="A42" s="7" t="s">
        <v>58</v>
      </c>
      <c r="B42" s="17">
        <f>B27-B41</f>
        <v>766.87011458333336</v>
      </c>
      <c r="D42" s="58"/>
      <c r="E42" s="61"/>
    </row>
    <row r="43" spans="1:9" x14ac:dyDescent="0.25">
      <c r="A43" s="7" t="s">
        <v>59</v>
      </c>
      <c r="B43" s="43">
        <f>B23-B42-I27-I36</f>
        <v>34.879885416666639</v>
      </c>
      <c r="D43" s="58"/>
      <c r="E43" s="61"/>
    </row>
    <row r="44" spans="1:9" ht="15.75" thickBot="1" x14ac:dyDescent="0.3">
      <c r="A44" s="46" t="s">
        <v>44</v>
      </c>
      <c r="B44" s="47">
        <f>(B43*12)/B17</f>
        <v>7.039627044527598E-2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951.31999999999994</v>
      </c>
    </row>
    <row r="47" spans="1:9" ht="15.75" thickBot="1" x14ac:dyDescent="0.3">
      <c r="A47" s="63" t="s">
        <v>251</v>
      </c>
      <c r="B47" s="65">
        <f>B16*0.02</f>
        <v>2378.3000000000002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819" priority="29" operator="equal">
      <formula>"NO"</formula>
    </cfRule>
    <cfRule type="cellIs" dxfId="1818" priority="30" operator="equal">
      <formula>"YES"</formula>
    </cfRule>
  </conditionalFormatting>
  <conditionalFormatting sqref="E40">
    <cfRule type="cellIs" dxfId="1817" priority="27" operator="equal">
      <formula>"YES"</formula>
    </cfRule>
    <cfRule type="cellIs" dxfId="1816" priority="28" operator="equal">
      <formula>"NO"</formula>
    </cfRule>
  </conditionalFormatting>
  <conditionalFormatting sqref="B25">
    <cfRule type="cellIs" dxfId="1815" priority="25" operator="equal">
      <formula>"NO"</formula>
    </cfRule>
    <cfRule type="cellIs" dxfId="1814" priority="26" operator="equal">
      <formula>"YES"</formula>
    </cfRule>
  </conditionalFormatting>
  <conditionalFormatting sqref="B12">
    <cfRule type="containsText" dxfId="1813" priority="11" operator="containsText" text="Low">
      <formula>NOT(ISERROR(SEARCH("Low",B12)))</formula>
    </cfRule>
    <cfRule type="containsText" dxfId="1812" priority="12" operator="containsText" text="Medium">
      <formula>NOT(ISERROR(SEARCH("Medium",B12)))</formula>
    </cfRule>
    <cfRule type="containsText" dxfId="1811" priority="13" operator="containsText" text="High">
      <formula>NOT(ISERROR(SEARCH("High",B12)))</formula>
    </cfRule>
  </conditionalFormatting>
  <conditionalFormatting sqref="B31">
    <cfRule type="cellIs" dxfId="1810" priority="21" operator="between">
      <formula>10%</formula>
      <formula>11.9%</formula>
    </cfRule>
    <cfRule type="cellIs" dxfId="1809" priority="23" operator="lessThan">
      <formula>0.1</formula>
    </cfRule>
    <cfRule type="cellIs" dxfId="1808" priority="24" operator="greaterThanOrEqual">
      <formula>0.12</formula>
    </cfRule>
  </conditionalFormatting>
  <conditionalFormatting sqref="B44">
    <cfRule type="cellIs" dxfId="1807" priority="19" operator="between">
      <formula>0.1</formula>
      <formula>0.1199</formula>
    </cfRule>
    <cfRule type="cellIs" dxfId="1806" priority="20" operator="lessThan">
      <formula>0.1</formula>
    </cfRule>
    <cfRule type="cellIs" dxfId="1805" priority="22" operator="greaterThanOrEqual">
      <formula>0.12</formula>
    </cfRule>
  </conditionalFormatting>
  <conditionalFormatting sqref="B10">
    <cfRule type="containsText" dxfId="1804" priority="14" operator="containsText" text="Full">
      <formula>NOT(ISERROR(SEARCH("Full",B10)))</formula>
    </cfRule>
    <cfRule type="containsText" dxfId="1803" priority="15" operator="containsText" text="Heavy">
      <formula>NOT(ISERROR(SEARCH("Heavy",B10)))</formula>
    </cfRule>
    <cfRule type="containsText" dxfId="1802" priority="16" operator="containsText" text="Medium">
      <formula>NOT(ISERROR(SEARCH("Medium",B10)))</formula>
    </cfRule>
    <cfRule type="containsText" dxfId="1801" priority="17" operator="containsText" text="Light">
      <formula>NOT(ISERROR(SEARCH("Light",B10)))</formula>
    </cfRule>
    <cfRule type="containsText" dxfId="1800" priority="18" operator="containsText" text="None">
      <formula>NOT(ISERROR(SEARCH("None",B10)))</formula>
    </cfRule>
  </conditionalFormatting>
  <conditionalFormatting sqref="B30">
    <cfRule type="cellIs" dxfId="1799" priority="31" operator="lessThan">
      <formula>$B$8*100</formula>
    </cfRule>
    <cfRule type="cellIs" dxfId="1798" priority="32" operator="greaterThanOrEqual">
      <formula>$B$8*100</formula>
    </cfRule>
  </conditionalFormatting>
  <conditionalFormatting sqref="B43">
    <cfRule type="cellIs" dxfId="1797" priority="33" operator="lessThan">
      <formula>$B$8*100</formula>
    </cfRule>
    <cfRule type="cellIs" dxfId="1796" priority="34" operator="greaterThan">
      <formula>$B$8*100</formula>
    </cfRule>
    <cfRule type="cellIs" dxfId="1795" priority="35" operator="greaterThan">
      <formula>$B$8*100</formula>
    </cfRule>
  </conditionalFormatting>
  <conditionalFormatting sqref="B40">
    <cfRule type="cellIs" dxfId="1794" priority="9" operator="equal">
      <formula>"YES"</formula>
    </cfRule>
    <cfRule type="cellIs" dxfId="1793" priority="10" operator="equal">
      <formula>"NO"</formula>
    </cfRule>
  </conditionalFormatting>
  <conditionalFormatting sqref="E25:E28">
    <cfRule type="cellIs" dxfId="1792" priority="5" operator="equal">
      <formula>"NO"</formula>
    </cfRule>
    <cfRule type="cellIs" dxfId="1791" priority="6" operator="equal">
      <formula>"YES"</formula>
    </cfRule>
  </conditionalFormatting>
  <conditionalFormatting sqref="E31">
    <cfRule type="cellIs" dxfId="1790" priority="2" operator="between">
      <formula>10%</formula>
      <formula>12%</formula>
    </cfRule>
    <cfRule type="cellIs" dxfId="1789" priority="3" operator="lessThan">
      <formula>0.1</formula>
    </cfRule>
    <cfRule type="cellIs" dxfId="1788" priority="4" operator="greaterThan">
      <formula>0.12</formula>
    </cfRule>
  </conditionalFormatting>
  <conditionalFormatting sqref="E30">
    <cfRule type="cellIs" dxfId="1787" priority="7" operator="lessThan">
      <formula>$B$8*100</formula>
    </cfRule>
    <cfRule type="cellIs" dxfId="1786" priority="8" operator="greaterThan">
      <formula>$B$8*100</formula>
    </cfRule>
  </conditionalFormatting>
  <conditionalFormatting sqref="B46:B47">
    <cfRule type="cellIs" dxfId="1785" priority="1" operator="greaterThan">
      <formula>0</formula>
    </cfRule>
  </conditionalFormatting>
  <hyperlinks>
    <hyperlink ref="A34" r:id="rId1" display="https://www.zillow.com/homes/recently_sold/" xr:uid="{D25E4370-4868-4D7F-B9A5-62C6686D3786}"/>
    <hyperlink ref="A23" r:id="rId2" xr:uid="{A2DB4035-5633-4C95-B6EE-75772E0CA59B}"/>
    <hyperlink ref="A27" r:id="rId3" display="www.mortgagecalculator.org" xr:uid="{241DDF6D-3DEF-4E43-9CD3-3AAC1EF33962}"/>
    <hyperlink ref="A12" r:id="rId4" xr:uid="{3EA2D54E-BFD7-409B-AB61-01DA27714360}"/>
  </hyperlinks>
  <pageMargins left="0.7" right="0.7" top="0.75" bottom="0.75" header="0.3" footer="0.3"/>
  <drawing r:id="rId5"/>
  <legacyDrawing r:id="rId6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7BB58-41B2-4F06-86DB-4D06507F6831}">
  <sheetPr codeName="Sheet188">
    <tabColor rgb="FFFF0000"/>
  </sheetPr>
  <dimension ref="A1:P47"/>
  <sheetViews>
    <sheetView topLeftCell="A11" workbookViewId="0">
      <selection activeCell="B20" sqref="B2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284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138000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1993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259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117300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v>5000</v>
      </c>
      <c r="D15" s="2"/>
      <c r="E15" s="3"/>
    </row>
    <row r="16" spans="1:10" x14ac:dyDescent="0.25">
      <c r="A16" s="7" t="s">
        <v>20</v>
      </c>
      <c r="B16" s="17">
        <f>B15+B13</f>
        <v>122300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6115</v>
      </c>
      <c r="D17" s="19"/>
      <c r="E17" s="20"/>
      <c r="P17" s="21"/>
    </row>
    <row r="18" spans="1:16" x14ac:dyDescent="0.25">
      <c r="A18" s="7" t="s">
        <v>253</v>
      </c>
      <c r="B18" s="17">
        <f>B13*0.04</f>
        <v>4692</v>
      </c>
      <c r="D18" s="66"/>
      <c r="E18" s="67"/>
      <c r="P18" s="21"/>
    </row>
    <row r="19" spans="1:16" x14ac:dyDescent="0.25">
      <c r="A19" s="7" t="s">
        <v>254</v>
      </c>
      <c r="B19" s="17">
        <f>B17+B18+B15</f>
        <v>15807</v>
      </c>
      <c r="D19" s="66"/>
      <c r="E19" s="67"/>
      <c r="P19" s="21"/>
    </row>
    <row r="20" spans="1:16" x14ac:dyDescent="0.25">
      <c r="A20" s="7" t="s">
        <v>23</v>
      </c>
      <c r="B20" s="17">
        <f>B16-B17</f>
        <v>116185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1223</v>
      </c>
      <c r="D24" s="7" t="s">
        <v>77</v>
      </c>
      <c r="E24" s="17">
        <f>B16*0.01</f>
        <v>1223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906.13</v>
      </c>
      <c r="D27" s="7" t="s">
        <v>38</v>
      </c>
      <c r="E27" s="35">
        <f>B27</f>
        <v>906.13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1206.1300000000001</v>
      </c>
      <c r="D28" s="7" t="s">
        <v>41</v>
      </c>
      <c r="E28" s="17">
        <f>E27+I27+I36</f>
        <v>1206.1300000000001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-6.1300000000001091</v>
      </c>
      <c r="D30" s="7" t="s">
        <v>43</v>
      </c>
      <c r="E30" s="44">
        <f>E23-E27-I27-I36+I26+I35</f>
        <v>-36.129999999999995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-4.6536344657431084E-3</v>
      </c>
      <c r="D31" s="46" t="s">
        <v>44</v>
      </c>
      <c r="E31" s="47">
        <f>(E30*12)/B19</f>
        <v>-2.7428354526475608E-2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</v>
      </c>
    </row>
    <row r="34" spans="1:9" x14ac:dyDescent="0.25">
      <c r="A34" s="26" t="s">
        <v>49</v>
      </c>
      <c r="B34" s="8">
        <f>B16</f>
        <v>122300</v>
      </c>
      <c r="G34" s="27" t="s">
        <v>50</v>
      </c>
      <c r="H34" s="48">
        <v>0.05</v>
      </c>
      <c r="I34" s="49">
        <f>$B$23*H34</f>
        <v>60</v>
      </c>
    </row>
    <row r="35" spans="1:9" x14ac:dyDescent="0.25">
      <c r="A35" s="7" t="s">
        <v>51</v>
      </c>
      <c r="B35" s="17">
        <f>B34-B20</f>
        <v>6115</v>
      </c>
      <c r="G35" s="27" t="s">
        <v>52</v>
      </c>
      <c r="H35" s="48">
        <v>0.1</v>
      </c>
      <c r="I35" s="49">
        <f>$B$23*H35</f>
        <v>120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300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82.297708333333347</v>
      </c>
      <c r="D41" s="58"/>
      <c r="E41" s="61"/>
    </row>
    <row r="42" spans="1:9" x14ac:dyDescent="0.25">
      <c r="A42" s="7" t="s">
        <v>58</v>
      </c>
      <c r="B42" s="17">
        <f>B27-B41</f>
        <v>823.83229166666661</v>
      </c>
      <c r="D42" s="58"/>
      <c r="E42" s="61"/>
    </row>
    <row r="43" spans="1:9" x14ac:dyDescent="0.25">
      <c r="A43" s="7" t="s">
        <v>59</v>
      </c>
      <c r="B43" s="43">
        <f>B23-B42-I27-I36</f>
        <v>76.167708333333394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0.14947056418642693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978.4</v>
      </c>
    </row>
    <row r="47" spans="1:9" ht="15.75" thickBot="1" x14ac:dyDescent="0.3">
      <c r="A47" s="63" t="s">
        <v>251</v>
      </c>
      <c r="B47" s="65">
        <f>B16*0.02</f>
        <v>2446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784" priority="29" operator="equal">
      <formula>"NO"</formula>
    </cfRule>
    <cfRule type="cellIs" dxfId="1783" priority="30" operator="equal">
      <formula>"YES"</formula>
    </cfRule>
  </conditionalFormatting>
  <conditionalFormatting sqref="E40">
    <cfRule type="cellIs" dxfId="1782" priority="27" operator="equal">
      <formula>"YES"</formula>
    </cfRule>
    <cfRule type="cellIs" dxfId="1781" priority="28" operator="equal">
      <formula>"NO"</formula>
    </cfRule>
  </conditionalFormatting>
  <conditionalFormatting sqref="B25">
    <cfRule type="cellIs" dxfId="1780" priority="25" operator="equal">
      <formula>"NO"</formula>
    </cfRule>
    <cfRule type="cellIs" dxfId="1779" priority="26" operator="equal">
      <formula>"YES"</formula>
    </cfRule>
  </conditionalFormatting>
  <conditionalFormatting sqref="B12">
    <cfRule type="containsText" dxfId="1778" priority="11" operator="containsText" text="Low">
      <formula>NOT(ISERROR(SEARCH("Low",B12)))</formula>
    </cfRule>
    <cfRule type="containsText" dxfId="1777" priority="12" operator="containsText" text="Medium">
      <formula>NOT(ISERROR(SEARCH("Medium",B12)))</formula>
    </cfRule>
    <cfRule type="containsText" dxfId="1776" priority="13" operator="containsText" text="High">
      <formula>NOT(ISERROR(SEARCH("High",B12)))</formula>
    </cfRule>
  </conditionalFormatting>
  <conditionalFormatting sqref="B31">
    <cfRule type="cellIs" dxfId="1775" priority="21" operator="between">
      <formula>10%</formula>
      <formula>11.9%</formula>
    </cfRule>
    <cfRule type="cellIs" dxfId="1774" priority="23" operator="lessThan">
      <formula>0.1</formula>
    </cfRule>
    <cfRule type="cellIs" dxfId="1773" priority="24" operator="greaterThanOrEqual">
      <formula>0.12</formula>
    </cfRule>
  </conditionalFormatting>
  <conditionalFormatting sqref="B44">
    <cfRule type="cellIs" dxfId="1772" priority="19" operator="between">
      <formula>0.1</formula>
      <formula>0.1199</formula>
    </cfRule>
    <cfRule type="cellIs" dxfId="1771" priority="20" operator="lessThan">
      <formula>0.1</formula>
    </cfRule>
    <cfRule type="cellIs" dxfId="1770" priority="22" operator="greaterThanOrEqual">
      <formula>0.12</formula>
    </cfRule>
  </conditionalFormatting>
  <conditionalFormatting sqref="B10">
    <cfRule type="containsText" dxfId="1769" priority="14" operator="containsText" text="Full">
      <formula>NOT(ISERROR(SEARCH("Full",B10)))</formula>
    </cfRule>
    <cfRule type="containsText" dxfId="1768" priority="15" operator="containsText" text="Heavy">
      <formula>NOT(ISERROR(SEARCH("Heavy",B10)))</formula>
    </cfRule>
    <cfRule type="containsText" dxfId="1767" priority="16" operator="containsText" text="Medium">
      <formula>NOT(ISERROR(SEARCH("Medium",B10)))</formula>
    </cfRule>
    <cfRule type="containsText" dxfId="1766" priority="17" operator="containsText" text="Light">
      <formula>NOT(ISERROR(SEARCH("Light",B10)))</formula>
    </cfRule>
    <cfRule type="containsText" dxfId="1765" priority="18" operator="containsText" text="None">
      <formula>NOT(ISERROR(SEARCH("None",B10)))</formula>
    </cfRule>
  </conditionalFormatting>
  <conditionalFormatting sqref="B30">
    <cfRule type="cellIs" dxfId="1764" priority="31" operator="lessThan">
      <formula>$B$8*100</formula>
    </cfRule>
    <cfRule type="cellIs" dxfId="1763" priority="32" operator="greaterThanOrEqual">
      <formula>$B$8*100</formula>
    </cfRule>
  </conditionalFormatting>
  <conditionalFormatting sqref="B43">
    <cfRule type="cellIs" dxfId="1762" priority="33" operator="lessThan">
      <formula>$B$8*100</formula>
    </cfRule>
    <cfRule type="cellIs" dxfId="1761" priority="34" operator="greaterThan">
      <formula>$B$8*100</formula>
    </cfRule>
    <cfRule type="cellIs" dxfId="1760" priority="35" operator="greaterThan">
      <formula>$B$8*100</formula>
    </cfRule>
  </conditionalFormatting>
  <conditionalFormatting sqref="B40">
    <cfRule type="cellIs" dxfId="1759" priority="9" operator="equal">
      <formula>"YES"</formula>
    </cfRule>
    <cfRule type="cellIs" dxfId="1758" priority="10" operator="equal">
      <formula>"NO"</formula>
    </cfRule>
  </conditionalFormatting>
  <conditionalFormatting sqref="E25:E28">
    <cfRule type="cellIs" dxfId="1757" priority="5" operator="equal">
      <formula>"NO"</formula>
    </cfRule>
    <cfRule type="cellIs" dxfId="1756" priority="6" operator="equal">
      <formula>"YES"</formula>
    </cfRule>
  </conditionalFormatting>
  <conditionalFormatting sqref="E31">
    <cfRule type="cellIs" dxfId="1755" priority="2" operator="between">
      <formula>10%</formula>
      <formula>12%</formula>
    </cfRule>
    <cfRule type="cellIs" dxfId="1754" priority="3" operator="lessThan">
      <formula>0.1</formula>
    </cfRule>
    <cfRule type="cellIs" dxfId="1753" priority="4" operator="greaterThan">
      <formula>0.12</formula>
    </cfRule>
  </conditionalFormatting>
  <conditionalFormatting sqref="E30">
    <cfRule type="cellIs" dxfId="1752" priority="7" operator="lessThan">
      <formula>$B$8*100</formula>
    </cfRule>
    <cfRule type="cellIs" dxfId="1751" priority="8" operator="greaterThan">
      <formula>$B$8*100</formula>
    </cfRule>
  </conditionalFormatting>
  <conditionalFormatting sqref="B46:B47">
    <cfRule type="cellIs" dxfId="1750" priority="1" operator="greaterThan">
      <formula>0</formula>
    </cfRule>
  </conditionalFormatting>
  <hyperlinks>
    <hyperlink ref="A34" r:id="rId1" display="https://www.zillow.com/homes/recently_sold/" xr:uid="{3EB797F3-0D7F-4E80-BE3B-ED4179FFF5BE}"/>
    <hyperlink ref="A23" r:id="rId2" xr:uid="{F101DBE5-7870-44C1-AD3B-8DA41D43A4C0}"/>
    <hyperlink ref="A27" r:id="rId3" display="www.mortgagecalculator.org" xr:uid="{5771AD13-8FD3-48A3-BF5C-1C42EE69E681}"/>
    <hyperlink ref="A12" r:id="rId4" xr:uid="{ABC1CB0C-B121-4C93-85AF-8AF01C210285}"/>
  </hyperlinks>
  <pageMargins left="0.7" right="0.7" top="0.75" bottom="0.75" header="0.3" footer="0.3"/>
  <drawing r:id="rId5"/>
  <legacyDrawing r:id="rId6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9B8A-F418-41DE-95E6-70F7CC26CBCA}">
  <sheetPr codeName="Sheet189">
    <tabColor rgb="FFFF0000"/>
  </sheetPr>
  <dimension ref="A1:P47"/>
  <sheetViews>
    <sheetView topLeftCell="A9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285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220000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1781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67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187000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26715</v>
      </c>
      <c r="D15" s="2"/>
      <c r="E15" s="3"/>
    </row>
    <row r="16" spans="1:10" x14ac:dyDescent="0.25">
      <c r="A16" s="7" t="s">
        <v>20</v>
      </c>
      <c r="B16" s="17">
        <f>B15+B13</f>
        <v>213715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7480.0250000000005</v>
      </c>
      <c r="D17" s="19"/>
      <c r="E17" s="20"/>
      <c r="P17" s="21"/>
    </row>
    <row r="18" spans="1:16" x14ac:dyDescent="0.25">
      <c r="A18" s="7" t="s">
        <v>253</v>
      </c>
      <c r="B18" s="17">
        <f>B13*0.04</f>
        <v>7480</v>
      </c>
      <c r="D18" s="66"/>
      <c r="E18" s="67"/>
      <c r="P18" s="21"/>
    </row>
    <row r="19" spans="1:16" x14ac:dyDescent="0.25">
      <c r="A19" s="7" t="s">
        <v>254</v>
      </c>
      <c r="B19" s="17">
        <f>B17+B18</f>
        <v>14960.025000000001</v>
      </c>
      <c r="D19" s="66"/>
      <c r="E19" s="67"/>
      <c r="P19" s="21"/>
    </row>
    <row r="20" spans="1:16" x14ac:dyDescent="0.25">
      <c r="A20" s="7" t="s">
        <v>23</v>
      </c>
      <c r="B20" s="17">
        <f>B16-B17</f>
        <v>206234.97500000001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2137.15</v>
      </c>
      <c r="D24" s="7" t="s">
        <v>77</v>
      </c>
      <c r="E24" s="17">
        <f>B16*0.01</f>
        <v>2137.15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1497.35</v>
      </c>
      <c r="D27" s="7" t="s">
        <v>38</v>
      </c>
      <c r="E27" s="35">
        <f>B27</f>
        <v>1497.35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1772.35</v>
      </c>
      <c r="D28" s="7" t="s">
        <v>41</v>
      </c>
      <c r="E28" s="17">
        <f>E27+I27+I36</f>
        <v>1772.35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-672.34999999999991</v>
      </c>
      <c r="D30" s="7" t="s">
        <v>43</v>
      </c>
      <c r="E30" s="44">
        <f>E23-E27-I27-I36+I26+I35</f>
        <v>-612.34999999999991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-0.5393172805526727</v>
      </c>
      <c r="D31" s="46" t="s">
        <v>44</v>
      </c>
      <c r="E31" s="47">
        <f>(E30*12)/B19</f>
        <v>-0.49118901873492848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55</v>
      </c>
    </row>
    <row r="34" spans="1:9" x14ac:dyDescent="0.25">
      <c r="A34" s="26" t="s">
        <v>49</v>
      </c>
      <c r="B34" s="8">
        <f>B16</f>
        <v>213715</v>
      </c>
      <c r="G34" s="27" t="s">
        <v>50</v>
      </c>
      <c r="H34" s="48">
        <v>0.05</v>
      </c>
      <c r="I34" s="49">
        <f>$B$23*H34</f>
        <v>55</v>
      </c>
    </row>
    <row r="35" spans="1:9" x14ac:dyDescent="0.25">
      <c r="A35" s="7" t="s">
        <v>51</v>
      </c>
      <c r="B35" s="17">
        <f>B34-B20</f>
        <v>7480.0249999999942</v>
      </c>
      <c r="G35" s="27" t="s">
        <v>52</v>
      </c>
      <c r="H35" s="48">
        <v>0.1</v>
      </c>
      <c r="I35" s="49">
        <f>$B$23*H35</f>
        <v>110</v>
      </c>
    </row>
    <row r="36" spans="1:9" ht="15.75" thickBot="1" x14ac:dyDescent="0.3">
      <c r="A36" s="7" t="s">
        <v>53</v>
      </c>
      <c r="B36" s="50">
        <f>B35/B17</f>
        <v>0.99999999999999911</v>
      </c>
      <c r="G36" s="36" t="s">
        <v>39</v>
      </c>
      <c r="H36" s="37"/>
      <c r="I36" s="51">
        <f>SUM(I32:I35)</f>
        <v>275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146.08310729166666</v>
      </c>
      <c r="D41" s="58"/>
      <c r="E41" s="61"/>
    </row>
    <row r="42" spans="1:9" x14ac:dyDescent="0.25">
      <c r="A42" s="7" t="s">
        <v>58</v>
      </c>
      <c r="B42" s="17">
        <f>B27-B41</f>
        <v>1351.2668927083332</v>
      </c>
      <c r="D42" s="58"/>
      <c r="E42" s="61"/>
    </row>
    <row r="43" spans="1:9" x14ac:dyDescent="0.25">
      <c r="A43" s="7" t="s">
        <v>59</v>
      </c>
      <c r="B43" s="43">
        <f>B23-B42-I27-I36</f>
        <v>-526.26689270833322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-0.84427561572320919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1709.72</v>
      </c>
    </row>
    <row r="47" spans="1:9" ht="15.75" thickBot="1" x14ac:dyDescent="0.3">
      <c r="A47" s="63" t="s">
        <v>251</v>
      </c>
      <c r="B47" s="65">
        <f>B16*0.02</f>
        <v>4274.3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749" priority="29" operator="equal">
      <formula>"NO"</formula>
    </cfRule>
    <cfRule type="cellIs" dxfId="1748" priority="30" operator="equal">
      <formula>"YES"</formula>
    </cfRule>
  </conditionalFormatting>
  <conditionalFormatting sqref="E40">
    <cfRule type="cellIs" dxfId="1747" priority="27" operator="equal">
      <formula>"YES"</formula>
    </cfRule>
    <cfRule type="cellIs" dxfId="1746" priority="28" operator="equal">
      <formula>"NO"</formula>
    </cfRule>
  </conditionalFormatting>
  <conditionalFormatting sqref="B25">
    <cfRule type="cellIs" dxfId="1745" priority="25" operator="equal">
      <formula>"NO"</formula>
    </cfRule>
    <cfRule type="cellIs" dxfId="1744" priority="26" operator="equal">
      <formula>"YES"</formula>
    </cfRule>
  </conditionalFormatting>
  <conditionalFormatting sqref="B12">
    <cfRule type="containsText" dxfId="1743" priority="11" operator="containsText" text="Low">
      <formula>NOT(ISERROR(SEARCH("Low",B12)))</formula>
    </cfRule>
    <cfRule type="containsText" dxfId="1742" priority="12" operator="containsText" text="Medium">
      <formula>NOT(ISERROR(SEARCH("Medium",B12)))</formula>
    </cfRule>
    <cfRule type="containsText" dxfId="1741" priority="13" operator="containsText" text="High">
      <formula>NOT(ISERROR(SEARCH("High",B12)))</formula>
    </cfRule>
  </conditionalFormatting>
  <conditionalFormatting sqref="B31">
    <cfRule type="cellIs" dxfId="1740" priority="21" operator="between">
      <formula>10%</formula>
      <formula>11.9%</formula>
    </cfRule>
    <cfRule type="cellIs" dxfId="1739" priority="23" operator="lessThan">
      <formula>0.1</formula>
    </cfRule>
    <cfRule type="cellIs" dxfId="1738" priority="24" operator="greaterThanOrEqual">
      <formula>0.12</formula>
    </cfRule>
  </conditionalFormatting>
  <conditionalFormatting sqref="B44">
    <cfRule type="cellIs" dxfId="1737" priority="19" operator="between">
      <formula>0.1</formula>
      <formula>0.1199</formula>
    </cfRule>
    <cfRule type="cellIs" dxfId="1736" priority="20" operator="lessThan">
      <formula>0.1</formula>
    </cfRule>
    <cfRule type="cellIs" dxfId="1735" priority="22" operator="greaterThanOrEqual">
      <formula>0.12</formula>
    </cfRule>
  </conditionalFormatting>
  <conditionalFormatting sqref="B10">
    <cfRule type="containsText" dxfId="1734" priority="14" operator="containsText" text="Full">
      <formula>NOT(ISERROR(SEARCH("Full",B10)))</formula>
    </cfRule>
    <cfRule type="containsText" dxfId="1733" priority="15" operator="containsText" text="Heavy">
      <formula>NOT(ISERROR(SEARCH("Heavy",B10)))</formula>
    </cfRule>
    <cfRule type="containsText" dxfId="1732" priority="16" operator="containsText" text="Medium">
      <formula>NOT(ISERROR(SEARCH("Medium",B10)))</formula>
    </cfRule>
    <cfRule type="containsText" dxfId="1731" priority="17" operator="containsText" text="Light">
      <formula>NOT(ISERROR(SEARCH("Light",B10)))</formula>
    </cfRule>
    <cfRule type="containsText" dxfId="1730" priority="18" operator="containsText" text="None">
      <formula>NOT(ISERROR(SEARCH("None",B10)))</formula>
    </cfRule>
  </conditionalFormatting>
  <conditionalFormatting sqref="B30">
    <cfRule type="cellIs" dxfId="1729" priority="31" operator="lessThan">
      <formula>$B$8*100</formula>
    </cfRule>
    <cfRule type="cellIs" dxfId="1728" priority="32" operator="greaterThanOrEqual">
      <formula>$B$8*100</formula>
    </cfRule>
  </conditionalFormatting>
  <conditionalFormatting sqref="B43">
    <cfRule type="cellIs" dxfId="1727" priority="33" operator="lessThan">
      <formula>$B$8*100</formula>
    </cfRule>
    <cfRule type="cellIs" dxfId="1726" priority="34" operator="greaterThan">
      <formula>$B$8*100</formula>
    </cfRule>
    <cfRule type="cellIs" dxfId="1725" priority="35" operator="greaterThan">
      <formula>$B$8*100</formula>
    </cfRule>
  </conditionalFormatting>
  <conditionalFormatting sqref="B40">
    <cfRule type="cellIs" dxfId="1724" priority="9" operator="equal">
      <formula>"YES"</formula>
    </cfRule>
    <cfRule type="cellIs" dxfId="1723" priority="10" operator="equal">
      <formula>"NO"</formula>
    </cfRule>
  </conditionalFormatting>
  <conditionalFormatting sqref="E25:E28">
    <cfRule type="cellIs" dxfId="1722" priority="5" operator="equal">
      <formula>"NO"</formula>
    </cfRule>
    <cfRule type="cellIs" dxfId="1721" priority="6" operator="equal">
      <formula>"YES"</formula>
    </cfRule>
  </conditionalFormatting>
  <conditionalFormatting sqref="E31">
    <cfRule type="cellIs" dxfId="1720" priority="2" operator="between">
      <formula>10%</formula>
      <formula>12%</formula>
    </cfRule>
    <cfRule type="cellIs" dxfId="1719" priority="3" operator="lessThan">
      <formula>0.1</formula>
    </cfRule>
    <cfRule type="cellIs" dxfId="1718" priority="4" operator="greaterThan">
      <formula>0.12</formula>
    </cfRule>
  </conditionalFormatting>
  <conditionalFormatting sqref="E30">
    <cfRule type="cellIs" dxfId="1717" priority="7" operator="lessThan">
      <formula>$B$8*100</formula>
    </cfRule>
    <cfRule type="cellIs" dxfId="1716" priority="8" operator="greaterThan">
      <formula>$B$8*100</formula>
    </cfRule>
  </conditionalFormatting>
  <conditionalFormatting sqref="B46:B47">
    <cfRule type="cellIs" dxfId="1715" priority="1" operator="greaterThan">
      <formula>0</formula>
    </cfRule>
  </conditionalFormatting>
  <hyperlinks>
    <hyperlink ref="A34" r:id="rId1" display="https://www.zillow.com/homes/recently_sold/" xr:uid="{BDA67FEB-8BAE-4419-B8D8-478AB1F0C74F}"/>
    <hyperlink ref="A23" r:id="rId2" xr:uid="{0AC5F872-B7EA-4453-BC39-9DE9D3B34236}"/>
    <hyperlink ref="A27" r:id="rId3" display="www.mortgagecalculator.org" xr:uid="{B81D1C7E-4892-4562-9EA7-6B2509E0D8FB}"/>
    <hyperlink ref="A12" r:id="rId4" xr:uid="{E74C391C-13B0-40E6-8123-D93E404865D2}"/>
  </hyperlinks>
  <pageMargins left="0.7" right="0.7" top="0.75" bottom="0.75" header="0.3" footer="0.3"/>
  <drawing r:id="rId5"/>
  <legacyDrawing r:id="rId6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9DDC-098D-4771-9721-D8ED1EF6394D}">
  <sheetPr codeName="Sheet190">
    <tabColor rgb="FFFF0000"/>
  </sheetPr>
  <dimension ref="A1:P47"/>
  <sheetViews>
    <sheetView topLeftCell="A13" workbookViewId="0">
      <selection activeCell="A26" sqref="A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287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197000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1709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167450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167450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8372.5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6698</v>
      </c>
      <c r="D18" s="66"/>
      <c r="E18" s="67"/>
      <c r="P18" s="21"/>
    </row>
    <row r="19" spans="1:16" x14ac:dyDescent="0.25">
      <c r="A19" s="7" t="s">
        <v>288</v>
      </c>
      <c r="B19" s="17">
        <f>B17+B18-7500</f>
        <v>7570.5</v>
      </c>
      <c r="D19" s="66"/>
      <c r="E19" s="67"/>
      <c r="P19" s="21"/>
    </row>
    <row r="20" spans="1:16" x14ac:dyDescent="0.25">
      <c r="A20" s="7" t="s">
        <v>23</v>
      </c>
      <c r="B20" s="17">
        <f>B16-B17</f>
        <v>159077.5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1377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1674.5</v>
      </c>
      <c r="D24" s="7" t="s">
        <v>77</v>
      </c>
      <c r="E24" s="17">
        <f>B16*0.01</f>
        <v>1674.5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1272.67</v>
      </c>
      <c r="D27" s="7" t="s">
        <v>38</v>
      </c>
      <c r="E27" s="35">
        <f>B27</f>
        <v>1272.67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1616.92</v>
      </c>
      <c r="D28" s="7" t="s">
        <v>41</v>
      </c>
      <c r="E28" s="17">
        <f>E27+I27+I36</f>
        <v>1616.92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-239.92000000000007</v>
      </c>
      <c r="D30" s="7" t="s">
        <v>43</v>
      </c>
      <c r="E30" s="44">
        <f>E23-E27-I27-I36+I26+I35</f>
        <v>-429.22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-0.38029720626114533</v>
      </c>
      <c r="D31" s="46" t="s">
        <v>44</v>
      </c>
      <c r="E31" s="47">
        <f>(E30*12)/B19</f>
        <v>-0.68035664751337432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68.850000000000009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68.850000000000009</v>
      </c>
    </row>
    <row r="34" spans="1:9" x14ac:dyDescent="0.25">
      <c r="A34" s="26" t="s">
        <v>49</v>
      </c>
      <c r="B34" s="8">
        <f>B16</f>
        <v>167450</v>
      </c>
      <c r="G34" s="27" t="s">
        <v>50</v>
      </c>
      <c r="H34" s="48">
        <v>0.05</v>
      </c>
      <c r="I34" s="49">
        <f>$B$23*H34</f>
        <v>68.850000000000009</v>
      </c>
    </row>
    <row r="35" spans="1:9" x14ac:dyDescent="0.25">
      <c r="A35" s="7" t="s">
        <v>51</v>
      </c>
      <c r="B35" s="17">
        <f>B34-B20</f>
        <v>8372.5</v>
      </c>
      <c r="G35" s="27" t="s">
        <v>52</v>
      </c>
      <c r="H35" s="48">
        <v>0.1</v>
      </c>
      <c r="I35" s="49">
        <f>$B$23*H35</f>
        <v>137.70000000000002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344.25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112.67989583333333</v>
      </c>
      <c r="D41" s="58"/>
      <c r="E41" s="61"/>
    </row>
    <row r="42" spans="1:9" x14ac:dyDescent="0.25">
      <c r="A42" s="7" t="s">
        <v>58</v>
      </c>
      <c r="B42" s="17">
        <f>B27-B41</f>
        <v>1159.9901041666667</v>
      </c>
      <c r="D42" s="58"/>
      <c r="E42" s="61"/>
    </row>
    <row r="43" spans="1:9" x14ac:dyDescent="0.25">
      <c r="A43" s="7" t="s">
        <v>59</v>
      </c>
      <c r="B43" s="43">
        <f>B23-B42-I27-I36</f>
        <v>-127.2401041666667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-0.18236861749776057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1339.6</v>
      </c>
    </row>
    <row r="47" spans="1:9" ht="15.75" thickBot="1" x14ac:dyDescent="0.3">
      <c r="A47" s="63" t="s">
        <v>251</v>
      </c>
      <c r="B47" s="65">
        <f>B16*0.02</f>
        <v>3349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714" priority="29" operator="equal">
      <formula>"NO"</formula>
    </cfRule>
    <cfRule type="cellIs" dxfId="1713" priority="30" operator="equal">
      <formula>"YES"</formula>
    </cfRule>
  </conditionalFormatting>
  <conditionalFormatting sqref="E40">
    <cfRule type="cellIs" dxfId="1712" priority="27" operator="equal">
      <formula>"YES"</formula>
    </cfRule>
    <cfRule type="cellIs" dxfId="1711" priority="28" operator="equal">
      <formula>"NO"</formula>
    </cfRule>
  </conditionalFormatting>
  <conditionalFormatting sqref="B25">
    <cfRule type="cellIs" dxfId="1710" priority="25" operator="equal">
      <formula>"NO"</formula>
    </cfRule>
    <cfRule type="cellIs" dxfId="1709" priority="26" operator="equal">
      <formula>"YES"</formula>
    </cfRule>
  </conditionalFormatting>
  <conditionalFormatting sqref="B12">
    <cfRule type="containsText" dxfId="1708" priority="11" operator="containsText" text="Low">
      <formula>NOT(ISERROR(SEARCH("Low",B12)))</formula>
    </cfRule>
    <cfRule type="containsText" dxfId="1707" priority="12" operator="containsText" text="Medium">
      <formula>NOT(ISERROR(SEARCH("Medium",B12)))</formula>
    </cfRule>
    <cfRule type="containsText" dxfId="1706" priority="13" operator="containsText" text="High">
      <formula>NOT(ISERROR(SEARCH("High",B12)))</formula>
    </cfRule>
  </conditionalFormatting>
  <conditionalFormatting sqref="B31">
    <cfRule type="cellIs" dxfId="1705" priority="21" operator="between">
      <formula>10%</formula>
      <formula>11.9%</formula>
    </cfRule>
    <cfRule type="cellIs" dxfId="1704" priority="23" operator="lessThan">
      <formula>0.1</formula>
    </cfRule>
    <cfRule type="cellIs" dxfId="1703" priority="24" operator="greaterThanOrEqual">
      <formula>0.12</formula>
    </cfRule>
  </conditionalFormatting>
  <conditionalFormatting sqref="B44">
    <cfRule type="cellIs" dxfId="1702" priority="19" operator="between">
      <formula>0.1</formula>
      <formula>0.1199</formula>
    </cfRule>
    <cfRule type="cellIs" dxfId="1701" priority="20" operator="lessThan">
      <formula>0.1</formula>
    </cfRule>
    <cfRule type="cellIs" dxfId="1700" priority="22" operator="greaterThanOrEqual">
      <formula>0.12</formula>
    </cfRule>
  </conditionalFormatting>
  <conditionalFormatting sqref="B10">
    <cfRule type="containsText" dxfId="1699" priority="14" operator="containsText" text="Full">
      <formula>NOT(ISERROR(SEARCH("Full",B10)))</formula>
    </cfRule>
    <cfRule type="containsText" dxfId="1698" priority="15" operator="containsText" text="Heavy">
      <formula>NOT(ISERROR(SEARCH("Heavy",B10)))</formula>
    </cfRule>
    <cfRule type="containsText" dxfId="1697" priority="16" operator="containsText" text="Medium">
      <formula>NOT(ISERROR(SEARCH("Medium",B10)))</formula>
    </cfRule>
    <cfRule type="containsText" dxfId="1696" priority="17" operator="containsText" text="Light">
      <formula>NOT(ISERROR(SEARCH("Light",B10)))</formula>
    </cfRule>
    <cfRule type="containsText" dxfId="1695" priority="18" operator="containsText" text="None">
      <formula>NOT(ISERROR(SEARCH("None",B10)))</formula>
    </cfRule>
  </conditionalFormatting>
  <conditionalFormatting sqref="B30">
    <cfRule type="cellIs" dxfId="1694" priority="31" operator="lessThan">
      <formula>$B$8*100</formula>
    </cfRule>
    <cfRule type="cellIs" dxfId="1693" priority="32" operator="greaterThanOrEqual">
      <formula>$B$8*100</formula>
    </cfRule>
  </conditionalFormatting>
  <conditionalFormatting sqref="B43">
    <cfRule type="cellIs" dxfId="1692" priority="33" operator="lessThan">
      <formula>$B$8*100</formula>
    </cfRule>
    <cfRule type="cellIs" dxfId="1691" priority="34" operator="greaterThan">
      <formula>$B$8*100</formula>
    </cfRule>
    <cfRule type="cellIs" dxfId="1690" priority="35" operator="greaterThan">
      <formula>$B$8*100</formula>
    </cfRule>
  </conditionalFormatting>
  <conditionalFormatting sqref="B40">
    <cfRule type="cellIs" dxfId="1689" priority="9" operator="equal">
      <formula>"YES"</formula>
    </cfRule>
    <cfRule type="cellIs" dxfId="1688" priority="10" operator="equal">
      <formula>"NO"</formula>
    </cfRule>
  </conditionalFormatting>
  <conditionalFormatting sqref="E25:E28">
    <cfRule type="cellIs" dxfId="1687" priority="5" operator="equal">
      <formula>"NO"</formula>
    </cfRule>
    <cfRule type="cellIs" dxfId="1686" priority="6" operator="equal">
      <formula>"YES"</formula>
    </cfRule>
  </conditionalFormatting>
  <conditionalFormatting sqref="E31">
    <cfRule type="cellIs" dxfId="1685" priority="2" operator="between">
      <formula>10%</formula>
      <formula>12%</formula>
    </cfRule>
    <cfRule type="cellIs" dxfId="1684" priority="3" operator="lessThan">
      <formula>0.1</formula>
    </cfRule>
    <cfRule type="cellIs" dxfId="1683" priority="4" operator="greaterThan">
      <formula>0.12</formula>
    </cfRule>
  </conditionalFormatting>
  <conditionalFormatting sqref="E30">
    <cfRule type="cellIs" dxfId="1682" priority="7" operator="lessThan">
      <formula>$B$8*100</formula>
    </cfRule>
    <cfRule type="cellIs" dxfId="1681" priority="8" operator="greaterThan">
      <formula>$B$8*100</formula>
    </cfRule>
  </conditionalFormatting>
  <conditionalFormatting sqref="B46:B47">
    <cfRule type="cellIs" dxfId="1680" priority="1" operator="greaterThan">
      <formula>0</formula>
    </cfRule>
  </conditionalFormatting>
  <hyperlinks>
    <hyperlink ref="A34" r:id="rId1" display="https://www.zillow.com/homes/recently_sold/" xr:uid="{4539CE2F-7F62-49B9-A11E-389FFA7CB9E9}"/>
    <hyperlink ref="A23" r:id="rId2" xr:uid="{8E8A9950-8A8A-4A02-9FD0-7A7D82C90110}"/>
    <hyperlink ref="A27" r:id="rId3" display="www.mortgagecalculator.org" xr:uid="{4B631CFE-AA93-4C7C-8774-732C11EE0455}"/>
    <hyperlink ref="A12" r:id="rId4" xr:uid="{5A061B34-46ED-4495-998C-FDE6E9D7E103}"/>
  </hyperlinks>
  <pageMargins left="0.7" right="0.7" top="0.75" bottom="0.75" header="0.3" footer="0.3"/>
  <drawing r:id="rId5"/>
  <legacyDrawing r:id="rId6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1375E-3B2B-42B7-A11B-E4E5204A9C49}">
  <sheetPr codeName="Sheet191">
    <tabColor rgb="FF00B050"/>
  </sheetPr>
  <dimension ref="A1:P47"/>
  <sheetViews>
    <sheetView topLeftCell="A14" workbookViewId="0">
      <selection activeCell="A30" sqref="A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256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234900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2020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88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199665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199665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9983.25</v>
      </c>
      <c r="D17" s="19"/>
      <c r="E17" s="20"/>
      <c r="P17" s="21"/>
    </row>
    <row r="18" spans="1:16" x14ac:dyDescent="0.25">
      <c r="A18" s="7" t="s">
        <v>253</v>
      </c>
      <c r="B18" s="17">
        <f>B13*0.04</f>
        <v>7986.6</v>
      </c>
      <c r="D18" s="66"/>
      <c r="E18" s="67"/>
      <c r="P18" s="21"/>
    </row>
    <row r="19" spans="1:16" x14ac:dyDescent="0.25">
      <c r="A19" s="7" t="s">
        <v>289</v>
      </c>
      <c r="B19" s="17">
        <f>B17+B18-7500</f>
        <v>10469.849999999999</v>
      </c>
      <c r="D19" s="66"/>
      <c r="E19" s="67"/>
      <c r="P19" s="21"/>
    </row>
    <row r="20" spans="1:16" x14ac:dyDescent="0.25">
      <c r="A20" s="7" t="s">
        <v>23</v>
      </c>
      <c r="B20" s="17">
        <f>B16-B17</f>
        <v>189681.75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1810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1996.65</v>
      </c>
      <c r="D24" s="7" t="s">
        <v>77</v>
      </c>
      <c r="E24" s="17">
        <f>B16*0.01</f>
        <v>1996.65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1284.92</v>
      </c>
      <c r="D27" s="7" t="s">
        <v>38</v>
      </c>
      <c r="E27" s="35">
        <f>B27</f>
        <v>1284.92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1683.1200000000001</v>
      </c>
      <c r="D28" s="7" t="s">
        <v>41</v>
      </c>
      <c r="E28" s="17">
        <f>E27+I27+I36</f>
        <v>1683.1200000000001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126.87999999999988</v>
      </c>
      <c r="D30" s="7" t="s">
        <v>43</v>
      </c>
      <c r="E30" s="44">
        <f>E23-E27-I27-I36+I26+I35</f>
        <v>-452.12000000000012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0.14542328686657391</v>
      </c>
      <c r="D31" s="46" t="s">
        <v>44</v>
      </c>
      <c r="E31" s="47">
        <f>(E30*12)/B19</f>
        <v>-0.51819653576698832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54.3</v>
      </c>
    </row>
    <row r="33" spans="1:9" ht="15.75" x14ac:dyDescent="0.25">
      <c r="A33" s="75" t="s">
        <v>47</v>
      </c>
      <c r="B33" s="76"/>
      <c r="G33" s="27" t="s">
        <v>48</v>
      </c>
      <c r="H33" s="48">
        <v>0.04</v>
      </c>
      <c r="I33" s="49">
        <f>$B$23*H33</f>
        <v>72.400000000000006</v>
      </c>
    </row>
    <row r="34" spans="1:9" x14ac:dyDescent="0.25">
      <c r="A34" s="26" t="s">
        <v>49</v>
      </c>
      <c r="B34" s="8">
        <f>B16</f>
        <v>199665</v>
      </c>
      <c r="G34" s="27" t="s">
        <v>50</v>
      </c>
      <c r="H34" s="48">
        <v>0.05</v>
      </c>
      <c r="I34" s="49">
        <f>$B$23*H34</f>
        <v>90.5</v>
      </c>
    </row>
    <row r="35" spans="1:9" x14ac:dyDescent="0.25">
      <c r="A35" s="7" t="s">
        <v>51</v>
      </c>
      <c r="B35" s="17">
        <f>B34-B20</f>
        <v>9983.25</v>
      </c>
      <c r="G35" s="27" t="s">
        <v>52</v>
      </c>
      <c r="H35" s="48">
        <v>0.1</v>
      </c>
      <c r="I35" s="49">
        <f>$B$23*H35</f>
        <v>181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398.2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134.35790625000001</v>
      </c>
      <c r="D41" s="58"/>
      <c r="E41" s="61"/>
    </row>
    <row r="42" spans="1:9" x14ac:dyDescent="0.25">
      <c r="A42" s="7" t="s">
        <v>58</v>
      </c>
      <c r="B42" s="17">
        <f>B27-B41</f>
        <v>1150.56209375</v>
      </c>
      <c r="D42" s="58"/>
      <c r="E42" s="61"/>
    </row>
    <row r="43" spans="1:9" x14ac:dyDescent="0.25">
      <c r="A43" s="7" t="s">
        <v>59</v>
      </c>
      <c r="B43" s="43">
        <f>B23-B42-I27-I36</f>
        <v>261.23790624999998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0.31401145668995567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1597.3200000000002</v>
      </c>
    </row>
    <row r="47" spans="1:9" ht="15.75" thickBot="1" x14ac:dyDescent="0.3">
      <c r="A47" s="63" t="s">
        <v>251</v>
      </c>
      <c r="B47" s="65">
        <f>B16*0.02</f>
        <v>3993.3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679" priority="29" operator="equal">
      <formula>"NO"</formula>
    </cfRule>
    <cfRule type="cellIs" dxfId="1678" priority="30" operator="equal">
      <formula>"YES"</formula>
    </cfRule>
  </conditionalFormatting>
  <conditionalFormatting sqref="E40">
    <cfRule type="cellIs" dxfId="1677" priority="27" operator="equal">
      <formula>"YES"</formula>
    </cfRule>
    <cfRule type="cellIs" dxfId="1676" priority="28" operator="equal">
      <formula>"NO"</formula>
    </cfRule>
  </conditionalFormatting>
  <conditionalFormatting sqref="B25">
    <cfRule type="cellIs" dxfId="1675" priority="25" operator="equal">
      <formula>"NO"</formula>
    </cfRule>
    <cfRule type="cellIs" dxfId="1674" priority="26" operator="equal">
      <formula>"YES"</formula>
    </cfRule>
  </conditionalFormatting>
  <conditionalFormatting sqref="B12">
    <cfRule type="containsText" dxfId="1673" priority="11" operator="containsText" text="Low">
      <formula>NOT(ISERROR(SEARCH("Low",B12)))</formula>
    </cfRule>
    <cfRule type="containsText" dxfId="1672" priority="12" operator="containsText" text="Medium">
      <formula>NOT(ISERROR(SEARCH("Medium",B12)))</formula>
    </cfRule>
    <cfRule type="containsText" dxfId="1671" priority="13" operator="containsText" text="High">
      <formula>NOT(ISERROR(SEARCH("High",B12)))</formula>
    </cfRule>
  </conditionalFormatting>
  <conditionalFormatting sqref="B31">
    <cfRule type="cellIs" dxfId="1670" priority="21" operator="between">
      <formula>10%</formula>
      <formula>11.9%</formula>
    </cfRule>
    <cfRule type="cellIs" dxfId="1669" priority="23" operator="lessThan">
      <formula>0.1</formula>
    </cfRule>
    <cfRule type="cellIs" dxfId="1668" priority="24" operator="greaterThanOrEqual">
      <formula>0.12</formula>
    </cfRule>
  </conditionalFormatting>
  <conditionalFormatting sqref="B44">
    <cfRule type="cellIs" dxfId="1667" priority="19" operator="between">
      <formula>0.1</formula>
      <formula>0.1199</formula>
    </cfRule>
    <cfRule type="cellIs" dxfId="1666" priority="20" operator="lessThan">
      <formula>0.1</formula>
    </cfRule>
    <cfRule type="cellIs" dxfId="1665" priority="22" operator="greaterThanOrEqual">
      <formula>0.12</formula>
    </cfRule>
  </conditionalFormatting>
  <conditionalFormatting sqref="B10">
    <cfRule type="containsText" dxfId="1664" priority="14" operator="containsText" text="Full">
      <formula>NOT(ISERROR(SEARCH("Full",B10)))</formula>
    </cfRule>
    <cfRule type="containsText" dxfId="1663" priority="15" operator="containsText" text="Heavy">
      <formula>NOT(ISERROR(SEARCH("Heavy",B10)))</formula>
    </cfRule>
    <cfRule type="containsText" dxfId="1662" priority="16" operator="containsText" text="Medium">
      <formula>NOT(ISERROR(SEARCH("Medium",B10)))</formula>
    </cfRule>
    <cfRule type="containsText" dxfId="1661" priority="17" operator="containsText" text="Light">
      <formula>NOT(ISERROR(SEARCH("Light",B10)))</formula>
    </cfRule>
    <cfRule type="containsText" dxfId="1660" priority="18" operator="containsText" text="None">
      <formula>NOT(ISERROR(SEARCH("None",B10)))</formula>
    </cfRule>
  </conditionalFormatting>
  <conditionalFormatting sqref="B30">
    <cfRule type="cellIs" dxfId="1659" priority="31" operator="lessThan">
      <formula>$B$8*100</formula>
    </cfRule>
    <cfRule type="cellIs" dxfId="1658" priority="32" operator="greaterThanOrEqual">
      <formula>$B$8*100</formula>
    </cfRule>
  </conditionalFormatting>
  <conditionalFormatting sqref="B43">
    <cfRule type="cellIs" dxfId="1657" priority="33" operator="lessThan">
      <formula>$B$8*100</formula>
    </cfRule>
    <cfRule type="cellIs" dxfId="1656" priority="34" operator="greaterThan">
      <formula>$B$8*100</formula>
    </cfRule>
    <cfRule type="cellIs" dxfId="1655" priority="35" operator="greaterThan">
      <formula>$B$8*100</formula>
    </cfRule>
  </conditionalFormatting>
  <conditionalFormatting sqref="B40">
    <cfRule type="cellIs" dxfId="1654" priority="9" operator="equal">
      <formula>"YES"</formula>
    </cfRule>
    <cfRule type="cellIs" dxfId="1653" priority="10" operator="equal">
      <formula>"NO"</formula>
    </cfRule>
  </conditionalFormatting>
  <conditionalFormatting sqref="E25:E28">
    <cfRule type="cellIs" dxfId="1652" priority="5" operator="equal">
      <formula>"NO"</formula>
    </cfRule>
    <cfRule type="cellIs" dxfId="1651" priority="6" operator="equal">
      <formula>"YES"</formula>
    </cfRule>
  </conditionalFormatting>
  <conditionalFormatting sqref="E31">
    <cfRule type="cellIs" dxfId="1650" priority="2" operator="between">
      <formula>10%</formula>
      <formula>12%</formula>
    </cfRule>
    <cfRule type="cellIs" dxfId="1649" priority="3" operator="lessThan">
      <formula>0.1</formula>
    </cfRule>
    <cfRule type="cellIs" dxfId="1648" priority="4" operator="greaterThan">
      <formula>0.12</formula>
    </cfRule>
  </conditionalFormatting>
  <conditionalFormatting sqref="E30">
    <cfRule type="cellIs" dxfId="1647" priority="7" operator="lessThan">
      <formula>$B$8*100</formula>
    </cfRule>
    <cfRule type="cellIs" dxfId="1646" priority="8" operator="greaterThan">
      <formula>$B$8*100</formula>
    </cfRule>
  </conditionalFormatting>
  <conditionalFormatting sqref="B46:B47">
    <cfRule type="cellIs" dxfId="1645" priority="1" operator="greaterThan">
      <formula>0</formula>
    </cfRule>
  </conditionalFormatting>
  <hyperlinks>
    <hyperlink ref="A34" r:id="rId1" display="https://www.zillow.com/homes/recently_sold/" xr:uid="{39847DD2-2FF2-49D1-93DD-3EB14305F7DC}"/>
    <hyperlink ref="A23" r:id="rId2" xr:uid="{1C07BD16-974C-4D1B-AA60-AD9AA5E0A5C0}"/>
    <hyperlink ref="A27" r:id="rId3" display="www.mortgagecalculator.org" xr:uid="{FEC72F4E-F3C8-4623-8628-F17C7F72C362}"/>
    <hyperlink ref="A12" r:id="rId4" xr:uid="{E1AD5ADB-17AE-4F0A-BD75-05774E3E2C72}"/>
  </hyperlinks>
  <pageMargins left="0.7" right="0.7" top="0.75" bottom="0.75" header="0.3" footer="0.3"/>
  <drawing r:id="rId5"/>
  <legacyDrawing r:id="rId6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ED39-1EAD-451A-853E-A367F3441F46}">
  <sheetPr codeName="Sheet192">
    <tabColor rgb="FFFF0000"/>
  </sheetPr>
  <dimension ref="A1:P47"/>
  <sheetViews>
    <sheetView topLeftCell="A12" workbookViewId="0">
      <selection activeCell="A20" sqref="A2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1798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264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165750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165750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8287.5</v>
      </c>
      <c r="D17" s="19"/>
      <c r="E17" s="20"/>
      <c r="P17" s="21"/>
    </row>
    <row r="18" spans="1:16" x14ac:dyDescent="0.25">
      <c r="A18" s="7" t="s">
        <v>253</v>
      </c>
      <c r="B18" s="17">
        <f>B13*0.04</f>
        <v>6630</v>
      </c>
      <c r="D18" s="66"/>
      <c r="E18" s="67"/>
      <c r="P18" s="21"/>
    </row>
    <row r="19" spans="1:16" x14ac:dyDescent="0.25">
      <c r="A19" s="7" t="s">
        <v>289</v>
      </c>
      <c r="B19" s="17">
        <f>B17+B18-7500</f>
        <v>7417.5</v>
      </c>
      <c r="D19" s="66"/>
      <c r="E19" s="67"/>
      <c r="P19" s="21"/>
    </row>
    <row r="20" spans="1:16" x14ac:dyDescent="0.25">
      <c r="A20" s="7" t="s">
        <v>23</v>
      </c>
      <c r="B20" s="17">
        <f>B16-B17</f>
        <v>157462.5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1063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1657.5</v>
      </c>
      <c r="D24" s="7" t="s">
        <v>77</v>
      </c>
      <c r="E24" s="17">
        <f>B16*0.01</f>
        <v>1657.5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1053.95</v>
      </c>
      <c r="D27" s="7" t="s">
        <v>38</v>
      </c>
      <c r="E27" s="35">
        <f>B27</f>
        <v>1053.95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1319.7</v>
      </c>
      <c r="D28" s="7" t="s">
        <v>41</v>
      </c>
      <c r="E28" s="17">
        <f>E27+I27+I36</f>
        <v>1319.7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-256.70000000000005</v>
      </c>
      <c r="D30" s="7" t="s">
        <v>43</v>
      </c>
      <c r="E30" s="44">
        <f>E23-E27-I27-I36+I26+I35</f>
        <v>-163.40000000000003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-0.41528816986855416</v>
      </c>
      <c r="D31" s="46" t="s">
        <v>44</v>
      </c>
      <c r="E31" s="47">
        <f>(E30*12)/B19</f>
        <v>-0.26434782608695656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53.150000000000006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53.150000000000006</v>
      </c>
    </row>
    <row r="34" spans="1:9" x14ac:dyDescent="0.25">
      <c r="A34" s="26" t="s">
        <v>49</v>
      </c>
      <c r="B34" s="8">
        <f>B16</f>
        <v>165750</v>
      </c>
      <c r="G34" s="27" t="s">
        <v>50</v>
      </c>
      <c r="H34" s="48">
        <v>0.05</v>
      </c>
      <c r="I34" s="49">
        <f>$B$23*H34</f>
        <v>53.150000000000006</v>
      </c>
    </row>
    <row r="35" spans="1:9" x14ac:dyDescent="0.25">
      <c r="A35" s="7" t="s">
        <v>51</v>
      </c>
      <c r="B35" s="17">
        <f>B34-B20</f>
        <v>8287.5</v>
      </c>
      <c r="G35" s="27" t="s">
        <v>52</v>
      </c>
      <c r="H35" s="48">
        <v>0.1</v>
      </c>
      <c r="I35" s="49">
        <f>$B$23*H35</f>
        <v>106.30000000000001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265.75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111.5359375</v>
      </c>
      <c r="D41" s="58"/>
      <c r="E41" s="61"/>
    </row>
    <row r="42" spans="1:9" x14ac:dyDescent="0.25">
      <c r="A42" s="7" t="s">
        <v>58</v>
      </c>
      <c r="B42" s="17">
        <f>B27-B41</f>
        <v>942.4140625</v>
      </c>
      <c r="D42" s="58"/>
      <c r="E42" s="61"/>
    </row>
    <row r="43" spans="1:9" x14ac:dyDescent="0.25">
      <c r="A43" s="7" t="s">
        <v>59</v>
      </c>
      <c r="B43" s="43">
        <f>B23-B42-I27-I36</f>
        <v>-145.1640625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-0.21019230769230771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1326</v>
      </c>
    </row>
    <row r="47" spans="1:9" ht="15.75" thickBot="1" x14ac:dyDescent="0.3">
      <c r="A47" s="63" t="s">
        <v>251</v>
      </c>
      <c r="B47" s="65">
        <f>B16*0.02</f>
        <v>3315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644" priority="29" operator="equal">
      <formula>"NO"</formula>
    </cfRule>
    <cfRule type="cellIs" dxfId="1643" priority="30" operator="equal">
      <formula>"YES"</formula>
    </cfRule>
  </conditionalFormatting>
  <conditionalFormatting sqref="E40">
    <cfRule type="cellIs" dxfId="1642" priority="27" operator="equal">
      <formula>"YES"</formula>
    </cfRule>
    <cfRule type="cellIs" dxfId="1641" priority="28" operator="equal">
      <formula>"NO"</formula>
    </cfRule>
  </conditionalFormatting>
  <conditionalFormatting sqref="B25">
    <cfRule type="cellIs" dxfId="1640" priority="25" operator="equal">
      <formula>"NO"</formula>
    </cfRule>
    <cfRule type="cellIs" dxfId="1639" priority="26" operator="equal">
      <formula>"YES"</formula>
    </cfRule>
  </conditionalFormatting>
  <conditionalFormatting sqref="B12">
    <cfRule type="containsText" dxfId="1638" priority="11" operator="containsText" text="Low">
      <formula>NOT(ISERROR(SEARCH("Low",B12)))</formula>
    </cfRule>
    <cfRule type="containsText" dxfId="1637" priority="12" operator="containsText" text="Medium">
      <formula>NOT(ISERROR(SEARCH("Medium",B12)))</formula>
    </cfRule>
    <cfRule type="containsText" dxfId="1636" priority="13" operator="containsText" text="High">
      <formula>NOT(ISERROR(SEARCH("High",B12)))</formula>
    </cfRule>
  </conditionalFormatting>
  <conditionalFormatting sqref="B31">
    <cfRule type="cellIs" dxfId="1635" priority="21" operator="between">
      <formula>10%</formula>
      <formula>11.9%</formula>
    </cfRule>
    <cfRule type="cellIs" dxfId="1634" priority="23" operator="lessThan">
      <formula>0.1</formula>
    </cfRule>
    <cfRule type="cellIs" dxfId="1633" priority="24" operator="greaterThanOrEqual">
      <formula>0.12</formula>
    </cfRule>
  </conditionalFormatting>
  <conditionalFormatting sqref="B44">
    <cfRule type="cellIs" dxfId="1632" priority="19" operator="between">
      <formula>0.1</formula>
      <formula>0.1199</formula>
    </cfRule>
    <cfRule type="cellIs" dxfId="1631" priority="20" operator="lessThan">
      <formula>0.1</formula>
    </cfRule>
    <cfRule type="cellIs" dxfId="1630" priority="22" operator="greaterThanOrEqual">
      <formula>0.12</formula>
    </cfRule>
  </conditionalFormatting>
  <conditionalFormatting sqref="B10">
    <cfRule type="containsText" dxfId="1629" priority="14" operator="containsText" text="Full">
      <formula>NOT(ISERROR(SEARCH("Full",B10)))</formula>
    </cfRule>
    <cfRule type="containsText" dxfId="1628" priority="15" operator="containsText" text="Heavy">
      <formula>NOT(ISERROR(SEARCH("Heavy",B10)))</formula>
    </cfRule>
    <cfRule type="containsText" dxfId="1627" priority="16" operator="containsText" text="Medium">
      <formula>NOT(ISERROR(SEARCH("Medium",B10)))</formula>
    </cfRule>
    <cfRule type="containsText" dxfId="1626" priority="17" operator="containsText" text="Light">
      <formula>NOT(ISERROR(SEARCH("Light",B10)))</formula>
    </cfRule>
    <cfRule type="containsText" dxfId="1625" priority="18" operator="containsText" text="None">
      <formula>NOT(ISERROR(SEARCH("None",B10)))</formula>
    </cfRule>
  </conditionalFormatting>
  <conditionalFormatting sqref="B30">
    <cfRule type="cellIs" dxfId="1624" priority="31" operator="lessThan">
      <formula>$B$8*100</formula>
    </cfRule>
    <cfRule type="cellIs" dxfId="1623" priority="32" operator="greaterThanOrEqual">
      <formula>$B$8*100</formula>
    </cfRule>
  </conditionalFormatting>
  <conditionalFormatting sqref="B43">
    <cfRule type="cellIs" dxfId="1622" priority="33" operator="lessThan">
      <formula>$B$8*100</formula>
    </cfRule>
    <cfRule type="cellIs" dxfId="1621" priority="34" operator="greaterThan">
      <formula>$B$8*100</formula>
    </cfRule>
    <cfRule type="cellIs" dxfId="1620" priority="35" operator="greaterThan">
      <formula>$B$8*100</formula>
    </cfRule>
  </conditionalFormatting>
  <conditionalFormatting sqref="B40">
    <cfRule type="cellIs" dxfId="1619" priority="9" operator="equal">
      <formula>"YES"</formula>
    </cfRule>
    <cfRule type="cellIs" dxfId="1618" priority="10" operator="equal">
      <formula>"NO"</formula>
    </cfRule>
  </conditionalFormatting>
  <conditionalFormatting sqref="E25:E28">
    <cfRule type="cellIs" dxfId="1617" priority="5" operator="equal">
      <formula>"NO"</formula>
    </cfRule>
    <cfRule type="cellIs" dxfId="1616" priority="6" operator="equal">
      <formula>"YES"</formula>
    </cfRule>
  </conditionalFormatting>
  <conditionalFormatting sqref="E31">
    <cfRule type="cellIs" dxfId="1615" priority="2" operator="between">
      <formula>10%</formula>
      <formula>12%</formula>
    </cfRule>
    <cfRule type="cellIs" dxfId="1614" priority="3" operator="lessThan">
      <formula>0.1</formula>
    </cfRule>
    <cfRule type="cellIs" dxfId="1613" priority="4" operator="greaterThan">
      <formula>0.12</formula>
    </cfRule>
  </conditionalFormatting>
  <conditionalFormatting sqref="E30">
    <cfRule type="cellIs" dxfId="1612" priority="7" operator="lessThan">
      <formula>$B$8*100</formula>
    </cfRule>
    <cfRule type="cellIs" dxfId="1611" priority="8" operator="greaterThan">
      <formula>$B$8*100</formula>
    </cfRule>
  </conditionalFormatting>
  <conditionalFormatting sqref="B46:B47">
    <cfRule type="cellIs" dxfId="1610" priority="1" operator="greaterThan">
      <formula>0</formula>
    </cfRule>
  </conditionalFormatting>
  <hyperlinks>
    <hyperlink ref="A34" r:id="rId1" display="https://www.zillow.com/homes/recently_sold/" xr:uid="{0BA83934-7680-4C7C-8B28-B532B8FAFC7C}"/>
    <hyperlink ref="A23" r:id="rId2" xr:uid="{18CB5B07-C730-4672-9FD1-FC8657ADB18C}"/>
    <hyperlink ref="A27" r:id="rId3" display="www.mortgagecalculator.org" xr:uid="{3C88DD0E-6B56-438E-B7A1-575FC132D61B}"/>
    <hyperlink ref="A12" r:id="rId4" xr:uid="{24D0A2E1-4026-46D8-99B5-25DDAABE71E9}"/>
  </hyperlinks>
  <pageMargins left="0.7" right="0.7" top="0.75" bottom="0.75" header="0.3" footer="0.3"/>
  <drawing r:id="rId5"/>
  <legacyDrawing r:id="rId6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AFF9D-18A3-4307-B8EF-EA4D54DA5AC7}">
  <sheetPr codeName="Sheet193">
    <tabColor rgb="FFFF0000"/>
  </sheetPr>
  <dimension ref="A1:P47"/>
  <sheetViews>
    <sheetView topLeftCell="A12" workbookViewId="0">
      <selection activeCell="A22" sqref="A22: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1425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76415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35625</v>
      </c>
      <c r="D15" s="2"/>
      <c r="E15" s="3"/>
    </row>
    <row r="16" spans="1:10" x14ac:dyDescent="0.25">
      <c r="A16" s="7" t="s">
        <v>20</v>
      </c>
      <c r="B16" s="17">
        <f>B15+B13</f>
        <v>112040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3921.4000000000005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-1078.5999999999995</v>
      </c>
      <c r="D19" s="66"/>
      <c r="E19" s="67"/>
      <c r="P19" s="21"/>
    </row>
    <row r="20" spans="1:16" x14ac:dyDescent="0.25">
      <c r="A20" s="7" t="s">
        <v>23</v>
      </c>
      <c r="B20" s="17">
        <f>B16-B17</f>
        <v>108118.6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1175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1120.4000000000001</v>
      </c>
      <c r="D24" s="7" t="s">
        <v>77</v>
      </c>
      <c r="E24" s="17">
        <f>B16*0.01</f>
        <v>1120.4000000000001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934.43</v>
      </c>
      <c r="D27" s="7" t="s">
        <v>38</v>
      </c>
      <c r="E27" s="35">
        <f>B27</f>
        <v>934.43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1228.1799999999998</v>
      </c>
      <c r="D28" s="7" t="s">
        <v>41</v>
      </c>
      <c r="E28" s="17">
        <f>E27+I27+I36</f>
        <v>1228.1799999999998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-53.179999999999836</v>
      </c>
      <c r="D30" s="7" t="s">
        <v>43</v>
      </c>
      <c r="E30" s="44">
        <f>E23-E27-I27-I36+I26+I35</f>
        <v>-60.67999999999995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0.59165585017615274</v>
      </c>
      <c r="D31" s="46" t="s">
        <v>44</v>
      </c>
      <c r="E31" s="47">
        <f>(E30*12)/B19</f>
        <v>0.67509734841461133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58.75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58.75</v>
      </c>
    </row>
    <row r="34" spans="1:9" x14ac:dyDescent="0.25">
      <c r="A34" s="26" t="s">
        <v>49</v>
      </c>
      <c r="B34" s="8">
        <f>B16</f>
        <v>112040</v>
      </c>
      <c r="G34" s="27" t="s">
        <v>50</v>
      </c>
      <c r="H34" s="48">
        <v>0.05</v>
      </c>
      <c r="I34" s="49">
        <f>$B$23*H34</f>
        <v>58.75</v>
      </c>
    </row>
    <row r="35" spans="1:9" x14ac:dyDescent="0.25">
      <c r="A35" s="7" t="s">
        <v>51</v>
      </c>
      <c r="B35" s="17">
        <f>B34-B20</f>
        <v>3921.3999999999942</v>
      </c>
      <c r="G35" s="27" t="s">
        <v>52</v>
      </c>
      <c r="H35" s="48">
        <v>0.1</v>
      </c>
      <c r="I35" s="49">
        <f>$B$23*H35</f>
        <v>117.5</v>
      </c>
    </row>
    <row r="36" spans="1:9" ht="15.75" thickBot="1" x14ac:dyDescent="0.3">
      <c r="A36" s="7" t="s">
        <v>53</v>
      </c>
      <c r="B36" s="50">
        <f>B35/B17</f>
        <v>0.99999999999999833</v>
      </c>
      <c r="G36" s="36" t="s">
        <v>39</v>
      </c>
      <c r="H36" s="37"/>
      <c r="I36" s="51">
        <f>SUM(I32:I35)</f>
        <v>293.75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76.584008333333344</v>
      </c>
      <c r="D41" s="58"/>
      <c r="E41" s="61"/>
    </row>
    <row r="42" spans="1:9" x14ac:dyDescent="0.25">
      <c r="A42" s="7" t="s">
        <v>58</v>
      </c>
      <c r="B42" s="17">
        <f>B27-B41</f>
        <v>857.84599166666658</v>
      </c>
      <c r="D42" s="58"/>
      <c r="E42" s="61"/>
    </row>
    <row r="43" spans="1:9" x14ac:dyDescent="0.25">
      <c r="A43" s="7" t="s">
        <v>59</v>
      </c>
      <c r="B43" s="43">
        <f>B23-B42-I27-I36</f>
        <v>23.404008333333422</v>
      </c>
      <c r="D43" s="58"/>
      <c r="E43" s="61"/>
    </row>
    <row r="44" spans="1:9" ht="15.75" thickBot="1" x14ac:dyDescent="0.3">
      <c r="A44" s="46" t="s">
        <v>44</v>
      </c>
      <c r="B44" s="47">
        <f>(B43*12)/B17</f>
        <v>7.1619345131840928E-2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896.31999999999994</v>
      </c>
    </row>
    <row r="47" spans="1:9" ht="15.75" thickBot="1" x14ac:dyDescent="0.3">
      <c r="A47" s="63" t="s">
        <v>251</v>
      </c>
      <c r="B47" s="65">
        <f>B16*0.02</f>
        <v>2240.8000000000002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609" priority="29" operator="equal">
      <formula>"NO"</formula>
    </cfRule>
    <cfRule type="cellIs" dxfId="1608" priority="30" operator="equal">
      <formula>"YES"</formula>
    </cfRule>
  </conditionalFormatting>
  <conditionalFormatting sqref="E40">
    <cfRule type="cellIs" dxfId="1607" priority="27" operator="equal">
      <formula>"YES"</formula>
    </cfRule>
    <cfRule type="cellIs" dxfId="1606" priority="28" operator="equal">
      <formula>"NO"</formula>
    </cfRule>
  </conditionalFormatting>
  <conditionalFormatting sqref="B25">
    <cfRule type="cellIs" dxfId="1605" priority="25" operator="equal">
      <formula>"NO"</formula>
    </cfRule>
    <cfRule type="cellIs" dxfId="1604" priority="26" operator="equal">
      <formula>"YES"</formula>
    </cfRule>
  </conditionalFormatting>
  <conditionalFormatting sqref="B12">
    <cfRule type="containsText" dxfId="1603" priority="11" operator="containsText" text="Low">
      <formula>NOT(ISERROR(SEARCH("Low",B12)))</formula>
    </cfRule>
    <cfRule type="containsText" dxfId="1602" priority="12" operator="containsText" text="Medium">
      <formula>NOT(ISERROR(SEARCH("Medium",B12)))</formula>
    </cfRule>
    <cfRule type="containsText" dxfId="1601" priority="13" operator="containsText" text="High">
      <formula>NOT(ISERROR(SEARCH("High",B12)))</formula>
    </cfRule>
  </conditionalFormatting>
  <conditionalFormatting sqref="B31">
    <cfRule type="cellIs" dxfId="1600" priority="21" operator="between">
      <formula>10%</formula>
      <formula>11.9%</formula>
    </cfRule>
    <cfRule type="cellIs" dxfId="1599" priority="23" operator="lessThan">
      <formula>0.1</formula>
    </cfRule>
    <cfRule type="cellIs" dxfId="1598" priority="24" operator="greaterThanOrEqual">
      <formula>0.12</formula>
    </cfRule>
  </conditionalFormatting>
  <conditionalFormatting sqref="B44">
    <cfRule type="cellIs" dxfId="1597" priority="19" operator="between">
      <formula>0.1</formula>
      <formula>0.1199</formula>
    </cfRule>
    <cfRule type="cellIs" dxfId="1596" priority="20" operator="lessThan">
      <formula>0.1</formula>
    </cfRule>
    <cfRule type="cellIs" dxfId="1595" priority="22" operator="greaterThanOrEqual">
      <formula>0.12</formula>
    </cfRule>
  </conditionalFormatting>
  <conditionalFormatting sqref="B10">
    <cfRule type="containsText" dxfId="1594" priority="14" operator="containsText" text="Full">
      <formula>NOT(ISERROR(SEARCH("Full",B10)))</formula>
    </cfRule>
    <cfRule type="containsText" dxfId="1593" priority="15" operator="containsText" text="Heavy">
      <formula>NOT(ISERROR(SEARCH("Heavy",B10)))</formula>
    </cfRule>
    <cfRule type="containsText" dxfId="1592" priority="16" operator="containsText" text="Medium">
      <formula>NOT(ISERROR(SEARCH("Medium",B10)))</formula>
    </cfRule>
    <cfRule type="containsText" dxfId="1591" priority="17" operator="containsText" text="Light">
      <formula>NOT(ISERROR(SEARCH("Light",B10)))</formula>
    </cfRule>
    <cfRule type="containsText" dxfId="1590" priority="18" operator="containsText" text="None">
      <formula>NOT(ISERROR(SEARCH("None",B10)))</formula>
    </cfRule>
  </conditionalFormatting>
  <conditionalFormatting sqref="B30">
    <cfRule type="cellIs" dxfId="1589" priority="31" operator="lessThan">
      <formula>$B$8*100</formula>
    </cfRule>
    <cfRule type="cellIs" dxfId="1588" priority="32" operator="greaterThanOrEqual">
      <formula>$B$8*100</formula>
    </cfRule>
  </conditionalFormatting>
  <conditionalFormatting sqref="B43">
    <cfRule type="cellIs" dxfId="1587" priority="33" operator="lessThan">
      <formula>$B$8*100</formula>
    </cfRule>
    <cfRule type="cellIs" dxfId="1586" priority="34" operator="greaterThan">
      <formula>$B$8*100</formula>
    </cfRule>
    <cfRule type="cellIs" dxfId="1585" priority="35" operator="greaterThan">
      <formula>$B$8*100</formula>
    </cfRule>
  </conditionalFormatting>
  <conditionalFormatting sqref="B40">
    <cfRule type="cellIs" dxfId="1584" priority="9" operator="equal">
      <formula>"YES"</formula>
    </cfRule>
    <cfRule type="cellIs" dxfId="1583" priority="10" operator="equal">
      <formula>"NO"</formula>
    </cfRule>
  </conditionalFormatting>
  <conditionalFormatting sqref="E25:E28">
    <cfRule type="cellIs" dxfId="1582" priority="5" operator="equal">
      <formula>"NO"</formula>
    </cfRule>
    <cfRule type="cellIs" dxfId="1581" priority="6" operator="equal">
      <formula>"YES"</formula>
    </cfRule>
  </conditionalFormatting>
  <conditionalFormatting sqref="E31">
    <cfRule type="cellIs" dxfId="1580" priority="2" operator="between">
      <formula>10%</formula>
      <formula>12%</formula>
    </cfRule>
    <cfRule type="cellIs" dxfId="1579" priority="3" operator="lessThan">
      <formula>0.1</formula>
    </cfRule>
    <cfRule type="cellIs" dxfId="1578" priority="4" operator="greaterThan">
      <formula>0.12</formula>
    </cfRule>
  </conditionalFormatting>
  <conditionalFormatting sqref="E30">
    <cfRule type="cellIs" dxfId="1577" priority="7" operator="lessThan">
      <formula>$B$8*100</formula>
    </cfRule>
    <cfRule type="cellIs" dxfId="1576" priority="8" operator="greaterThan">
      <formula>$B$8*100</formula>
    </cfRule>
  </conditionalFormatting>
  <conditionalFormatting sqref="B46:B47">
    <cfRule type="cellIs" dxfId="1575" priority="1" operator="greaterThan">
      <formula>0</formula>
    </cfRule>
  </conditionalFormatting>
  <hyperlinks>
    <hyperlink ref="A34" r:id="rId1" display="https://www.zillow.com/homes/recently_sold/" xr:uid="{42083020-3290-4207-ACE6-B65388E0AB0E}"/>
    <hyperlink ref="A23" r:id="rId2" xr:uid="{C6AC0C3D-79AC-45B2-BBFD-5D11AD7C2782}"/>
    <hyperlink ref="A27" r:id="rId3" display="www.mortgagecalculator.org" xr:uid="{D8F73A29-0DF2-4921-8679-804A1CC3EFAD}"/>
    <hyperlink ref="A12" r:id="rId4" xr:uid="{123741C2-4E85-46B9-9795-EEC86737B787}"/>
  </hyperlinks>
  <pageMargins left="0.7" right="0.7" top="0.75" bottom="0.75" header="0.3" footer="0.3"/>
  <drawing r:id="rId5"/>
  <legacyDrawing r:id="rId6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89203-8A8E-4161-8D3D-4144C72E572D}">
  <sheetPr codeName="Sheet194">
    <tabColor rgb="FFFF0000"/>
  </sheetPr>
  <dimension ref="A1:P47"/>
  <sheetViews>
    <sheetView topLeftCell="A12" workbookViewId="0">
      <selection activeCell="C25" sqref="C2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179999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1798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82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B7*0.95</f>
        <v>170999.05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170999.05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8549.9524999999994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3549.9524999999994</v>
      </c>
      <c r="D19" s="66"/>
      <c r="E19" s="67"/>
      <c r="P19" s="21"/>
    </row>
    <row r="20" spans="1:16" x14ac:dyDescent="0.25">
      <c r="A20" s="7" t="s">
        <v>23</v>
      </c>
      <c r="B20" s="17">
        <f>B16-B17</f>
        <v>162449.09749999997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1281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1709.9904999999999</v>
      </c>
      <c r="D24" s="7" t="s">
        <v>77</v>
      </c>
      <c r="E24" s="17">
        <f>B16*0.01</f>
        <v>1709.9904999999999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1206.98</v>
      </c>
      <c r="D27" s="7" t="s">
        <v>38</v>
      </c>
      <c r="E27" s="35">
        <f>B27</f>
        <v>1206.98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1527.23</v>
      </c>
      <c r="D28" s="7" t="s">
        <v>41</v>
      </c>
      <c r="E28" s="17">
        <f>E27+I27+I36</f>
        <v>1527.23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-246.23000000000002</v>
      </c>
      <c r="D30" s="7" t="s">
        <v>43</v>
      </c>
      <c r="E30" s="44">
        <f>E23-E27-I27-I36+I26+I35</f>
        <v>-349.13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-0.83233789747891018</v>
      </c>
      <c r="D31" s="46" t="s">
        <v>44</v>
      </c>
      <c r="E31" s="47">
        <f>(E30*12)/B19</f>
        <v>-1.1801735375332487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64.05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64.05</v>
      </c>
    </row>
    <row r="34" spans="1:9" x14ac:dyDescent="0.25">
      <c r="A34" s="26" t="s">
        <v>49</v>
      </c>
      <c r="B34" s="8">
        <f>B16</f>
        <v>170999.05</v>
      </c>
      <c r="G34" s="27" t="s">
        <v>50</v>
      </c>
      <c r="H34" s="48">
        <v>0.05</v>
      </c>
      <c r="I34" s="49">
        <f>$B$23*H34</f>
        <v>64.05</v>
      </c>
    </row>
    <row r="35" spans="1:9" x14ac:dyDescent="0.25">
      <c r="A35" s="7" t="s">
        <v>51</v>
      </c>
      <c r="B35" s="17">
        <f>B34-B20</f>
        <v>8549.952500000014</v>
      </c>
      <c r="G35" s="27" t="s">
        <v>52</v>
      </c>
      <c r="H35" s="48">
        <v>0.1</v>
      </c>
      <c r="I35" s="49">
        <f>$B$23*H35</f>
        <v>128.1</v>
      </c>
    </row>
    <row r="36" spans="1:9" ht="15.75" thickBot="1" x14ac:dyDescent="0.3">
      <c r="A36" s="7" t="s">
        <v>53</v>
      </c>
      <c r="B36" s="50">
        <f>B35/B17</f>
        <v>1.0000000000000018</v>
      </c>
      <c r="G36" s="36" t="s">
        <v>39</v>
      </c>
      <c r="H36" s="37"/>
      <c r="I36" s="51">
        <f>SUM(I32:I35)</f>
        <v>320.25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115.06811072916666</v>
      </c>
      <c r="D41" s="58"/>
      <c r="E41" s="61"/>
    </row>
    <row r="42" spans="1:9" x14ac:dyDescent="0.25">
      <c r="A42" s="7" t="s">
        <v>58</v>
      </c>
      <c r="B42" s="17">
        <f>B27-B41</f>
        <v>1091.9118892708334</v>
      </c>
      <c r="D42" s="58"/>
      <c r="E42" s="61"/>
    </row>
    <row r="43" spans="1:9" x14ac:dyDescent="0.25">
      <c r="A43" s="7" t="s">
        <v>59</v>
      </c>
      <c r="B43" s="43">
        <f>B23-B42-I27-I36</f>
        <v>-131.1618892708334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-0.1840878848449744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1367.9923999999999</v>
      </c>
    </row>
    <row r="47" spans="1:9" ht="15.75" thickBot="1" x14ac:dyDescent="0.3">
      <c r="A47" s="63" t="s">
        <v>251</v>
      </c>
      <c r="B47" s="65">
        <f>B16*0.02</f>
        <v>3419.9809999999998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574" priority="29" operator="equal">
      <formula>"NO"</formula>
    </cfRule>
    <cfRule type="cellIs" dxfId="1573" priority="30" operator="equal">
      <formula>"YES"</formula>
    </cfRule>
  </conditionalFormatting>
  <conditionalFormatting sqref="E40">
    <cfRule type="cellIs" dxfId="1572" priority="27" operator="equal">
      <formula>"YES"</formula>
    </cfRule>
    <cfRule type="cellIs" dxfId="1571" priority="28" operator="equal">
      <formula>"NO"</formula>
    </cfRule>
  </conditionalFormatting>
  <conditionalFormatting sqref="B25">
    <cfRule type="cellIs" dxfId="1570" priority="25" operator="equal">
      <formula>"NO"</formula>
    </cfRule>
    <cfRule type="cellIs" dxfId="1569" priority="26" operator="equal">
      <formula>"YES"</formula>
    </cfRule>
  </conditionalFormatting>
  <conditionalFormatting sqref="B12">
    <cfRule type="containsText" dxfId="1568" priority="11" operator="containsText" text="Low">
      <formula>NOT(ISERROR(SEARCH("Low",B12)))</formula>
    </cfRule>
    <cfRule type="containsText" dxfId="1567" priority="12" operator="containsText" text="Medium">
      <formula>NOT(ISERROR(SEARCH("Medium",B12)))</formula>
    </cfRule>
    <cfRule type="containsText" dxfId="1566" priority="13" operator="containsText" text="High">
      <formula>NOT(ISERROR(SEARCH("High",B12)))</formula>
    </cfRule>
  </conditionalFormatting>
  <conditionalFormatting sqref="B31">
    <cfRule type="cellIs" dxfId="1565" priority="21" operator="between">
      <formula>10%</formula>
      <formula>11.9%</formula>
    </cfRule>
    <cfRule type="cellIs" dxfId="1564" priority="23" operator="lessThan">
      <formula>0.1</formula>
    </cfRule>
    <cfRule type="cellIs" dxfId="1563" priority="24" operator="greaterThanOrEqual">
      <formula>0.12</formula>
    </cfRule>
  </conditionalFormatting>
  <conditionalFormatting sqref="B44">
    <cfRule type="cellIs" dxfId="1562" priority="19" operator="between">
      <formula>0.1</formula>
      <formula>0.1199</formula>
    </cfRule>
    <cfRule type="cellIs" dxfId="1561" priority="20" operator="lessThan">
      <formula>0.1</formula>
    </cfRule>
    <cfRule type="cellIs" dxfId="1560" priority="22" operator="greaterThanOrEqual">
      <formula>0.12</formula>
    </cfRule>
  </conditionalFormatting>
  <conditionalFormatting sqref="B10">
    <cfRule type="containsText" dxfId="1559" priority="14" operator="containsText" text="Full">
      <formula>NOT(ISERROR(SEARCH("Full",B10)))</formula>
    </cfRule>
    <cfRule type="containsText" dxfId="1558" priority="15" operator="containsText" text="Heavy">
      <formula>NOT(ISERROR(SEARCH("Heavy",B10)))</formula>
    </cfRule>
    <cfRule type="containsText" dxfId="1557" priority="16" operator="containsText" text="Medium">
      <formula>NOT(ISERROR(SEARCH("Medium",B10)))</formula>
    </cfRule>
    <cfRule type="containsText" dxfId="1556" priority="17" operator="containsText" text="Light">
      <formula>NOT(ISERROR(SEARCH("Light",B10)))</formula>
    </cfRule>
    <cfRule type="containsText" dxfId="1555" priority="18" operator="containsText" text="None">
      <formula>NOT(ISERROR(SEARCH("None",B10)))</formula>
    </cfRule>
  </conditionalFormatting>
  <conditionalFormatting sqref="B30">
    <cfRule type="cellIs" dxfId="1554" priority="31" operator="lessThan">
      <formula>$B$8*100</formula>
    </cfRule>
    <cfRule type="cellIs" dxfId="1553" priority="32" operator="greaterThanOrEqual">
      <formula>$B$8*100</formula>
    </cfRule>
  </conditionalFormatting>
  <conditionalFormatting sqref="B43">
    <cfRule type="cellIs" dxfId="1552" priority="33" operator="lessThan">
      <formula>$B$8*100</formula>
    </cfRule>
    <cfRule type="cellIs" dxfId="1551" priority="34" operator="greaterThan">
      <formula>$B$8*100</formula>
    </cfRule>
    <cfRule type="cellIs" dxfId="1550" priority="35" operator="greaterThan">
      <formula>$B$8*100</formula>
    </cfRule>
  </conditionalFormatting>
  <conditionalFormatting sqref="B40">
    <cfRule type="cellIs" dxfId="1549" priority="9" operator="equal">
      <formula>"YES"</formula>
    </cfRule>
    <cfRule type="cellIs" dxfId="1548" priority="10" operator="equal">
      <formula>"NO"</formula>
    </cfRule>
  </conditionalFormatting>
  <conditionalFormatting sqref="E25:E28">
    <cfRule type="cellIs" dxfId="1547" priority="5" operator="equal">
      <formula>"NO"</formula>
    </cfRule>
    <cfRule type="cellIs" dxfId="1546" priority="6" operator="equal">
      <formula>"YES"</formula>
    </cfRule>
  </conditionalFormatting>
  <conditionalFormatting sqref="E31">
    <cfRule type="cellIs" dxfId="1545" priority="2" operator="between">
      <formula>10%</formula>
      <formula>12%</formula>
    </cfRule>
    <cfRule type="cellIs" dxfId="1544" priority="3" operator="lessThan">
      <formula>0.1</formula>
    </cfRule>
    <cfRule type="cellIs" dxfId="1543" priority="4" operator="greaterThan">
      <formula>0.12</formula>
    </cfRule>
  </conditionalFormatting>
  <conditionalFormatting sqref="E30">
    <cfRule type="cellIs" dxfId="1542" priority="7" operator="lessThan">
      <formula>$B$8*100</formula>
    </cfRule>
    <cfRule type="cellIs" dxfId="1541" priority="8" operator="greaterThan">
      <formula>$B$8*100</formula>
    </cfRule>
  </conditionalFormatting>
  <conditionalFormatting sqref="B46:B47">
    <cfRule type="cellIs" dxfId="1540" priority="1" operator="greaterThan">
      <formula>0</formula>
    </cfRule>
  </conditionalFormatting>
  <hyperlinks>
    <hyperlink ref="A34" r:id="rId1" display="https://www.zillow.com/homes/recently_sold/" xr:uid="{1EBD9C52-B970-4D75-8EEA-1C66A0607AE8}"/>
    <hyperlink ref="A23" r:id="rId2" xr:uid="{DF41F6E6-D193-44F0-B9FA-FB4EC167D6D8}"/>
    <hyperlink ref="A27" r:id="rId3" display="www.mortgagecalculator.org" xr:uid="{C453A724-6DA1-4729-B74A-375CED230BE7}"/>
    <hyperlink ref="A12" r:id="rId4" xr:uid="{556A1750-E9BC-4643-840E-36A1689C6F26}"/>
  </hyperlinks>
  <pageMargins left="0.7" right="0.7" top="0.75" bottom="0.75" header="0.3" footer="0.3"/>
  <drawing r:id="rId5"/>
  <legacyDrawing r:id="rId6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2DBC5-A6E7-40FB-A68A-441D3460E4B0}">
  <sheetPr codeName="Sheet195">
    <tabColor rgb="FFFF0000"/>
  </sheetPr>
  <dimension ref="A1:P47"/>
  <sheetViews>
    <sheetView topLeftCell="A14" workbookViewId="0">
      <selection activeCell="B32" sqref="B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1526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144415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144415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7220.75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2220.75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137194.25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1203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1444.15</v>
      </c>
      <c r="D24" s="7" t="s">
        <v>77</v>
      </c>
      <c r="E24" s="17">
        <f>B16*0.01</f>
        <v>1444.15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980.83</v>
      </c>
      <c r="D27" s="7" t="s">
        <v>38</v>
      </c>
      <c r="E27" s="35">
        <f>B27</f>
        <v>980.83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1281.58</v>
      </c>
      <c r="D28" s="7" t="s">
        <v>41</v>
      </c>
      <c r="E28" s="17">
        <f>E27+I27+I36</f>
        <v>1281.58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-78.579999999999927</v>
      </c>
      <c r="D30" s="7" t="s">
        <v>43</v>
      </c>
      <c r="E30" s="44">
        <f>E23-E27-I27-I36+I26+I35</f>
        <v>-111.28000000000003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-0.42461330631543359</v>
      </c>
      <c r="D31" s="46" t="s">
        <v>44</v>
      </c>
      <c r="E31" s="47">
        <f>(E30*12)/B19</f>
        <v>-0.60131036811887895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60.150000000000006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60.150000000000006</v>
      </c>
    </row>
    <row r="34" spans="1:9" x14ac:dyDescent="0.25">
      <c r="A34" s="26" t="s">
        <v>49</v>
      </c>
      <c r="B34" s="8">
        <f>B16</f>
        <v>144415</v>
      </c>
      <c r="G34" s="27" t="s">
        <v>50</v>
      </c>
      <c r="H34" s="48">
        <v>0.05</v>
      </c>
      <c r="I34" s="49">
        <f>$B$23*H34</f>
        <v>60.150000000000006</v>
      </c>
    </row>
    <row r="35" spans="1:9" x14ac:dyDescent="0.25">
      <c r="A35" s="7" t="s">
        <v>51</v>
      </c>
      <c r="B35" s="17">
        <f>B34-B20</f>
        <v>7220.75</v>
      </c>
      <c r="G35" s="27" t="s">
        <v>52</v>
      </c>
      <c r="H35" s="48">
        <v>0.1</v>
      </c>
      <c r="I35" s="49">
        <f>$B$23*H35</f>
        <v>120.30000000000001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300.75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97.179260416666679</v>
      </c>
      <c r="D41" s="58"/>
      <c r="E41" s="61"/>
    </row>
    <row r="42" spans="1:9" x14ac:dyDescent="0.25">
      <c r="A42" s="7" t="s">
        <v>58</v>
      </c>
      <c r="B42" s="17">
        <f>B27-B41</f>
        <v>883.65073958333335</v>
      </c>
      <c r="D42" s="58"/>
      <c r="E42" s="61"/>
    </row>
    <row r="43" spans="1:9" x14ac:dyDescent="0.25">
      <c r="A43" s="7" t="s">
        <v>59</v>
      </c>
      <c r="B43" s="43">
        <f>B23-B42-I27-I36</f>
        <v>18.599260416666652</v>
      </c>
      <c r="D43" s="58"/>
      <c r="E43" s="61"/>
    </row>
    <row r="44" spans="1:9" ht="15.75" thickBot="1" x14ac:dyDescent="0.3">
      <c r="A44" s="46" t="s">
        <v>44</v>
      </c>
      <c r="B44" s="47">
        <f>(B43*12)/B17</f>
        <v>3.0909687359346304E-2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1155.32</v>
      </c>
    </row>
    <row r="47" spans="1:9" ht="15.75" thickBot="1" x14ac:dyDescent="0.3">
      <c r="A47" s="63" t="s">
        <v>251</v>
      </c>
      <c r="B47" s="65">
        <f>B16*0.02</f>
        <v>2888.3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539" priority="29" operator="equal">
      <formula>"NO"</formula>
    </cfRule>
    <cfRule type="cellIs" dxfId="1538" priority="30" operator="equal">
      <formula>"YES"</formula>
    </cfRule>
  </conditionalFormatting>
  <conditionalFormatting sqref="E40">
    <cfRule type="cellIs" dxfId="1537" priority="27" operator="equal">
      <formula>"YES"</formula>
    </cfRule>
    <cfRule type="cellIs" dxfId="1536" priority="28" operator="equal">
      <formula>"NO"</formula>
    </cfRule>
  </conditionalFormatting>
  <conditionalFormatting sqref="B25">
    <cfRule type="cellIs" dxfId="1535" priority="25" operator="equal">
      <formula>"NO"</formula>
    </cfRule>
    <cfRule type="cellIs" dxfId="1534" priority="26" operator="equal">
      <formula>"YES"</formula>
    </cfRule>
  </conditionalFormatting>
  <conditionalFormatting sqref="B12">
    <cfRule type="containsText" dxfId="1533" priority="11" operator="containsText" text="Low">
      <formula>NOT(ISERROR(SEARCH("Low",B12)))</formula>
    </cfRule>
    <cfRule type="containsText" dxfId="1532" priority="12" operator="containsText" text="Medium">
      <formula>NOT(ISERROR(SEARCH("Medium",B12)))</formula>
    </cfRule>
    <cfRule type="containsText" dxfId="1531" priority="13" operator="containsText" text="High">
      <formula>NOT(ISERROR(SEARCH("High",B12)))</formula>
    </cfRule>
  </conditionalFormatting>
  <conditionalFormatting sqref="B31">
    <cfRule type="cellIs" dxfId="1530" priority="21" operator="between">
      <formula>10%</formula>
      <formula>11.9%</formula>
    </cfRule>
    <cfRule type="cellIs" dxfId="1529" priority="23" operator="lessThan">
      <formula>0.1</formula>
    </cfRule>
    <cfRule type="cellIs" dxfId="1528" priority="24" operator="greaterThanOrEqual">
      <formula>0.12</formula>
    </cfRule>
  </conditionalFormatting>
  <conditionalFormatting sqref="B44">
    <cfRule type="cellIs" dxfId="1527" priority="19" operator="between">
      <formula>0.1</formula>
      <formula>0.1199</formula>
    </cfRule>
    <cfRule type="cellIs" dxfId="1526" priority="20" operator="lessThan">
      <formula>0.1</formula>
    </cfRule>
    <cfRule type="cellIs" dxfId="1525" priority="22" operator="greaterThanOrEqual">
      <formula>0.12</formula>
    </cfRule>
  </conditionalFormatting>
  <conditionalFormatting sqref="B10">
    <cfRule type="containsText" dxfId="1524" priority="14" operator="containsText" text="Full">
      <formula>NOT(ISERROR(SEARCH("Full",B10)))</formula>
    </cfRule>
    <cfRule type="containsText" dxfId="1523" priority="15" operator="containsText" text="Heavy">
      <formula>NOT(ISERROR(SEARCH("Heavy",B10)))</formula>
    </cfRule>
    <cfRule type="containsText" dxfId="1522" priority="16" operator="containsText" text="Medium">
      <formula>NOT(ISERROR(SEARCH("Medium",B10)))</formula>
    </cfRule>
    <cfRule type="containsText" dxfId="1521" priority="17" operator="containsText" text="Light">
      <formula>NOT(ISERROR(SEARCH("Light",B10)))</formula>
    </cfRule>
    <cfRule type="containsText" dxfId="1520" priority="18" operator="containsText" text="None">
      <formula>NOT(ISERROR(SEARCH("None",B10)))</formula>
    </cfRule>
  </conditionalFormatting>
  <conditionalFormatting sqref="B30">
    <cfRule type="cellIs" dxfId="1519" priority="31" operator="lessThan">
      <formula>$B$8*100</formula>
    </cfRule>
    <cfRule type="cellIs" dxfId="1518" priority="32" operator="greaterThanOrEqual">
      <formula>$B$8*100</formula>
    </cfRule>
  </conditionalFormatting>
  <conditionalFormatting sqref="B43">
    <cfRule type="cellIs" dxfId="1517" priority="33" operator="lessThan">
      <formula>$B$8*100</formula>
    </cfRule>
    <cfRule type="cellIs" dxfId="1516" priority="34" operator="greaterThan">
      <formula>$B$8*100</formula>
    </cfRule>
    <cfRule type="cellIs" dxfId="1515" priority="35" operator="greaterThan">
      <formula>$B$8*100</formula>
    </cfRule>
  </conditionalFormatting>
  <conditionalFormatting sqref="B40">
    <cfRule type="cellIs" dxfId="1514" priority="9" operator="equal">
      <formula>"YES"</formula>
    </cfRule>
    <cfRule type="cellIs" dxfId="1513" priority="10" operator="equal">
      <formula>"NO"</formula>
    </cfRule>
  </conditionalFormatting>
  <conditionalFormatting sqref="E25:E28">
    <cfRule type="cellIs" dxfId="1512" priority="5" operator="equal">
      <formula>"NO"</formula>
    </cfRule>
    <cfRule type="cellIs" dxfId="1511" priority="6" operator="equal">
      <formula>"YES"</formula>
    </cfRule>
  </conditionalFormatting>
  <conditionalFormatting sqref="E31">
    <cfRule type="cellIs" dxfId="1510" priority="2" operator="between">
      <formula>10%</formula>
      <formula>12%</formula>
    </cfRule>
    <cfRule type="cellIs" dxfId="1509" priority="3" operator="lessThan">
      <formula>0.1</formula>
    </cfRule>
    <cfRule type="cellIs" dxfId="1508" priority="4" operator="greaterThan">
      <formula>0.12</formula>
    </cfRule>
  </conditionalFormatting>
  <conditionalFormatting sqref="E30">
    <cfRule type="cellIs" dxfId="1507" priority="7" operator="lessThan">
      <formula>$B$8*100</formula>
    </cfRule>
    <cfRule type="cellIs" dxfId="1506" priority="8" operator="greaterThan">
      <formula>$B$8*100</formula>
    </cfRule>
  </conditionalFormatting>
  <conditionalFormatting sqref="B46:B47">
    <cfRule type="cellIs" dxfId="1505" priority="1" operator="greaterThan">
      <formula>0</formula>
    </cfRule>
  </conditionalFormatting>
  <hyperlinks>
    <hyperlink ref="A34" r:id="rId1" display="https://www.zillow.com/homes/recently_sold/" xr:uid="{0A9128BC-308A-452F-B869-6814731F2CD4}"/>
    <hyperlink ref="A23" r:id="rId2" xr:uid="{C8D3E075-DBBC-4C4D-B003-B1815794A29C}"/>
    <hyperlink ref="A27" r:id="rId3" display="www.mortgagecalculator.org" xr:uid="{C0F9C078-716D-4B45-9507-6474AC62846C}"/>
    <hyperlink ref="A12" r:id="rId4" xr:uid="{A966F832-7929-4525-B147-837799CF7547}"/>
  </hyperlinks>
  <pageMargins left="0.7" right="0.7" top="0.75" bottom="0.75" header="0.3" footer="0.3"/>
  <drawing r:id="rId5"/>
  <legacyDrawing r:id="rId6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DB058-D567-4530-A801-B477C4C2CA98}">
  <sheetPr codeName="Sheet196">
    <tabColor rgb="FFFF0000"/>
  </sheetPr>
  <dimension ref="A1:P47"/>
  <sheetViews>
    <sheetView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1458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148750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148750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7437.5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2437.5</v>
      </c>
      <c r="D19" s="66"/>
      <c r="E19" s="67"/>
      <c r="P19" s="21"/>
    </row>
    <row r="20" spans="1:16" x14ac:dyDescent="0.25">
      <c r="A20" s="7" t="s">
        <v>23</v>
      </c>
      <c r="B20" s="17">
        <f>B16-B17</f>
        <v>141312.5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1130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1487.5</v>
      </c>
      <c r="D24" s="7" t="s">
        <v>77</v>
      </c>
      <c r="E24" s="17">
        <f>B16*0.01</f>
        <v>1487.5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1059.0999999999999</v>
      </c>
      <c r="D27" s="7" t="s">
        <v>38</v>
      </c>
      <c r="E27" s="35">
        <f>B27</f>
        <v>1059.0999999999999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1341.6</v>
      </c>
      <c r="D28" s="7" t="s">
        <v>41</v>
      </c>
      <c r="E28" s="17">
        <f>E27+I27+I36</f>
        <v>1341.6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-211.59999999999991</v>
      </c>
      <c r="D30" s="7" t="s">
        <v>43</v>
      </c>
      <c r="E30" s="44">
        <f>E23-E27-I27-I36+I26+I35</f>
        <v>-178.59999999999991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-1.0417230769230765</v>
      </c>
      <c r="D31" s="46" t="s">
        <v>44</v>
      </c>
      <c r="E31" s="47">
        <f>(E30*12)/B19</f>
        <v>-0.87926153846153798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56.5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56.5</v>
      </c>
    </row>
    <row r="34" spans="1:9" x14ac:dyDescent="0.25">
      <c r="A34" s="26" t="s">
        <v>49</v>
      </c>
      <c r="B34" s="8">
        <f>B16</f>
        <v>148750</v>
      </c>
      <c r="G34" s="27" t="s">
        <v>50</v>
      </c>
      <c r="H34" s="48">
        <v>0.05</v>
      </c>
      <c r="I34" s="49">
        <f>$B$23*H34</f>
        <v>56.5</v>
      </c>
    </row>
    <row r="35" spans="1:9" x14ac:dyDescent="0.25">
      <c r="A35" s="7" t="s">
        <v>51</v>
      </c>
      <c r="B35" s="17">
        <f>B34-B20</f>
        <v>7437.5</v>
      </c>
      <c r="G35" s="27" t="s">
        <v>52</v>
      </c>
      <c r="H35" s="48">
        <v>0.1</v>
      </c>
      <c r="I35" s="49">
        <f>$B$23*H35</f>
        <v>113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282.5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100.09635416666667</v>
      </c>
      <c r="D41" s="58"/>
      <c r="E41" s="61"/>
    </row>
    <row r="42" spans="1:9" x14ac:dyDescent="0.25">
      <c r="A42" s="7" t="s">
        <v>58</v>
      </c>
      <c r="B42" s="17">
        <f>B27-B41</f>
        <v>959.00364583333328</v>
      </c>
      <c r="D42" s="58"/>
      <c r="E42" s="61"/>
    </row>
    <row r="43" spans="1:9" x14ac:dyDescent="0.25">
      <c r="A43" s="7" t="s">
        <v>59</v>
      </c>
      <c r="B43" s="43">
        <f>B23-B42-I27-I36</f>
        <v>-111.50364583333328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-0.17990504201680663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1190</v>
      </c>
    </row>
    <row r="47" spans="1:9" ht="15.75" thickBot="1" x14ac:dyDescent="0.3">
      <c r="A47" s="63" t="s">
        <v>251</v>
      </c>
      <c r="B47" s="65">
        <f>B16*0.02</f>
        <v>2975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504" priority="29" operator="equal">
      <formula>"NO"</formula>
    </cfRule>
    <cfRule type="cellIs" dxfId="1503" priority="30" operator="equal">
      <formula>"YES"</formula>
    </cfRule>
  </conditionalFormatting>
  <conditionalFormatting sqref="E40">
    <cfRule type="cellIs" dxfId="1502" priority="27" operator="equal">
      <formula>"YES"</formula>
    </cfRule>
    <cfRule type="cellIs" dxfId="1501" priority="28" operator="equal">
      <formula>"NO"</formula>
    </cfRule>
  </conditionalFormatting>
  <conditionalFormatting sqref="B25">
    <cfRule type="cellIs" dxfId="1500" priority="25" operator="equal">
      <formula>"NO"</formula>
    </cfRule>
    <cfRule type="cellIs" dxfId="1499" priority="26" operator="equal">
      <formula>"YES"</formula>
    </cfRule>
  </conditionalFormatting>
  <conditionalFormatting sqref="B12">
    <cfRule type="containsText" dxfId="1498" priority="11" operator="containsText" text="Low">
      <formula>NOT(ISERROR(SEARCH("Low",B12)))</formula>
    </cfRule>
    <cfRule type="containsText" dxfId="1497" priority="12" operator="containsText" text="Medium">
      <formula>NOT(ISERROR(SEARCH("Medium",B12)))</formula>
    </cfRule>
    <cfRule type="containsText" dxfId="1496" priority="13" operator="containsText" text="High">
      <formula>NOT(ISERROR(SEARCH("High",B12)))</formula>
    </cfRule>
  </conditionalFormatting>
  <conditionalFormatting sqref="B31">
    <cfRule type="cellIs" dxfId="1495" priority="21" operator="between">
      <formula>10%</formula>
      <formula>11.9%</formula>
    </cfRule>
    <cfRule type="cellIs" dxfId="1494" priority="23" operator="lessThan">
      <formula>0.1</formula>
    </cfRule>
    <cfRule type="cellIs" dxfId="1493" priority="24" operator="greaterThanOrEqual">
      <formula>0.12</formula>
    </cfRule>
  </conditionalFormatting>
  <conditionalFormatting sqref="B44">
    <cfRule type="cellIs" dxfId="1492" priority="19" operator="between">
      <formula>0.1</formula>
      <formula>0.1199</formula>
    </cfRule>
    <cfRule type="cellIs" dxfId="1491" priority="20" operator="lessThan">
      <formula>0.1</formula>
    </cfRule>
    <cfRule type="cellIs" dxfId="1490" priority="22" operator="greaterThanOrEqual">
      <formula>0.12</formula>
    </cfRule>
  </conditionalFormatting>
  <conditionalFormatting sqref="B10">
    <cfRule type="containsText" dxfId="1489" priority="14" operator="containsText" text="Full">
      <formula>NOT(ISERROR(SEARCH("Full",B10)))</formula>
    </cfRule>
    <cfRule type="containsText" dxfId="1488" priority="15" operator="containsText" text="Heavy">
      <formula>NOT(ISERROR(SEARCH("Heavy",B10)))</formula>
    </cfRule>
    <cfRule type="containsText" dxfId="1487" priority="16" operator="containsText" text="Medium">
      <formula>NOT(ISERROR(SEARCH("Medium",B10)))</formula>
    </cfRule>
    <cfRule type="containsText" dxfId="1486" priority="17" operator="containsText" text="Light">
      <formula>NOT(ISERROR(SEARCH("Light",B10)))</formula>
    </cfRule>
    <cfRule type="containsText" dxfId="1485" priority="18" operator="containsText" text="None">
      <formula>NOT(ISERROR(SEARCH("None",B10)))</formula>
    </cfRule>
  </conditionalFormatting>
  <conditionalFormatting sqref="B30">
    <cfRule type="cellIs" dxfId="1484" priority="31" operator="lessThan">
      <formula>$B$8*100</formula>
    </cfRule>
    <cfRule type="cellIs" dxfId="1483" priority="32" operator="greaterThanOrEqual">
      <formula>$B$8*100</formula>
    </cfRule>
  </conditionalFormatting>
  <conditionalFormatting sqref="B43">
    <cfRule type="cellIs" dxfId="1482" priority="33" operator="lessThan">
      <formula>$B$8*100</formula>
    </cfRule>
    <cfRule type="cellIs" dxfId="1481" priority="34" operator="greaterThan">
      <formula>$B$8*100</formula>
    </cfRule>
    <cfRule type="cellIs" dxfId="1480" priority="35" operator="greaterThan">
      <formula>$B$8*100</formula>
    </cfRule>
  </conditionalFormatting>
  <conditionalFormatting sqref="B40">
    <cfRule type="cellIs" dxfId="1479" priority="9" operator="equal">
      <formula>"YES"</formula>
    </cfRule>
    <cfRule type="cellIs" dxfId="1478" priority="10" operator="equal">
      <formula>"NO"</formula>
    </cfRule>
  </conditionalFormatting>
  <conditionalFormatting sqref="E25:E28">
    <cfRule type="cellIs" dxfId="1477" priority="5" operator="equal">
      <formula>"NO"</formula>
    </cfRule>
    <cfRule type="cellIs" dxfId="1476" priority="6" operator="equal">
      <formula>"YES"</formula>
    </cfRule>
  </conditionalFormatting>
  <conditionalFormatting sqref="E31">
    <cfRule type="cellIs" dxfId="1475" priority="2" operator="between">
      <formula>10%</formula>
      <formula>12%</formula>
    </cfRule>
    <cfRule type="cellIs" dxfId="1474" priority="3" operator="lessThan">
      <formula>0.1</formula>
    </cfRule>
    <cfRule type="cellIs" dxfId="1473" priority="4" operator="greaterThan">
      <formula>0.12</formula>
    </cfRule>
  </conditionalFormatting>
  <conditionalFormatting sqref="E30">
    <cfRule type="cellIs" dxfId="1472" priority="7" operator="lessThan">
      <formula>$B$8*100</formula>
    </cfRule>
    <cfRule type="cellIs" dxfId="1471" priority="8" operator="greaterThan">
      <formula>$B$8*100</formula>
    </cfRule>
  </conditionalFormatting>
  <conditionalFormatting sqref="B46:B47">
    <cfRule type="cellIs" dxfId="1470" priority="1" operator="greaterThan">
      <formula>0</formula>
    </cfRule>
  </conditionalFormatting>
  <hyperlinks>
    <hyperlink ref="A34" r:id="rId1" display="https://www.zillow.com/homes/recently_sold/" xr:uid="{741F9BDB-E8D8-4808-8A68-24540DACF5A6}"/>
    <hyperlink ref="A23" r:id="rId2" xr:uid="{98A47E84-1464-4B28-A59C-A6A689280B55}"/>
    <hyperlink ref="A27" r:id="rId3" display="www.mortgagecalculator.org" xr:uid="{2A38B2DD-A047-4452-84B2-F659C749163C}"/>
    <hyperlink ref="A12" r:id="rId4" xr:uid="{99B1EE01-243C-47AC-A8AE-E529A2B13819}"/>
  </hyperlinks>
  <pageMargins left="0.7" right="0.7" top="0.75" bottom="0.75" header="0.3" footer="0.3"/>
  <drawing r:id="rId5"/>
  <legacyDrawing r:id="rId6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9A32-7CD8-4C16-8D54-E115BE4E5BF6}">
  <sheetPr codeName="Sheet197">
    <tabColor rgb="FFFF0000"/>
  </sheetPr>
  <dimension ref="A1:P47"/>
  <sheetViews>
    <sheetView topLeftCell="A3" workbookViewId="0">
      <selection activeCell="B7" sqref="B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162500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1364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94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138125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138125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6906.25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1906.25</v>
      </c>
      <c r="D19" s="66"/>
      <c r="E19" s="67"/>
      <c r="P19" s="21"/>
    </row>
    <row r="20" spans="1:16" x14ac:dyDescent="0.25">
      <c r="A20" s="7" t="s">
        <v>23</v>
      </c>
      <c r="B20" s="17">
        <f>B16-B17</f>
        <v>131218.75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1381.25</v>
      </c>
      <c r="D24" s="7" t="s">
        <v>77</v>
      </c>
      <c r="E24" s="17">
        <f>B16*0.01</f>
        <v>1381.25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968.57</v>
      </c>
      <c r="D27" s="7" t="s">
        <v>38</v>
      </c>
      <c r="E27" s="35">
        <f>B27</f>
        <v>968.57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1243.5700000000002</v>
      </c>
      <c r="D28" s="7" t="s">
        <v>41</v>
      </c>
      <c r="E28" s="17">
        <f>E27+I27+I36</f>
        <v>1243.5700000000002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-143.57000000000016</v>
      </c>
      <c r="D30" s="7" t="s">
        <v>43</v>
      </c>
      <c r="E30" s="44">
        <f>E23-E27-I27-I36+I26+I35</f>
        <v>-83.57000000000005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-0.90378491803278793</v>
      </c>
      <c r="D31" s="46" t="s">
        <v>44</v>
      </c>
      <c r="E31" s="47">
        <f>(E30*12)/B19</f>
        <v>-0.52608000000000033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55</v>
      </c>
    </row>
    <row r="34" spans="1:9" x14ac:dyDescent="0.25">
      <c r="A34" s="26" t="s">
        <v>49</v>
      </c>
      <c r="B34" s="8">
        <f>B16</f>
        <v>138125</v>
      </c>
      <c r="G34" s="27" t="s">
        <v>50</v>
      </c>
      <c r="H34" s="48">
        <v>0.05</v>
      </c>
      <c r="I34" s="49">
        <f>$B$23*H34</f>
        <v>55</v>
      </c>
    </row>
    <row r="35" spans="1:9" x14ac:dyDescent="0.25">
      <c r="A35" s="7" t="s">
        <v>51</v>
      </c>
      <c r="B35" s="17">
        <f>B34-B20</f>
        <v>6906.25</v>
      </c>
      <c r="G35" s="27" t="s">
        <v>52</v>
      </c>
      <c r="H35" s="48">
        <v>0.1</v>
      </c>
      <c r="I35" s="49">
        <f>$B$23*H35</f>
        <v>110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92.946614583333329</v>
      </c>
      <c r="D41" s="58"/>
      <c r="E41" s="61"/>
    </row>
    <row r="42" spans="1:9" x14ac:dyDescent="0.25">
      <c r="A42" s="7" t="s">
        <v>58</v>
      </c>
      <c r="B42" s="17">
        <f>B27-B41</f>
        <v>875.62338541666668</v>
      </c>
      <c r="D42" s="58"/>
      <c r="E42" s="61"/>
    </row>
    <row r="43" spans="1:9" x14ac:dyDescent="0.25">
      <c r="A43" s="7" t="s">
        <v>59</v>
      </c>
      <c r="B43" s="43">
        <f>B23-B42-I27-I36</f>
        <v>-50.623385416666679</v>
      </c>
      <c r="D43" s="58"/>
      <c r="E43" s="61"/>
    </row>
    <row r="44" spans="1:9" ht="15.75" thickBot="1" x14ac:dyDescent="0.3">
      <c r="A44" s="46" t="s">
        <v>44</v>
      </c>
      <c r="B44" s="47">
        <f>(B43*12)/B17</f>
        <v>-8.7960995475113143E-2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1105</v>
      </c>
    </row>
    <row r="47" spans="1:9" ht="15.75" thickBot="1" x14ac:dyDescent="0.3">
      <c r="A47" s="63" t="s">
        <v>251</v>
      </c>
      <c r="B47" s="65">
        <f>B16*0.02</f>
        <v>2762.5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469" priority="29" operator="equal">
      <formula>"NO"</formula>
    </cfRule>
    <cfRule type="cellIs" dxfId="1468" priority="30" operator="equal">
      <formula>"YES"</formula>
    </cfRule>
  </conditionalFormatting>
  <conditionalFormatting sqref="E40">
    <cfRule type="cellIs" dxfId="1467" priority="27" operator="equal">
      <formula>"YES"</formula>
    </cfRule>
    <cfRule type="cellIs" dxfId="1466" priority="28" operator="equal">
      <formula>"NO"</formula>
    </cfRule>
  </conditionalFormatting>
  <conditionalFormatting sqref="B25">
    <cfRule type="cellIs" dxfId="1465" priority="25" operator="equal">
      <formula>"NO"</formula>
    </cfRule>
    <cfRule type="cellIs" dxfId="1464" priority="26" operator="equal">
      <formula>"YES"</formula>
    </cfRule>
  </conditionalFormatting>
  <conditionalFormatting sqref="B12">
    <cfRule type="containsText" dxfId="1463" priority="11" operator="containsText" text="Low">
      <formula>NOT(ISERROR(SEARCH("Low",B12)))</formula>
    </cfRule>
    <cfRule type="containsText" dxfId="1462" priority="12" operator="containsText" text="Medium">
      <formula>NOT(ISERROR(SEARCH("Medium",B12)))</formula>
    </cfRule>
    <cfRule type="containsText" dxfId="1461" priority="13" operator="containsText" text="High">
      <formula>NOT(ISERROR(SEARCH("High",B12)))</formula>
    </cfRule>
  </conditionalFormatting>
  <conditionalFormatting sqref="B31">
    <cfRule type="cellIs" dxfId="1460" priority="21" operator="between">
      <formula>10%</formula>
      <formula>11.9%</formula>
    </cfRule>
    <cfRule type="cellIs" dxfId="1459" priority="23" operator="lessThan">
      <formula>0.1</formula>
    </cfRule>
    <cfRule type="cellIs" dxfId="1458" priority="24" operator="greaterThanOrEqual">
      <formula>0.12</formula>
    </cfRule>
  </conditionalFormatting>
  <conditionalFormatting sqref="B44">
    <cfRule type="cellIs" dxfId="1457" priority="19" operator="between">
      <formula>0.1</formula>
      <formula>0.1199</formula>
    </cfRule>
    <cfRule type="cellIs" dxfId="1456" priority="20" operator="lessThan">
      <formula>0.1</formula>
    </cfRule>
    <cfRule type="cellIs" dxfId="1455" priority="22" operator="greaterThanOrEqual">
      <formula>0.12</formula>
    </cfRule>
  </conditionalFormatting>
  <conditionalFormatting sqref="B10">
    <cfRule type="containsText" dxfId="1454" priority="14" operator="containsText" text="Full">
      <formula>NOT(ISERROR(SEARCH("Full",B10)))</formula>
    </cfRule>
    <cfRule type="containsText" dxfId="1453" priority="15" operator="containsText" text="Heavy">
      <formula>NOT(ISERROR(SEARCH("Heavy",B10)))</formula>
    </cfRule>
    <cfRule type="containsText" dxfId="1452" priority="16" operator="containsText" text="Medium">
      <formula>NOT(ISERROR(SEARCH("Medium",B10)))</formula>
    </cfRule>
    <cfRule type="containsText" dxfId="1451" priority="17" operator="containsText" text="Light">
      <formula>NOT(ISERROR(SEARCH("Light",B10)))</formula>
    </cfRule>
    <cfRule type="containsText" dxfId="1450" priority="18" operator="containsText" text="None">
      <formula>NOT(ISERROR(SEARCH("None",B10)))</formula>
    </cfRule>
  </conditionalFormatting>
  <conditionalFormatting sqref="B30">
    <cfRule type="cellIs" dxfId="1449" priority="31" operator="lessThan">
      <formula>$B$8*100</formula>
    </cfRule>
    <cfRule type="cellIs" dxfId="1448" priority="32" operator="greaterThanOrEqual">
      <formula>$B$8*100</formula>
    </cfRule>
  </conditionalFormatting>
  <conditionalFormatting sqref="B43">
    <cfRule type="cellIs" dxfId="1447" priority="33" operator="lessThan">
      <formula>$B$8*100</formula>
    </cfRule>
    <cfRule type="cellIs" dxfId="1446" priority="34" operator="greaterThan">
      <formula>$B$8*100</formula>
    </cfRule>
    <cfRule type="cellIs" dxfId="1445" priority="35" operator="greaterThan">
      <formula>$B$8*100</formula>
    </cfRule>
  </conditionalFormatting>
  <conditionalFormatting sqref="B40">
    <cfRule type="cellIs" dxfId="1444" priority="9" operator="equal">
      <formula>"YES"</formula>
    </cfRule>
    <cfRule type="cellIs" dxfId="1443" priority="10" operator="equal">
      <formula>"NO"</formula>
    </cfRule>
  </conditionalFormatting>
  <conditionalFormatting sqref="E25:E28">
    <cfRule type="cellIs" dxfId="1442" priority="5" operator="equal">
      <formula>"NO"</formula>
    </cfRule>
    <cfRule type="cellIs" dxfId="1441" priority="6" operator="equal">
      <formula>"YES"</formula>
    </cfRule>
  </conditionalFormatting>
  <conditionalFormatting sqref="E31">
    <cfRule type="cellIs" dxfId="1440" priority="2" operator="between">
      <formula>10%</formula>
      <formula>12%</formula>
    </cfRule>
    <cfRule type="cellIs" dxfId="1439" priority="3" operator="lessThan">
      <formula>0.1</formula>
    </cfRule>
    <cfRule type="cellIs" dxfId="1438" priority="4" operator="greaterThan">
      <formula>0.12</formula>
    </cfRule>
  </conditionalFormatting>
  <conditionalFormatting sqref="E30">
    <cfRule type="cellIs" dxfId="1437" priority="7" operator="lessThan">
      <formula>$B$8*100</formula>
    </cfRule>
    <cfRule type="cellIs" dxfId="1436" priority="8" operator="greaterThan">
      <formula>$B$8*100</formula>
    </cfRule>
  </conditionalFormatting>
  <conditionalFormatting sqref="B46:B47">
    <cfRule type="cellIs" dxfId="1435" priority="1" operator="greaterThan">
      <formula>0</formula>
    </cfRule>
  </conditionalFormatting>
  <hyperlinks>
    <hyperlink ref="A34" r:id="rId1" display="https://www.zillow.com/homes/recently_sold/" xr:uid="{1791159F-7421-4012-B412-8904A947A711}"/>
    <hyperlink ref="A23" r:id="rId2" xr:uid="{9AAEE7E5-992D-44AF-9A2D-678DC64498B6}"/>
    <hyperlink ref="A27" r:id="rId3" display="www.mortgagecalculator.org" xr:uid="{E2C1F623-A4F7-457F-B268-30D9E7FC3AA0}"/>
    <hyperlink ref="A12" r:id="rId4" xr:uid="{C093ECE6-F517-46C0-AFF4-C71B5FDE12A1}"/>
  </hyperlinks>
  <pageMargins left="0.7" right="0.7" top="0.75" bottom="0.75" header="0.3" footer="0.3"/>
  <drawing r:id="rId5"/>
  <legacyDrawing r:id="rId6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8911-1103-40A8-9977-C4E8C8BC19ED}">
  <sheetPr codeName="Sheet198">
    <tabColor rgb="FFFF0000"/>
  </sheetPr>
  <dimension ref="A1:P47"/>
  <sheetViews>
    <sheetView topLeftCell="A9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169900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1882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144415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144415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7220.75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2220.75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137194.25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1157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1444.15</v>
      </c>
      <c r="D24" s="7" t="s">
        <v>77</v>
      </c>
      <c r="E24" s="17">
        <f>B16*0.01</f>
        <v>1444.15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1055.83</v>
      </c>
      <c r="D27" s="7" t="s">
        <v>38</v>
      </c>
      <c r="E27" s="35">
        <f>B27</f>
        <v>1055.83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1345.08</v>
      </c>
      <c r="D28" s="7" t="s">
        <v>41</v>
      </c>
      <c r="E28" s="17">
        <f>E27+I27+I36</f>
        <v>1345.08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-188.07999999999993</v>
      </c>
      <c r="D30" s="7" t="s">
        <v>43</v>
      </c>
      <c r="E30" s="44">
        <f>E23-E27-I27-I36+I26+I35</f>
        <v>-179.37999999999994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-1.0163053022627486</v>
      </c>
      <c r="D31" s="46" t="s">
        <v>44</v>
      </c>
      <c r="E31" s="47">
        <f>(E30*12)/B19</f>
        <v>-0.9692941573792635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57.85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57.85</v>
      </c>
    </row>
    <row r="34" spans="1:9" x14ac:dyDescent="0.25">
      <c r="A34" s="26" t="s">
        <v>49</v>
      </c>
      <c r="B34" s="8">
        <f>B16</f>
        <v>144415</v>
      </c>
      <c r="G34" s="27" t="s">
        <v>50</v>
      </c>
      <c r="H34" s="48">
        <v>0.05</v>
      </c>
      <c r="I34" s="49">
        <f>$B$23*H34</f>
        <v>57.85</v>
      </c>
    </row>
    <row r="35" spans="1:9" x14ac:dyDescent="0.25">
      <c r="A35" s="7" t="s">
        <v>51</v>
      </c>
      <c r="B35" s="17">
        <f>B34-B20</f>
        <v>7220.75</v>
      </c>
      <c r="G35" s="27" t="s">
        <v>52</v>
      </c>
      <c r="H35" s="48">
        <v>0.1</v>
      </c>
      <c r="I35" s="49">
        <f>$B$23*H35</f>
        <v>115.7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289.25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97.179260416666679</v>
      </c>
      <c r="D41" s="58"/>
      <c r="E41" s="61"/>
    </row>
    <row r="42" spans="1:9" x14ac:dyDescent="0.25">
      <c r="A42" s="7" t="s">
        <v>58</v>
      </c>
      <c r="B42" s="17">
        <f>B27-B41</f>
        <v>958.65073958333323</v>
      </c>
      <c r="D42" s="58"/>
      <c r="E42" s="61"/>
    </row>
    <row r="43" spans="1:9" x14ac:dyDescent="0.25">
      <c r="A43" s="7" t="s">
        <v>59</v>
      </c>
      <c r="B43" s="43">
        <f>B23-B42-I27-I36</f>
        <v>-90.900739583333234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-0.15106586919641296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1155.32</v>
      </c>
    </row>
    <row r="47" spans="1:9" ht="15.75" thickBot="1" x14ac:dyDescent="0.3">
      <c r="A47" s="63" t="s">
        <v>251</v>
      </c>
      <c r="B47" s="65">
        <f>B16*0.02</f>
        <v>2888.3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434" priority="29" operator="equal">
      <formula>"NO"</formula>
    </cfRule>
    <cfRule type="cellIs" dxfId="1433" priority="30" operator="equal">
      <formula>"YES"</formula>
    </cfRule>
  </conditionalFormatting>
  <conditionalFormatting sqref="E40">
    <cfRule type="cellIs" dxfId="1432" priority="27" operator="equal">
      <formula>"YES"</formula>
    </cfRule>
    <cfRule type="cellIs" dxfId="1431" priority="28" operator="equal">
      <formula>"NO"</formula>
    </cfRule>
  </conditionalFormatting>
  <conditionalFormatting sqref="B25">
    <cfRule type="cellIs" dxfId="1430" priority="25" operator="equal">
      <formula>"NO"</formula>
    </cfRule>
    <cfRule type="cellIs" dxfId="1429" priority="26" operator="equal">
      <formula>"YES"</formula>
    </cfRule>
  </conditionalFormatting>
  <conditionalFormatting sqref="B12">
    <cfRule type="containsText" dxfId="1428" priority="11" operator="containsText" text="Low">
      <formula>NOT(ISERROR(SEARCH("Low",B12)))</formula>
    </cfRule>
    <cfRule type="containsText" dxfId="1427" priority="12" operator="containsText" text="Medium">
      <formula>NOT(ISERROR(SEARCH("Medium",B12)))</formula>
    </cfRule>
    <cfRule type="containsText" dxfId="1426" priority="13" operator="containsText" text="High">
      <formula>NOT(ISERROR(SEARCH("High",B12)))</formula>
    </cfRule>
  </conditionalFormatting>
  <conditionalFormatting sqref="B31">
    <cfRule type="cellIs" dxfId="1425" priority="21" operator="between">
      <formula>10%</formula>
      <formula>11.9%</formula>
    </cfRule>
    <cfRule type="cellIs" dxfId="1424" priority="23" operator="lessThan">
      <formula>0.1</formula>
    </cfRule>
    <cfRule type="cellIs" dxfId="1423" priority="24" operator="greaterThanOrEqual">
      <formula>0.12</formula>
    </cfRule>
  </conditionalFormatting>
  <conditionalFormatting sqref="B44">
    <cfRule type="cellIs" dxfId="1422" priority="19" operator="between">
      <formula>0.1</formula>
      <formula>0.1199</formula>
    </cfRule>
    <cfRule type="cellIs" dxfId="1421" priority="20" operator="lessThan">
      <formula>0.1</formula>
    </cfRule>
    <cfRule type="cellIs" dxfId="1420" priority="22" operator="greaterThanOrEqual">
      <formula>0.12</formula>
    </cfRule>
  </conditionalFormatting>
  <conditionalFormatting sqref="B10">
    <cfRule type="containsText" dxfId="1419" priority="14" operator="containsText" text="Full">
      <formula>NOT(ISERROR(SEARCH("Full",B10)))</formula>
    </cfRule>
    <cfRule type="containsText" dxfId="1418" priority="15" operator="containsText" text="Heavy">
      <formula>NOT(ISERROR(SEARCH("Heavy",B10)))</formula>
    </cfRule>
    <cfRule type="containsText" dxfId="1417" priority="16" operator="containsText" text="Medium">
      <formula>NOT(ISERROR(SEARCH("Medium",B10)))</formula>
    </cfRule>
    <cfRule type="containsText" dxfId="1416" priority="17" operator="containsText" text="Light">
      <formula>NOT(ISERROR(SEARCH("Light",B10)))</formula>
    </cfRule>
    <cfRule type="containsText" dxfId="1415" priority="18" operator="containsText" text="None">
      <formula>NOT(ISERROR(SEARCH("None",B10)))</formula>
    </cfRule>
  </conditionalFormatting>
  <conditionalFormatting sqref="B30">
    <cfRule type="cellIs" dxfId="1414" priority="31" operator="lessThan">
      <formula>$B$8*100</formula>
    </cfRule>
    <cfRule type="cellIs" dxfId="1413" priority="32" operator="greaterThanOrEqual">
      <formula>$B$8*100</formula>
    </cfRule>
  </conditionalFormatting>
  <conditionalFormatting sqref="B43">
    <cfRule type="cellIs" dxfId="1412" priority="33" operator="lessThan">
      <formula>$B$8*100</formula>
    </cfRule>
    <cfRule type="cellIs" dxfId="1411" priority="34" operator="greaterThan">
      <formula>$B$8*100</formula>
    </cfRule>
    <cfRule type="cellIs" dxfId="1410" priority="35" operator="greaterThan">
      <formula>$B$8*100</formula>
    </cfRule>
  </conditionalFormatting>
  <conditionalFormatting sqref="B40">
    <cfRule type="cellIs" dxfId="1409" priority="9" operator="equal">
      <formula>"YES"</formula>
    </cfRule>
    <cfRule type="cellIs" dxfId="1408" priority="10" operator="equal">
      <formula>"NO"</formula>
    </cfRule>
  </conditionalFormatting>
  <conditionalFormatting sqref="E25:E28">
    <cfRule type="cellIs" dxfId="1407" priority="5" operator="equal">
      <formula>"NO"</formula>
    </cfRule>
    <cfRule type="cellIs" dxfId="1406" priority="6" operator="equal">
      <formula>"YES"</formula>
    </cfRule>
  </conditionalFormatting>
  <conditionalFormatting sqref="E31">
    <cfRule type="cellIs" dxfId="1405" priority="2" operator="between">
      <formula>10%</formula>
      <formula>12%</formula>
    </cfRule>
    <cfRule type="cellIs" dxfId="1404" priority="3" operator="lessThan">
      <formula>0.1</formula>
    </cfRule>
    <cfRule type="cellIs" dxfId="1403" priority="4" operator="greaterThan">
      <formula>0.12</formula>
    </cfRule>
  </conditionalFormatting>
  <conditionalFormatting sqref="E30">
    <cfRule type="cellIs" dxfId="1402" priority="7" operator="lessThan">
      <formula>$B$8*100</formula>
    </cfRule>
    <cfRule type="cellIs" dxfId="1401" priority="8" operator="greaterThan">
      <formula>$B$8*100</formula>
    </cfRule>
  </conditionalFormatting>
  <conditionalFormatting sqref="B46:B47">
    <cfRule type="cellIs" dxfId="1400" priority="1" operator="greaterThan">
      <formula>0</formula>
    </cfRule>
  </conditionalFormatting>
  <hyperlinks>
    <hyperlink ref="A34" r:id="rId1" display="https://www.zillow.com/homes/recently_sold/" xr:uid="{6DE7B3BE-0762-4CCE-8C9B-C63C1CD0568A}"/>
    <hyperlink ref="A23" r:id="rId2" xr:uid="{5FFB9823-77E9-4039-867B-345FE9919035}"/>
    <hyperlink ref="A27" r:id="rId3" display="www.mortgagecalculator.org" xr:uid="{528C1F2F-6C1F-4520-9F10-7CA1A8A5C509}"/>
    <hyperlink ref="A12" r:id="rId4" xr:uid="{F03B8C85-3A93-4773-BB94-535F0D31618A}"/>
  </hyperlinks>
  <pageMargins left="0.7" right="0.7" top="0.75" bottom="0.75" header="0.3" footer="0.3"/>
  <drawing r:id="rId5"/>
  <legacyDrawing r:id="rId6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76E4-9074-46E0-9D64-683591562EB0}">
  <sheetPr codeName="Sheet199">
    <tabColor rgb="FFFF0000"/>
  </sheetPr>
  <dimension ref="A1:P47"/>
  <sheetViews>
    <sheetView workbookViewId="0">
      <selection activeCell="B10" sqref="B1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126650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v>10000</v>
      </c>
      <c r="D15" s="2"/>
      <c r="E15" s="3"/>
    </row>
    <row r="16" spans="1:10" x14ac:dyDescent="0.25">
      <c r="A16" s="7" t="s">
        <v>20</v>
      </c>
      <c r="B16" s="17">
        <f>B15+B13</f>
        <v>136650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6832.5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1832.5</v>
      </c>
      <c r="D19" s="66"/>
      <c r="E19" s="67"/>
      <c r="P19" s="21"/>
    </row>
    <row r="20" spans="1:16" x14ac:dyDescent="0.25">
      <c r="A20" s="7" t="s">
        <v>23</v>
      </c>
      <c r="B20" s="17">
        <f>B16-B17</f>
        <v>129817.5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1366.5</v>
      </c>
      <c r="D24" s="7" t="s">
        <v>77</v>
      </c>
      <c r="E24" s="17">
        <f>B16*0.01</f>
        <v>1366.5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1089</v>
      </c>
      <c r="D27" s="7" t="s">
        <v>38</v>
      </c>
      <c r="E27" s="35">
        <f>B27</f>
        <v>1089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1414</v>
      </c>
      <c r="D28" s="7" t="s">
        <v>41</v>
      </c>
      <c r="E28" s="17">
        <f>E27+I27+I36</f>
        <v>1414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-114</v>
      </c>
      <c r="D30" s="7" t="s">
        <v>43</v>
      </c>
      <c r="E30" s="44">
        <f>E23-E27-I27-I36+I26+I35</f>
        <v>-234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-0.74652114597544339</v>
      </c>
      <c r="D31" s="46" t="s">
        <v>44</v>
      </c>
      <c r="E31" s="47">
        <f>(E30*12)/B19</f>
        <v>-1.5323328785811732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65</v>
      </c>
    </row>
    <row r="34" spans="1:9" x14ac:dyDescent="0.25">
      <c r="A34" s="26" t="s">
        <v>49</v>
      </c>
      <c r="B34" s="8">
        <f>B16</f>
        <v>136650</v>
      </c>
      <c r="G34" s="27" t="s">
        <v>50</v>
      </c>
      <c r="H34" s="48">
        <v>0.05</v>
      </c>
      <c r="I34" s="49">
        <f>$B$23*H34</f>
        <v>65</v>
      </c>
    </row>
    <row r="35" spans="1:9" x14ac:dyDescent="0.25">
      <c r="A35" s="7" t="s">
        <v>51</v>
      </c>
      <c r="B35" s="17">
        <f>B34-B20</f>
        <v>6832.5</v>
      </c>
      <c r="G35" s="27" t="s">
        <v>52</v>
      </c>
      <c r="H35" s="48">
        <v>0.1</v>
      </c>
      <c r="I35" s="49">
        <f>$B$23*H35</f>
        <v>130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91.954062500000006</v>
      </c>
      <c r="D41" s="58"/>
      <c r="E41" s="61"/>
    </row>
    <row r="42" spans="1:9" x14ac:dyDescent="0.25">
      <c r="A42" s="7" t="s">
        <v>58</v>
      </c>
      <c r="B42" s="17">
        <f>B27-B41</f>
        <v>997.04593750000004</v>
      </c>
      <c r="D42" s="58"/>
      <c r="E42" s="61"/>
    </row>
    <row r="43" spans="1:9" x14ac:dyDescent="0.25">
      <c r="A43" s="7" t="s">
        <v>59</v>
      </c>
      <c r="B43" s="43">
        <f>B23-B42-I27-I36</f>
        <v>-22.045937500000036</v>
      </c>
      <c r="D43" s="58"/>
      <c r="E43" s="61"/>
    </row>
    <row r="44" spans="1:9" ht="15.75" thickBot="1" x14ac:dyDescent="0.3">
      <c r="A44" s="46" t="s">
        <v>44</v>
      </c>
      <c r="B44" s="47">
        <f>(B43*12)/B17</f>
        <v>-3.8719538968166912E-2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1093.2</v>
      </c>
    </row>
    <row r="47" spans="1:9" ht="15.75" thickBot="1" x14ac:dyDescent="0.3">
      <c r="A47" s="63" t="s">
        <v>251</v>
      </c>
      <c r="B47" s="65">
        <f>B16*0.02</f>
        <v>2733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399" priority="29" operator="equal">
      <formula>"NO"</formula>
    </cfRule>
    <cfRule type="cellIs" dxfId="1398" priority="30" operator="equal">
      <formula>"YES"</formula>
    </cfRule>
  </conditionalFormatting>
  <conditionalFormatting sqref="E40">
    <cfRule type="cellIs" dxfId="1397" priority="27" operator="equal">
      <formula>"YES"</formula>
    </cfRule>
    <cfRule type="cellIs" dxfId="1396" priority="28" operator="equal">
      <formula>"NO"</formula>
    </cfRule>
  </conditionalFormatting>
  <conditionalFormatting sqref="B25">
    <cfRule type="cellIs" dxfId="1395" priority="25" operator="equal">
      <formula>"NO"</formula>
    </cfRule>
    <cfRule type="cellIs" dxfId="1394" priority="26" operator="equal">
      <formula>"YES"</formula>
    </cfRule>
  </conditionalFormatting>
  <conditionalFormatting sqref="B12">
    <cfRule type="containsText" dxfId="1393" priority="11" operator="containsText" text="Low">
      <formula>NOT(ISERROR(SEARCH("Low",B12)))</formula>
    </cfRule>
    <cfRule type="containsText" dxfId="1392" priority="12" operator="containsText" text="Medium">
      <formula>NOT(ISERROR(SEARCH("Medium",B12)))</formula>
    </cfRule>
    <cfRule type="containsText" dxfId="1391" priority="13" operator="containsText" text="High">
      <formula>NOT(ISERROR(SEARCH("High",B12)))</formula>
    </cfRule>
  </conditionalFormatting>
  <conditionalFormatting sqref="B31">
    <cfRule type="cellIs" dxfId="1390" priority="21" operator="between">
      <formula>10%</formula>
      <formula>11.9%</formula>
    </cfRule>
    <cfRule type="cellIs" dxfId="1389" priority="23" operator="lessThan">
      <formula>0.1</formula>
    </cfRule>
    <cfRule type="cellIs" dxfId="1388" priority="24" operator="greaterThanOrEqual">
      <formula>0.12</formula>
    </cfRule>
  </conditionalFormatting>
  <conditionalFormatting sqref="B44">
    <cfRule type="cellIs" dxfId="1387" priority="19" operator="between">
      <formula>0.1</formula>
      <formula>0.1199</formula>
    </cfRule>
    <cfRule type="cellIs" dxfId="1386" priority="20" operator="lessThan">
      <formula>0.1</formula>
    </cfRule>
    <cfRule type="cellIs" dxfId="1385" priority="22" operator="greaterThanOrEqual">
      <formula>0.12</formula>
    </cfRule>
  </conditionalFormatting>
  <conditionalFormatting sqref="B10">
    <cfRule type="containsText" dxfId="1384" priority="14" operator="containsText" text="Full">
      <formula>NOT(ISERROR(SEARCH("Full",B10)))</formula>
    </cfRule>
    <cfRule type="containsText" dxfId="1383" priority="15" operator="containsText" text="Heavy">
      <formula>NOT(ISERROR(SEARCH("Heavy",B10)))</formula>
    </cfRule>
    <cfRule type="containsText" dxfId="1382" priority="16" operator="containsText" text="Medium">
      <formula>NOT(ISERROR(SEARCH("Medium",B10)))</formula>
    </cfRule>
    <cfRule type="containsText" dxfId="1381" priority="17" operator="containsText" text="Light">
      <formula>NOT(ISERROR(SEARCH("Light",B10)))</formula>
    </cfRule>
    <cfRule type="containsText" dxfId="1380" priority="18" operator="containsText" text="None">
      <formula>NOT(ISERROR(SEARCH("None",B10)))</formula>
    </cfRule>
  </conditionalFormatting>
  <conditionalFormatting sqref="B30">
    <cfRule type="cellIs" dxfId="1379" priority="31" operator="lessThan">
      <formula>$B$8*100</formula>
    </cfRule>
    <cfRule type="cellIs" dxfId="1378" priority="32" operator="greaterThanOrEqual">
      <formula>$B$8*100</formula>
    </cfRule>
  </conditionalFormatting>
  <conditionalFormatting sqref="B43">
    <cfRule type="cellIs" dxfId="1377" priority="33" operator="lessThan">
      <formula>$B$8*100</formula>
    </cfRule>
    <cfRule type="cellIs" dxfId="1376" priority="34" operator="greaterThan">
      <formula>$B$8*100</formula>
    </cfRule>
    <cfRule type="cellIs" dxfId="1375" priority="35" operator="greaterThan">
      <formula>$B$8*100</formula>
    </cfRule>
  </conditionalFormatting>
  <conditionalFormatting sqref="B40">
    <cfRule type="cellIs" dxfId="1374" priority="9" operator="equal">
      <formula>"YES"</formula>
    </cfRule>
    <cfRule type="cellIs" dxfId="1373" priority="10" operator="equal">
      <formula>"NO"</formula>
    </cfRule>
  </conditionalFormatting>
  <conditionalFormatting sqref="E25:E28">
    <cfRule type="cellIs" dxfId="1372" priority="5" operator="equal">
      <formula>"NO"</formula>
    </cfRule>
    <cfRule type="cellIs" dxfId="1371" priority="6" operator="equal">
      <formula>"YES"</formula>
    </cfRule>
  </conditionalFormatting>
  <conditionalFormatting sqref="E31">
    <cfRule type="cellIs" dxfId="1370" priority="2" operator="between">
      <formula>10%</formula>
      <formula>12%</formula>
    </cfRule>
    <cfRule type="cellIs" dxfId="1369" priority="3" operator="lessThan">
      <formula>0.1</formula>
    </cfRule>
    <cfRule type="cellIs" dxfId="1368" priority="4" operator="greaterThan">
      <formula>0.12</formula>
    </cfRule>
  </conditionalFormatting>
  <conditionalFormatting sqref="E30">
    <cfRule type="cellIs" dxfId="1367" priority="7" operator="lessThan">
      <formula>$B$8*100</formula>
    </cfRule>
    <cfRule type="cellIs" dxfId="1366" priority="8" operator="greaterThan">
      <formula>$B$8*100</formula>
    </cfRule>
  </conditionalFormatting>
  <conditionalFormatting sqref="B46:B47">
    <cfRule type="cellIs" dxfId="1365" priority="1" operator="greaterThan">
      <formula>0</formula>
    </cfRule>
  </conditionalFormatting>
  <hyperlinks>
    <hyperlink ref="A34" r:id="rId1" display="https://www.zillow.com/homes/recently_sold/" xr:uid="{75AD50D6-4047-4B6A-87F1-7B04277C3CFF}"/>
    <hyperlink ref="A23" r:id="rId2" xr:uid="{3BDDD93F-C575-4A19-BAAE-875663599598}"/>
    <hyperlink ref="A27" r:id="rId3" display="www.mortgagecalculator.org" xr:uid="{6477D196-0E77-4A1D-A3E0-68525888EEC6}"/>
    <hyperlink ref="A12" r:id="rId4" xr:uid="{0D94D1EB-97F2-47D9-91D5-B5DF12FF4261}"/>
  </hyperlinks>
  <pageMargins left="0.7" right="0.7" top="0.75" bottom="0.75" header="0.3" footer="0.3"/>
  <drawing r:id="rId5"/>
  <legacyDrawing r:id="rId6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2AB6B-5550-4367-AB7A-2FE58878B9A0}">
  <sheetPr codeName="Sheet200">
    <tabColor rgb="FF92D050"/>
  </sheetPr>
  <dimension ref="A1:P47"/>
  <sheetViews>
    <sheetView topLeftCell="A12" workbookViewId="0">
      <selection activeCell="B23" sqref="B2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67760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67760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21660</v>
      </c>
      <c r="D15" s="2"/>
      <c r="E15" s="3"/>
    </row>
    <row r="16" spans="1:10" x14ac:dyDescent="0.25">
      <c r="A16" s="7" t="s">
        <v>20</v>
      </c>
      <c r="B16" s="17">
        <f>B15+B13</f>
        <v>89420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3129.7000000000003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-1870.2999999999993</v>
      </c>
      <c r="D19" s="66"/>
      <c r="E19" s="67"/>
      <c r="P19" s="21"/>
    </row>
    <row r="20" spans="1:16" x14ac:dyDescent="0.25">
      <c r="A20" s="7" t="s">
        <v>23</v>
      </c>
      <c r="B20" s="17">
        <f>B16-B17</f>
        <v>86290.3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1175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894.2</v>
      </c>
      <c r="D24" s="7" t="s">
        <v>77</v>
      </c>
      <c r="E24" s="17">
        <f>B16*0.01</f>
        <v>894.2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789.75</v>
      </c>
      <c r="D27" s="7" t="s">
        <v>38</v>
      </c>
      <c r="E27" s="35">
        <f>B27</f>
        <v>789.75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1083.5</v>
      </c>
      <c r="D28" s="7" t="s">
        <v>41</v>
      </c>
      <c r="E28" s="17">
        <f>E27+I27+I36</f>
        <v>1083.5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91.5</v>
      </c>
      <c r="D30" s="7" t="s">
        <v>43</v>
      </c>
      <c r="E30" s="44">
        <f>E23-E27-I27-I36+I26+I35</f>
        <v>84</v>
      </c>
      <c r="G30" s="28"/>
      <c r="H30" s="28"/>
      <c r="I30" s="28"/>
    </row>
    <row r="31" spans="1:16" ht="16.5" thickBot="1" x14ac:dyDescent="0.3">
      <c r="A31" s="7" t="s">
        <v>44</v>
      </c>
      <c r="B31" s="68" t="s">
        <v>298</v>
      </c>
      <c r="D31" s="46" t="s">
        <v>44</v>
      </c>
      <c r="E31" s="47">
        <f>(E30*12)/B19</f>
        <v>-0.53895097043255114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58.75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58.75</v>
      </c>
    </row>
    <row r="34" spans="1:9" x14ac:dyDescent="0.25">
      <c r="A34" s="26" t="s">
        <v>49</v>
      </c>
      <c r="B34" s="8">
        <f>B16</f>
        <v>89420</v>
      </c>
      <c r="G34" s="27" t="s">
        <v>50</v>
      </c>
      <c r="H34" s="48">
        <v>0.05</v>
      </c>
      <c r="I34" s="49">
        <f>$B$23*H34</f>
        <v>58.75</v>
      </c>
    </row>
    <row r="35" spans="1:9" x14ac:dyDescent="0.25">
      <c r="A35" s="7" t="s">
        <v>51</v>
      </c>
      <c r="B35" s="17">
        <f>B34-B20</f>
        <v>3129.6999999999971</v>
      </c>
      <c r="G35" s="27" t="s">
        <v>52</v>
      </c>
      <c r="H35" s="48">
        <v>0.1</v>
      </c>
      <c r="I35" s="49">
        <f>$B$23*H35</f>
        <v>117.5</v>
      </c>
    </row>
    <row r="36" spans="1:9" ht="15.75" thickBot="1" x14ac:dyDescent="0.3">
      <c r="A36" s="7" t="s">
        <v>53</v>
      </c>
      <c r="B36" s="50">
        <f>B35/B17</f>
        <v>0.999999999999999</v>
      </c>
      <c r="G36" s="36" t="s">
        <v>39</v>
      </c>
      <c r="H36" s="37"/>
      <c r="I36" s="51">
        <f>SUM(I32:I35)</f>
        <v>293.75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61.122295833333339</v>
      </c>
      <c r="D41" s="58"/>
      <c r="E41" s="61"/>
    </row>
    <row r="42" spans="1:9" x14ac:dyDescent="0.25">
      <c r="A42" s="7" t="s">
        <v>58</v>
      </c>
      <c r="B42" s="17">
        <f>B27-B41</f>
        <v>728.62770416666672</v>
      </c>
      <c r="D42" s="58"/>
      <c r="E42" s="61"/>
    </row>
    <row r="43" spans="1:9" x14ac:dyDescent="0.25">
      <c r="A43" s="7" t="s">
        <v>59</v>
      </c>
      <c r="B43" s="43">
        <f>B23-B42-I27-I36</f>
        <v>152.62229583333328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0.58518949100552742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715.36</v>
      </c>
    </row>
    <row r="47" spans="1:9" ht="15.75" thickBot="1" x14ac:dyDescent="0.3">
      <c r="A47" s="63" t="s">
        <v>251</v>
      </c>
      <c r="B47" s="65">
        <f>B16*0.02</f>
        <v>1788.4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364" priority="29" operator="equal">
      <formula>"NO"</formula>
    </cfRule>
    <cfRule type="cellIs" dxfId="1363" priority="30" operator="equal">
      <formula>"YES"</formula>
    </cfRule>
  </conditionalFormatting>
  <conditionalFormatting sqref="E40">
    <cfRule type="cellIs" dxfId="1362" priority="27" operator="equal">
      <formula>"YES"</formula>
    </cfRule>
    <cfRule type="cellIs" dxfId="1361" priority="28" operator="equal">
      <formula>"NO"</formula>
    </cfRule>
  </conditionalFormatting>
  <conditionalFormatting sqref="B25">
    <cfRule type="cellIs" dxfId="1360" priority="25" operator="equal">
      <formula>"NO"</formula>
    </cfRule>
    <cfRule type="cellIs" dxfId="1359" priority="26" operator="equal">
      <formula>"YES"</formula>
    </cfRule>
  </conditionalFormatting>
  <conditionalFormatting sqref="B12">
    <cfRule type="containsText" dxfId="1358" priority="11" operator="containsText" text="Low">
      <formula>NOT(ISERROR(SEARCH("Low",B12)))</formula>
    </cfRule>
    <cfRule type="containsText" dxfId="1357" priority="12" operator="containsText" text="Medium">
      <formula>NOT(ISERROR(SEARCH("Medium",B12)))</formula>
    </cfRule>
    <cfRule type="containsText" dxfId="1356" priority="13" operator="containsText" text="High">
      <formula>NOT(ISERROR(SEARCH("High",B12)))</formula>
    </cfRule>
  </conditionalFormatting>
  <conditionalFormatting sqref="B31">
    <cfRule type="cellIs" dxfId="1355" priority="21" operator="between">
      <formula>10%</formula>
      <formula>11.9%</formula>
    </cfRule>
    <cfRule type="cellIs" dxfId="1354" priority="23" operator="lessThan">
      <formula>0.1</formula>
    </cfRule>
    <cfRule type="cellIs" dxfId="1353" priority="24" operator="greaterThanOrEqual">
      <formula>0.12</formula>
    </cfRule>
  </conditionalFormatting>
  <conditionalFormatting sqref="B44">
    <cfRule type="cellIs" dxfId="1352" priority="19" operator="between">
      <formula>0.1</formula>
      <formula>0.1199</formula>
    </cfRule>
    <cfRule type="cellIs" dxfId="1351" priority="20" operator="lessThan">
      <formula>0.1</formula>
    </cfRule>
    <cfRule type="cellIs" dxfId="1350" priority="22" operator="greaterThanOrEqual">
      <formula>0.12</formula>
    </cfRule>
  </conditionalFormatting>
  <conditionalFormatting sqref="B10">
    <cfRule type="containsText" dxfId="1349" priority="14" operator="containsText" text="Full">
      <formula>NOT(ISERROR(SEARCH("Full",B10)))</formula>
    </cfRule>
    <cfRule type="containsText" dxfId="1348" priority="15" operator="containsText" text="Heavy">
      <formula>NOT(ISERROR(SEARCH("Heavy",B10)))</formula>
    </cfRule>
    <cfRule type="containsText" dxfId="1347" priority="16" operator="containsText" text="Medium">
      <formula>NOT(ISERROR(SEARCH("Medium",B10)))</formula>
    </cfRule>
    <cfRule type="containsText" dxfId="1346" priority="17" operator="containsText" text="Light">
      <formula>NOT(ISERROR(SEARCH("Light",B10)))</formula>
    </cfRule>
    <cfRule type="containsText" dxfId="1345" priority="18" operator="containsText" text="None">
      <formula>NOT(ISERROR(SEARCH("None",B10)))</formula>
    </cfRule>
  </conditionalFormatting>
  <conditionalFormatting sqref="B30">
    <cfRule type="cellIs" dxfId="1344" priority="31" operator="lessThan">
      <formula>$B$8*100</formula>
    </cfRule>
    <cfRule type="cellIs" dxfId="1343" priority="32" operator="greaterThanOrEqual">
      <formula>$B$8*100</formula>
    </cfRule>
  </conditionalFormatting>
  <conditionalFormatting sqref="B43">
    <cfRule type="cellIs" dxfId="1342" priority="33" operator="lessThan">
      <formula>$B$8*100</formula>
    </cfRule>
    <cfRule type="cellIs" dxfId="1341" priority="34" operator="greaterThan">
      <formula>$B$8*100</formula>
    </cfRule>
    <cfRule type="cellIs" dxfId="1340" priority="35" operator="greaterThan">
      <formula>$B$8*100</formula>
    </cfRule>
  </conditionalFormatting>
  <conditionalFormatting sqref="B40">
    <cfRule type="cellIs" dxfId="1339" priority="9" operator="equal">
      <formula>"YES"</formula>
    </cfRule>
    <cfRule type="cellIs" dxfId="1338" priority="10" operator="equal">
      <formula>"NO"</formula>
    </cfRule>
  </conditionalFormatting>
  <conditionalFormatting sqref="E25:E28">
    <cfRule type="cellIs" dxfId="1337" priority="5" operator="equal">
      <formula>"NO"</formula>
    </cfRule>
    <cfRule type="cellIs" dxfId="1336" priority="6" operator="equal">
      <formula>"YES"</formula>
    </cfRule>
  </conditionalFormatting>
  <conditionalFormatting sqref="E31">
    <cfRule type="cellIs" dxfId="1335" priority="2" operator="between">
      <formula>10%</formula>
      <formula>12%</formula>
    </cfRule>
    <cfRule type="cellIs" dxfId="1334" priority="3" operator="lessThan">
      <formula>0.1</formula>
    </cfRule>
    <cfRule type="cellIs" dxfId="1333" priority="4" operator="greaterThan">
      <formula>0.12</formula>
    </cfRule>
  </conditionalFormatting>
  <conditionalFormatting sqref="E30">
    <cfRule type="cellIs" dxfId="1332" priority="7" operator="lessThan">
      <formula>$B$8*100</formula>
    </cfRule>
    <cfRule type="cellIs" dxfId="1331" priority="8" operator="greaterThan">
      <formula>$B$8*100</formula>
    </cfRule>
  </conditionalFormatting>
  <conditionalFormatting sqref="B46:B47">
    <cfRule type="cellIs" dxfId="1330" priority="1" operator="greaterThan">
      <formula>0</formula>
    </cfRule>
  </conditionalFormatting>
  <hyperlinks>
    <hyperlink ref="A34" r:id="rId1" display="https://www.zillow.com/homes/recently_sold/" xr:uid="{1CFA65BD-0A88-470A-ABBE-531B23D9EF49}"/>
    <hyperlink ref="A23" r:id="rId2" xr:uid="{D31152F2-4894-4886-8E32-8770A43B260C}"/>
    <hyperlink ref="A27" r:id="rId3" display="www.mortgagecalculator.org" xr:uid="{F7164ABF-FD4A-43B7-8B1C-EA02C5BF51D4}"/>
    <hyperlink ref="A12" r:id="rId4" xr:uid="{553B7FFF-6116-457B-A634-28C3F7CF804E}"/>
  </hyperlinks>
  <pageMargins left="0.7" right="0.7" top="0.75" bottom="0.75" header="0.3" footer="0.3"/>
  <drawing r:id="rId5"/>
  <legacyDrawing r:id="rId6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2E81B-37BE-4B1E-AED9-55786502224F}">
  <sheetPr codeName="Sheet201">
    <tabColor rgb="FFFF0000"/>
  </sheetPr>
  <dimension ref="A1:P47"/>
  <sheetViews>
    <sheetView topLeftCell="A15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299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1690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127415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127415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6370.75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1370.75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121044.25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1175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1274.1500000000001</v>
      </c>
      <c r="D24" s="7" t="s">
        <v>77</v>
      </c>
      <c r="E24" s="17">
        <f>B16*0.01</f>
        <v>1274.1500000000001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927.65</v>
      </c>
      <c r="D27" s="7" t="s">
        <v>38</v>
      </c>
      <c r="E27" s="35">
        <f>B27</f>
        <v>927.65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1221.4000000000001</v>
      </c>
      <c r="D28" s="7" t="s">
        <v>41</v>
      </c>
      <c r="E28" s="17">
        <f>E27+I27+I36</f>
        <v>1221.4000000000001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-46.400000000000091</v>
      </c>
      <c r="D30" s="7" t="s">
        <v>43</v>
      </c>
      <c r="E30" s="44">
        <f>E23-E27-I27-I36+I26+I35</f>
        <v>-53.899999999999977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-0.40620098486230244</v>
      </c>
      <c r="D31" s="46" t="s">
        <v>44</v>
      </c>
      <c r="E31" s="47">
        <f>(E30*12)/B19</f>
        <v>-0.47185847163961314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58.75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58.75</v>
      </c>
    </row>
    <row r="34" spans="1:9" x14ac:dyDescent="0.25">
      <c r="A34" s="26" t="s">
        <v>49</v>
      </c>
      <c r="B34" s="8">
        <f>B16</f>
        <v>127415</v>
      </c>
      <c r="G34" s="27" t="s">
        <v>50</v>
      </c>
      <c r="H34" s="48">
        <v>0.05</v>
      </c>
      <c r="I34" s="49">
        <f>$B$23*H34</f>
        <v>58.75</v>
      </c>
    </row>
    <row r="35" spans="1:9" x14ac:dyDescent="0.25">
      <c r="A35" s="7" t="s">
        <v>51</v>
      </c>
      <c r="B35" s="17">
        <f>B34-B20</f>
        <v>6370.75</v>
      </c>
      <c r="G35" s="27" t="s">
        <v>52</v>
      </c>
      <c r="H35" s="48">
        <v>0.1</v>
      </c>
      <c r="I35" s="49">
        <f>$B$23*H35</f>
        <v>117.5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293.75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85.739677083333333</v>
      </c>
      <c r="D41" s="58"/>
      <c r="E41" s="61"/>
    </row>
    <row r="42" spans="1:9" x14ac:dyDescent="0.25">
      <c r="A42" s="7" t="s">
        <v>58</v>
      </c>
      <c r="B42" s="17">
        <f>B27-B41</f>
        <v>841.9103229166667</v>
      </c>
      <c r="D42" s="58"/>
      <c r="E42" s="61"/>
    </row>
    <row r="43" spans="1:9" x14ac:dyDescent="0.25">
      <c r="A43" s="7" t="s">
        <v>59</v>
      </c>
      <c r="B43" s="43">
        <f>B23-B42-I27-I36</f>
        <v>39.339677083333299</v>
      </c>
      <c r="D43" s="58"/>
      <c r="E43" s="61"/>
    </row>
    <row r="44" spans="1:9" ht="15.75" thickBot="1" x14ac:dyDescent="0.3">
      <c r="A44" s="46" t="s">
        <v>44</v>
      </c>
      <c r="B44" s="47">
        <f>(B43*12)/B17</f>
        <v>7.4100557234234518E-2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1019.3199999999999</v>
      </c>
    </row>
    <row r="47" spans="1:9" ht="15.75" thickBot="1" x14ac:dyDescent="0.3">
      <c r="A47" s="63" t="s">
        <v>251</v>
      </c>
      <c r="B47" s="65">
        <f>B16*0.02</f>
        <v>2548.3000000000002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329" priority="29" operator="equal">
      <formula>"NO"</formula>
    </cfRule>
    <cfRule type="cellIs" dxfId="1328" priority="30" operator="equal">
      <formula>"YES"</formula>
    </cfRule>
  </conditionalFormatting>
  <conditionalFormatting sqref="E40">
    <cfRule type="cellIs" dxfId="1327" priority="27" operator="equal">
      <formula>"YES"</formula>
    </cfRule>
    <cfRule type="cellIs" dxfId="1326" priority="28" operator="equal">
      <formula>"NO"</formula>
    </cfRule>
  </conditionalFormatting>
  <conditionalFormatting sqref="B25">
    <cfRule type="cellIs" dxfId="1325" priority="25" operator="equal">
      <formula>"NO"</formula>
    </cfRule>
    <cfRule type="cellIs" dxfId="1324" priority="26" operator="equal">
      <formula>"YES"</formula>
    </cfRule>
  </conditionalFormatting>
  <conditionalFormatting sqref="B12">
    <cfRule type="containsText" dxfId="1323" priority="11" operator="containsText" text="Low">
      <formula>NOT(ISERROR(SEARCH("Low",B12)))</formula>
    </cfRule>
    <cfRule type="containsText" dxfId="1322" priority="12" operator="containsText" text="Medium">
      <formula>NOT(ISERROR(SEARCH("Medium",B12)))</formula>
    </cfRule>
    <cfRule type="containsText" dxfId="1321" priority="13" operator="containsText" text="High">
      <formula>NOT(ISERROR(SEARCH("High",B12)))</formula>
    </cfRule>
  </conditionalFormatting>
  <conditionalFormatting sqref="B31">
    <cfRule type="cellIs" dxfId="1320" priority="21" operator="between">
      <formula>10%</formula>
      <formula>11.9%</formula>
    </cfRule>
    <cfRule type="cellIs" dxfId="1319" priority="23" operator="lessThan">
      <formula>0.1</formula>
    </cfRule>
    <cfRule type="cellIs" dxfId="1318" priority="24" operator="greaterThanOrEqual">
      <formula>0.12</formula>
    </cfRule>
  </conditionalFormatting>
  <conditionalFormatting sqref="B44">
    <cfRule type="cellIs" dxfId="1317" priority="19" operator="between">
      <formula>0.1</formula>
      <formula>0.1199</formula>
    </cfRule>
    <cfRule type="cellIs" dxfId="1316" priority="20" operator="lessThan">
      <formula>0.1</formula>
    </cfRule>
    <cfRule type="cellIs" dxfId="1315" priority="22" operator="greaterThanOrEqual">
      <formula>0.12</formula>
    </cfRule>
  </conditionalFormatting>
  <conditionalFormatting sqref="B10">
    <cfRule type="containsText" dxfId="1314" priority="14" operator="containsText" text="Full">
      <formula>NOT(ISERROR(SEARCH("Full",B10)))</formula>
    </cfRule>
    <cfRule type="containsText" dxfId="1313" priority="15" operator="containsText" text="Heavy">
      <formula>NOT(ISERROR(SEARCH("Heavy",B10)))</formula>
    </cfRule>
    <cfRule type="containsText" dxfId="1312" priority="16" operator="containsText" text="Medium">
      <formula>NOT(ISERROR(SEARCH("Medium",B10)))</formula>
    </cfRule>
    <cfRule type="containsText" dxfId="1311" priority="17" operator="containsText" text="Light">
      <formula>NOT(ISERROR(SEARCH("Light",B10)))</formula>
    </cfRule>
    <cfRule type="containsText" dxfId="1310" priority="18" operator="containsText" text="None">
      <formula>NOT(ISERROR(SEARCH("None",B10)))</formula>
    </cfRule>
  </conditionalFormatting>
  <conditionalFormatting sqref="B30">
    <cfRule type="cellIs" dxfId="1309" priority="31" operator="lessThan">
      <formula>$B$8*100</formula>
    </cfRule>
    <cfRule type="cellIs" dxfId="1308" priority="32" operator="greaterThanOrEqual">
      <formula>$B$8*100</formula>
    </cfRule>
  </conditionalFormatting>
  <conditionalFormatting sqref="B43">
    <cfRule type="cellIs" dxfId="1307" priority="33" operator="lessThan">
      <formula>$B$8*100</formula>
    </cfRule>
    <cfRule type="cellIs" dxfId="1306" priority="34" operator="greaterThan">
      <formula>$B$8*100</formula>
    </cfRule>
    <cfRule type="cellIs" dxfId="1305" priority="35" operator="greaterThan">
      <formula>$B$8*100</formula>
    </cfRule>
  </conditionalFormatting>
  <conditionalFormatting sqref="B40">
    <cfRule type="cellIs" dxfId="1304" priority="9" operator="equal">
      <formula>"YES"</formula>
    </cfRule>
    <cfRule type="cellIs" dxfId="1303" priority="10" operator="equal">
      <formula>"NO"</formula>
    </cfRule>
  </conditionalFormatting>
  <conditionalFormatting sqref="E25:E28">
    <cfRule type="cellIs" dxfId="1302" priority="5" operator="equal">
      <formula>"NO"</formula>
    </cfRule>
    <cfRule type="cellIs" dxfId="1301" priority="6" operator="equal">
      <formula>"YES"</formula>
    </cfRule>
  </conditionalFormatting>
  <conditionalFormatting sqref="E31">
    <cfRule type="cellIs" dxfId="1300" priority="2" operator="between">
      <formula>10%</formula>
      <formula>12%</formula>
    </cfRule>
    <cfRule type="cellIs" dxfId="1299" priority="3" operator="lessThan">
      <formula>0.1</formula>
    </cfRule>
    <cfRule type="cellIs" dxfId="1298" priority="4" operator="greaterThan">
      <formula>0.12</formula>
    </cfRule>
  </conditionalFormatting>
  <conditionalFormatting sqref="E30">
    <cfRule type="cellIs" dxfId="1297" priority="7" operator="lessThan">
      <formula>$B$8*100</formula>
    </cfRule>
    <cfRule type="cellIs" dxfId="1296" priority="8" operator="greaterThan">
      <formula>$B$8*100</formula>
    </cfRule>
  </conditionalFormatting>
  <conditionalFormatting sqref="B46:B47">
    <cfRule type="cellIs" dxfId="1295" priority="1" operator="greaterThan">
      <formula>0</formula>
    </cfRule>
  </conditionalFormatting>
  <hyperlinks>
    <hyperlink ref="A34" r:id="rId1" display="https://www.zillow.com/homes/recently_sold/" xr:uid="{92AFB24B-72E3-4AD6-876A-70F70B023F22}"/>
    <hyperlink ref="A23" r:id="rId2" xr:uid="{794A27F9-CFCA-46E8-81CA-F203E6687E83}"/>
    <hyperlink ref="A27" r:id="rId3" display="www.mortgagecalculator.org" xr:uid="{CD57304E-374C-4910-B966-67023F5C2771}"/>
    <hyperlink ref="A12" r:id="rId4" xr:uid="{0D7A3F2D-4648-433D-8A64-884D0BBBCA26}"/>
  </hyperlinks>
  <pageMargins left="0.7" right="0.7" top="0.75" bottom="0.75" header="0.3" footer="0.3"/>
  <drawing r:id="rId5"/>
  <legacyDrawing r:id="rId6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40A76-1B13-4F34-ADD2-444F1D9E2D02}">
  <sheetPr codeName="Sheet202">
    <tabColor rgb="FFFF0000"/>
  </sheetPr>
  <dimension ref="A1:P47"/>
  <sheetViews>
    <sheetView topLeftCell="A15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300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1274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97750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44590</v>
      </c>
      <c r="D15" s="2"/>
      <c r="E15" s="3"/>
    </row>
    <row r="16" spans="1:10" x14ac:dyDescent="0.25">
      <c r="A16" s="7" t="s">
        <v>20</v>
      </c>
      <c r="B16" s="17">
        <f>B15+B13</f>
        <v>142340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4981.9000000000005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-18.099999999999454</v>
      </c>
      <c r="D19" s="66"/>
      <c r="E19" s="67"/>
      <c r="P19" s="21"/>
    </row>
    <row r="20" spans="1:16" x14ac:dyDescent="0.25">
      <c r="A20" s="7" t="s">
        <v>23</v>
      </c>
      <c r="B20" s="17">
        <f>B16-B17</f>
        <v>137358.1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1140</v>
      </c>
      <c r="D23" s="23" t="s">
        <v>28</v>
      </c>
      <c r="E23" s="8">
        <v>1063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1423.4</v>
      </c>
      <c r="D24" s="7" t="s">
        <v>77</v>
      </c>
      <c r="E24" s="17">
        <f>B16*0.01</f>
        <v>1423.4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1078.06</v>
      </c>
      <c r="D27" s="7" t="s">
        <v>38</v>
      </c>
      <c r="E27" s="35">
        <f>B27</f>
        <v>1078.06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1363.06</v>
      </c>
      <c r="D28" s="7" t="s">
        <v>41</v>
      </c>
      <c r="E28" s="17">
        <f>E27+I27+I36</f>
        <v>1363.06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-223.05999999999995</v>
      </c>
      <c r="D30" s="7" t="s">
        <v>43</v>
      </c>
      <c r="E30" s="44">
        <f>E23-E27-I27-I36+I26+I35</f>
        <v>-186.05999999999995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147.8850828729326</v>
      </c>
      <c r="D31" s="46" t="s">
        <v>44</v>
      </c>
      <c r="E31" s="47">
        <f>(E30*12)/B19</f>
        <v>123.35469613260037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57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57</v>
      </c>
    </row>
    <row r="34" spans="1:9" x14ac:dyDescent="0.25">
      <c r="A34" s="26" t="s">
        <v>49</v>
      </c>
      <c r="B34" s="8">
        <f>B16</f>
        <v>142340</v>
      </c>
      <c r="G34" s="27" t="s">
        <v>50</v>
      </c>
      <c r="H34" s="48">
        <v>0.05</v>
      </c>
      <c r="I34" s="49">
        <f>$B$23*H34</f>
        <v>57</v>
      </c>
    </row>
    <row r="35" spans="1:9" x14ac:dyDescent="0.25">
      <c r="A35" s="7" t="s">
        <v>51</v>
      </c>
      <c r="B35" s="17">
        <f>B34-B20</f>
        <v>4981.8999999999942</v>
      </c>
      <c r="G35" s="27" t="s">
        <v>52</v>
      </c>
      <c r="H35" s="48">
        <v>0.1</v>
      </c>
      <c r="I35" s="49">
        <f>$B$23*H35</f>
        <v>114</v>
      </c>
    </row>
    <row r="36" spans="1:9" ht="15.75" thickBot="1" x14ac:dyDescent="0.3">
      <c r="A36" s="7" t="s">
        <v>53</v>
      </c>
      <c r="B36" s="50">
        <f>B35/B17</f>
        <v>0.99999999999999867</v>
      </c>
      <c r="G36" s="36" t="s">
        <v>39</v>
      </c>
      <c r="H36" s="37"/>
      <c r="I36" s="51">
        <f>SUM(I32:I35)</f>
        <v>285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97.295320833333335</v>
      </c>
      <c r="D41" s="58"/>
      <c r="E41" s="61"/>
    </row>
    <row r="42" spans="1:9" x14ac:dyDescent="0.25">
      <c r="A42" s="7" t="s">
        <v>58</v>
      </c>
      <c r="B42" s="17">
        <f>B27-B41</f>
        <v>980.76467916666661</v>
      </c>
      <c r="D42" s="58"/>
      <c r="E42" s="61"/>
    </row>
    <row r="43" spans="1:9" x14ac:dyDescent="0.25">
      <c r="A43" s="7" t="s">
        <v>59</v>
      </c>
      <c r="B43" s="43">
        <f>B23-B42-I27-I36</f>
        <v>-125.76467916666661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-0.30293184327264683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1138.72</v>
      </c>
    </row>
    <row r="47" spans="1:9" ht="15.75" thickBot="1" x14ac:dyDescent="0.3">
      <c r="A47" s="63" t="s">
        <v>251</v>
      </c>
      <c r="B47" s="65">
        <f>B16*0.02</f>
        <v>2846.8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294" priority="29" operator="equal">
      <formula>"NO"</formula>
    </cfRule>
    <cfRule type="cellIs" dxfId="1293" priority="30" operator="equal">
      <formula>"YES"</formula>
    </cfRule>
  </conditionalFormatting>
  <conditionalFormatting sqref="E40">
    <cfRule type="cellIs" dxfId="1292" priority="27" operator="equal">
      <formula>"YES"</formula>
    </cfRule>
    <cfRule type="cellIs" dxfId="1291" priority="28" operator="equal">
      <formula>"NO"</formula>
    </cfRule>
  </conditionalFormatting>
  <conditionalFormatting sqref="B25">
    <cfRule type="cellIs" dxfId="1290" priority="25" operator="equal">
      <formula>"NO"</formula>
    </cfRule>
    <cfRule type="cellIs" dxfId="1289" priority="26" operator="equal">
      <formula>"YES"</formula>
    </cfRule>
  </conditionalFormatting>
  <conditionalFormatting sqref="B12">
    <cfRule type="containsText" dxfId="1288" priority="11" operator="containsText" text="Low">
      <formula>NOT(ISERROR(SEARCH("Low",B12)))</formula>
    </cfRule>
    <cfRule type="containsText" dxfId="1287" priority="12" operator="containsText" text="Medium">
      <formula>NOT(ISERROR(SEARCH("Medium",B12)))</formula>
    </cfRule>
    <cfRule type="containsText" dxfId="1286" priority="13" operator="containsText" text="High">
      <formula>NOT(ISERROR(SEARCH("High",B12)))</formula>
    </cfRule>
  </conditionalFormatting>
  <conditionalFormatting sqref="B31">
    <cfRule type="cellIs" dxfId="1285" priority="21" operator="between">
      <formula>10%</formula>
      <formula>11.9%</formula>
    </cfRule>
    <cfRule type="cellIs" dxfId="1284" priority="23" operator="lessThan">
      <formula>0.1</formula>
    </cfRule>
    <cfRule type="cellIs" dxfId="1283" priority="24" operator="greaterThanOrEqual">
      <formula>0.12</formula>
    </cfRule>
  </conditionalFormatting>
  <conditionalFormatting sqref="B44">
    <cfRule type="cellIs" dxfId="1282" priority="19" operator="between">
      <formula>0.1</formula>
      <formula>0.1199</formula>
    </cfRule>
    <cfRule type="cellIs" dxfId="1281" priority="20" operator="lessThan">
      <formula>0.1</formula>
    </cfRule>
    <cfRule type="cellIs" dxfId="1280" priority="22" operator="greaterThanOrEqual">
      <formula>0.12</formula>
    </cfRule>
  </conditionalFormatting>
  <conditionalFormatting sqref="B10">
    <cfRule type="containsText" dxfId="1279" priority="14" operator="containsText" text="Full">
      <formula>NOT(ISERROR(SEARCH("Full",B10)))</formula>
    </cfRule>
    <cfRule type="containsText" dxfId="1278" priority="15" operator="containsText" text="Heavy">
      <formula>NOT(ISERROR(SEARCH("Heavy",B10)))</formula>
    </cfRule>
    <cfRule type="containsText" dxfId="1277" priority="16" operator="containsText" text="Medium">
      <formula>NOT(ISERROR(SEARCH("Medium",B10)))</formula>
    </cfRule>
    <cfRule type="containsText" dxfId="1276" priority="17" operator="containsText" text="Light">
      <formula>NOT(ISERROR(SEARCH("Light",B10)))</formula>
    </cfRule>
    <cfRule type="containsText" dxfId="1275" priority="18" operator="containsText" text="None">
      <formula>NOT(ISERROR(SEARCH("None",B10)))</formula>
    </cfRule>
  </conditionalFormatting>
  <conditionalFormatting sqref="B30">
    <cfRule type="cellIs" dxfId="1274" priority="31" operator="lessThan">
      <formula>$B$8*100</formula>
    </cfRule>
    <cfRule type="cellIs" dxfId="1273" priority="32" operator="greaterThanOrEqual">
      <formula>$B$8*100</formula>
    </cfRule>
  </conditionalFormatting>
  <conditionalFormatting sqref="B43">
    <cfRule type="cellIs" dxfId="1272" priority="33" operator="lessThan">
      <formula>$B$8*100</formula>
    </cfRule>
    <cfRule type="cellIs" dxfId="1271" priority="34" operator="greaterThan">
      <formula>$B$8*100</formula>
    </cfRule>
    <cfRule type="cellIs" dxfId="1270" priority="35" operator="greaterThan">
      <formula>$B$8*100</formula>
    </cfRule>
  </conditionalFormatting>
  <conditionalFormatting sqref="B40">
    <cfRule type="cellIs" dxfId="1269" priority="9" operator="equal">
      <formula>"YES"</formula>
    </cfRule>
    <cfRule type="cellIs" dxfId="1268" priority="10" operator="equal">
      <formula>"NO"</formula>
    </cfRule>
  </conditionalFormatting>
  <conditionalFormatting sqref="E25:E28">
    <cfRule type="cellIs" dxfId="1267" priority="5" operator="equal">
      <formula>"NO"</formula>
    </cfRule>
    <cfRule type="cellIs" dxfId="1266" priority="6" operator="equal">
      <formula>"YES"</formula>
    </cfRule>
  </conditionalFormatting>
  <conditionalFormatting sqref="E31">
    <cfRule type="cellIs" dxfId="1265" priority="2" operator="between">
      <formula>10%</formula>
      <formula>12%</formula>
    </cfRule>
    <cfRule type="cellIs" dxfId="1264" priority="3" operator="lessThan">
      <formula>0.1</formula>
    </cfRule>
    <cfRule type="cellIs" dxfId="1263" priority="4" operator="greaterThan">
      <formula>0.12</formula>
    </cfRule>
  </conditionalFormatting>
  <conditionalFormatting sqref="E30">
    <cfRule type="cellIs" dxfId="1262" priority="7" operator="lessThan">
      <formula>$B$8*100</formula>
    </cfRule>
    <cfRule type="cellIs" dxfId="1261" priority="8" operator="greaterThan">
      <formula>$B$8*100</formula>
    </cfRule>
  </conditionalFormatting>
  <conditionalFormatting sqref="B46:B47">
    <cfRule type="cellIs" dxfId="1260" priority="1" operator="greaterThan">
      <formula>0</formula>
    </cfRule>
  </conditionalFormatting>
  <hyperlinks>
    <hyperlink ref="A34" r:id="rId1" display="https://www.zillow.com/homes/recently_sold/" xr:uid="{41E22F2E-3E41-41C3-9ABF-CAFB6B0048E3}"/>
    <hyperlink ref="A23" r:id="rId2" xr:uid="{66286768-0F20-4A96-8917-9B1AAC671541}"/>
    <hyperlink ref="A27" r:id="rId3" display="www.mortgagecalculator.org" xr:uid="{740522E4-827A-4060-AD87-B795EE8C9883}"/>
    <hyperlink ref="A12" r:id="rId4" xr:uid="{AADE4465-1778-4D58-9AE8-F35DEBCADCC5}"/>
  </hyperlinks>
  <pageMargins left="0.7" right="0.7" top="0.75" bottom="0.75" header="0.3" footer="0.3"/>
  <drawing r:id="rId5"/>
  <legacyDrawing r:id="rId6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65CD-5C7F-4025-8032-98E83FCE258C}">
  <sheetPr codeName="Sheet203">
    <tabColor rgb="FFFF0000"/>
  </sheetPr>
  <dimension ref="A1:P47"/>
  <sheetViews>
    <sheetView topLeftCell="A13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1214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v>130000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v>5000</v>
      </c>
      <c r="D15" s="2"/>
      <c r="E15" s="3"/>
    </row>
    <row r="16" spans="1:10" x14ac:dyDescent="0.25">
      <c r="A16" s="7" t="s">
        <v>20</v>
      </c>
      <c r="B16" s="17">
        <f>B15+B13</f>
        <v>135000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6750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B17+B18-7500+B15</f>
        <v>6750</v>
      </c>
      <c r="D19" s="66"/>
      <c r="E19" s="67"/>
      <c r="P19" s="21"/>
    </row>
    <row r="20" spans="1:16" x14ac:dyDescent="0.25">
      <c r="A20" s="7" t="s">
        <v>23</v>
      </c>
      <c r="B20" s="17">
        <f>B16-B17</f>
        <v>128250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1100</v>
      </c>
      <c r="D23" s="23" t="s">
        <v>28</v>
      </c>
      <c r="E23" s="8">
        <f>1100*2/3</f>
        <v>733.33333333333337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1350</v>
      </c>
      <c r="D24" s="7" t="s">
        <v>77</v>
      </c>
      <c r="E24" s="17">
        <f>B16*0.01</f>
        <v>1350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937.53</v>
      </c>
      <c r="D27" s="7" t="s">
        <v>38</v>
      </c>
      <c r="E27" s="35">
        <f>B27</f>
        <v>937.53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1212.53</v>
      </c>
      <c r="D28" s="7" t="s">
        <v>41</v>
      </c>
      <c r="E28" s="17">
        <f>E27+I27+I36</f>
        <v>1212.53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-112.52999999999997</v>
      </c>
      <c r="D30" s="7" t="s">
        <v>43</v>
      </c>
      <c r="E30" s="44">
        <f>E23-E27-I27-I36+I26+I35</f>
        <v>-369.1966666666666</v>
      </c>
      <c r="G30" s="28"/>
      <c r="H30" s="28"/>
      <c r="I30" s="28"/>
    </row>
    <row r="31" spans="1:16" ht="16.5" thickBot="1" x14ac:dyDescent="0.3">
      <c r="A31" s="7" t="s">
        <v>44</v>
      </c>
      <c r="B31" s="69">
        <f>B30*12/B19</f>
        <v>-0.20005333333333328</v>
      </c>
      <c r="D31" s="46" t="s">
        <v>44</v>
      </c>
      <c r="E31" s="47">
        <f>(E30*12)/B19</f>
        <v>-0.65634962962962939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55</v>
      </c>
    </row>
    <row r="34" spans="1:9" x14ac:dyDescent="0.25">
      <c r="A34" s="26" t="s">
        <v>49</v>
      </c>
      <c r="B34" s="8">
        <f>B16</f>
        <v>135000</v>
      </c>
      <c r="G34" s="27" t="s">
        <v>50</v>
      </c>
      <c r="H34" s="48">
        <v>0.05</v>
      </c>
      <c r="I34" s="49">
        <f>$B$23*H34</f>
        <v>55</v>
      </c>
    </row>
    <row r="35" spans="1:9" x14ac:dyDescent="0.25">
      <c r="A35" s="7" t="s">
        <v>51</v>
      </c>
      <c r="B35" s="17">
        <f>B34-B20</f>
        <v>6750</v>
      </c>
      <c r="G35" s="27" t="s">
        <v>52</v>
      </c>
      <c r="H35" s="48">
        <v>0.1</v>
      </c>
      <c r="I35" s="49">
        <f>$B$23*H35</f>
        <v>110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90.84375</v>
      </c>
      <c r="D41" s="58"/>
      <c r="E41" s="61"/>
    </row>
    <row r="42" spans="1:9" x14ac:dyDescent="0.25">
      <c r="A42" s="7" t="s">
        <v>58</v>
      </c>
      <c r="B42" s="17">
        <f>B27-B41</f>
        <v>846.68624999999997</v>
      </c>
      <c r="D42" s="58"/>
      <c r="E42" s="61"/>
    </row>
    <row r="43" spans="1:9" x14ac:dyDescent="0.25">
      <c r="A43" s="7" t="s">
        <v>59</v>
      </c>
      <c r="B43" s="43">
        <f>B23-B42-I27-I36</f>
        <v>-21.686249999999973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-3.8553333333333287E-2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1080</v>
      </c>
    </row>
    <row r="47" spans="1:9" ht="15.75" thickBot="1" x14ac:dyDescent="0.3">
      <c r="A47" s="63" t="s">
        <v>251</v>
      </c>
      <c r="B47" s="65">
        <f>B16*0.02</f>
        <v>2700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259" priority="29" operator="equal">
      <formula>"NO"</formula>
    </cfRule>
    <cfRule type="cellIs" dxfId="1258" priority="30" operator="equal">
      <formula>"YES"</formula>
    </cfRule>
  </conditionalFormatting>
  <conditionalFormatting sqref="E40">
    <cfRule type="cellIs" dxfId="1257" priority="27" operator="equal">
      <formula>"YES"</formula>
    </cfRule>
    <cfRule type="cellIs" dxfId="1256" priority="28" operator="equal">
      <formula>"NO"</formula>
    </cfRule>
  </conditionalFormatting>
  <conditionalFormatting sqref="B25">
    <cfRule type="cellIs" dxfId="1255" priority="25" operator="equal">
      <formula>"NO"</formula>
    </cfRule>
    <cfRule type="cellIs" dxfId="1254" priority="26" operator="equal">
      <formula>"YES"</formula>
    </cfRule>
  </conditionalFormatting>
  <conditionalFormatting sqref="B12">
    <cfRule type="containsText" dxfId="1253" priority="11" operator="containsText" text="Low">
      <formula>NOT(ISERROR(SEARCH("Low",B12)))</formula>
    </cfRule>
    <cfRule type="containsText" dxfId="1252" priority="12" operator="containsText" text="Medium">
      <formula>NOT(ISERROR(SEARCH("Medium",B12)))</formula>
    </cfRule>
    <cfRule type="containsText" dxfId="1251" priority="13" operator="containsText" text="High">
      <formula>NOT(ISERROR(SEARCH("High",B12)))</formula>
    </cfRule>
  </conditionalFormatting>
  <conditionalFormatting sqref="B31">
    <cfRule type="cellIs" dxfId="1250" priority="21" operator="between">
      <formula>10%</formula>
      <formula>11.9%</formula>
    </cfRule>
    <cfRule type="cellIs" dxfId="1249" priority="23" operator="lessThan">
      <formula>0.1</formula>
    </cfRule>
    <cfRule type="cellIs" dxfId="1248" priority="24" operator="greaterThanOrEqual">
      <formula>0.12</formula>
    </cfRule>
  </conditionalFormatting>
  <conditionalFormatting sqref="B44">
    <cfRule type="cellIs" dxfId="1247" priority="19" operator="between">
      <formula>0.1</formula>
      <formula>0.1199</formula>
    </cfRule>
    <cfRule type="cellIs" dxfId="1246" priority="20" operator="lessThan">
      <formula>0.1</formula>
    </cfRule>
    <cfRule type="cellIs" dxfId="1245" priority="22" operator="greaterThanOrEqual">
      <formula>0.12</formula>
    </cfRule>
  </conditionalFormatting>
  <conditionalFormatting sqref="B10">
    <cfRule type="containsText" dxfId="1244" priority="14" operator="containsText" text="Full">
      <formula>NOT(ISERROR(SEARCH("Full",B10)))</formula>
    </cfRule>
    <cfRule type="containsText" dxfId="1243" priority="15" operator="containsText" text="Heavy">
      <formula>NOT(ISERROR(SEARCH("Heavy",B10)))</formula>
    </cfRule>
    <cfRule type="containsText" dxfId="1242" priority="16" operator="containsText" text="Medium">
      <formula>NOT(ISERROR(SEARCH("Medium",B10)))</formula>
    </cfRule>
    <cfRule type="containsText" dxfId="1241" priority="17" operator="containsText" text="Light">
      <formula>NOT(ISERROR(SEARCH("Light",B10)))</formula>
    </cfRule>
    <cfRule type="containsText" dxfId="1240" priority="18" operator="containsText" text="None">
      <formula>NOT(ISERROR(SEARCH("None",B10)))</formula>
    </cfRule>
  </conditionalFormatting>
  <conditionalFormatting sqref="B30">
    <cfRule type="cellIs" dxfId="1239" priority="31" operator="lessThan">
      <formula>$B$8*100</formula>
    </cfRule>
    <cfRule type="cellIs" dxfId="1238" priority="32" operator="greaterThanOrEqual">
      <formula>$B$8*100</formula>
    </cfRule>
  </conditionalFormatting>
  <conditionalFormatting sqref="B43">
    <cfRule type="cellIs" dxfId="1237" priority="33" operator="lessThan">
      <formula>$B$8*100</formula>
    </cfRule>
    <cfRule type="cellIs" dxfId="1236" priority="34" operator="greaterThan">
      <formula>$B$8*100</formula>
    </cfRule>
    <cfRule type="cellIs" dxfId="1235" priority="35" operator="greaterThan">
      <formula>$B$8*100</formula>
    </cfRule>
  </conditionalFormatting>
  <conditionalFormatting sqref="B40">
    <cfRule type="cellIs" dxfId="1234" priority="9" operator="equal">
      <formula>"YES"</formula>
    </cfRule>
    <cfRule type="cellIs" dxfId="1233" priority="10" operator="equal">
      <formula>"NO"</formula>
    </cfRule>
  </conditionalFormatting>
  <conditionalFormatting sqref="E25:E28">
    <cfRule type="cellIs" dxfId="1232" priority="5" operator="equal">
      <formula>"NO"</formula>
    </cfRule>
    <cfRule type="cellIs" dxfId="1231" priority="6" operator="equal">
      <formula>"YES"</formula>
    </cfRule>
  </conditionalFormatting>
  <conditionalFormatting sqref="E31">
    <cfRule type="cellIs" dxfId="1230" priority="2" operator="between">
      <formula>10%</formula>
      <formula>12%</formula>
    </cfRule>
    <cfRule type="cellIs" dxfId="1229" priority="3" operator="lessThan">
      <formula>0.1</formula>
    </cfRule>
    <cfRule type="cellIs" dxfId="1228" priority="4" operator="greaterThan">
      <formula>0.12</formula>
    </cfRule>
  </conditionalFormatting>
  <conditionalFormatting sqref="E30">
    <cfRule type="cellIs" dxfId="1227" priority="7" operator="lessThan">
      <formula>$B$8*100</formula>
    </cfRule>
    <cfRule type="cellIs" dxfId="1226" priority="8" operator="greaterThan">
      <formula>$B$8*100</formula>
    </cfRule>
  </conditionalFormatting>
  <conditionalFormatting sqref="B46:B47">
    <cfRule type="cellIs" dxfId="1225" priority="1" operator="greaterThan">
      <formula>0</formula>
    </cfRule>
  </conditionalFormatting>
  <hyperlinks>
    <hyperlink ref="A34" r:id="rId1" display="https://www.zillow.com/homes/recently_sold/" xr:uid="{BCE8371E-2A60-40A4-8366-67F2612B14AB}"/>
    <hyperlink ref="A23" r:id="rId2" xr:uid="{38895FF0-5223-4DC1-9D03-94AF0F357AEF}"/>
    <hyperlink ref="A27" r:id="rId3" display="www.mortgagecalculator.org" xr:uid="{0CFAA9E3-CA65-4B99-AB94-EC0169FB58EB}"/>
    <hyperlink ref="A12" r:id="rId4" xr:uid="{21B82CD5-C189-465E-8083-E6F57A888601}"/>
  </hyperlinks>
  <pageMargins left="0.7" right="0.7" top="0.75" bottom="0.75" header="0.3" footer="0.3"/>
  <drawing r:id="rId5"/>
  <legacyDrawing r:id="rId6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5EB0-9A09-4F6E-82B7-908A92AB7A30}">
  <sheetPr codeName="Sheet204">
    <tabColor rgb="FFFF0000"/>
  </sheetPr>
  <dimension ref="A1:P47"/>
  <sheetViews>
    <sheetView topLeftCell="A15" workbookViewId="0">
      <selection activeCell="A35" sqref="A3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135000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1969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114750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114750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5737.5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737.5</v>
      </c>
      <c r="D19" s="66"/>
      <c r="E19" s="67"/>
      <c r="P19" s="21"/>
    </row>
    <row r="20" spans="1:16" x14ac:dyDescent="0.25">
      <c r="A20" s="7" t="s">
        <v>23</v>
      </c>
      <c r="B20" s="17">
        <f>B16-B17</f>
        <v>109012.5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1113</v>
      </c>
      <c r="D23" s="23" t="s">
        <v>28</v>
      </c>
      <c r="E23" s="8">
        <f>B23*2/3</f>
        <v>742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1147.5</v>
      </c>
      <c r="D24" s="7" t="s">
        <v>77</v>
      </c>
      <c r="E24" s="17">
        <f>B16*0.01</f>
        <v>1147.5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869.4</v>
      </c>
      <c r="D27" s="7" t="s">
        <v>38</v>
      </c>
      <c r="E27" s="35">
        <f>B27</f>
        <v>869.4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1147.6500000000001</v>
      </c>
      <c r="D28" s="7" t="s">
        <v>41</v>
      </c>
      <c r="E28" s="17">
        <f>E27+I27+I36</f>
        <v>1147.6500000000001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-34.650000000000091</v>
      </c>
      <c r="D30" s="7" t="s">
        <v>43</v>
      </c>
      <c r="E30" s="44">
        <f>E23-E27-I27-I36+I26+I35</f>
        <v>-294.34999999999997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-0.56379661016949301</v>
      </c>
      <c r="D31" s="46" t="s">
        <v>44</v>
      </c>
      <c r="E31" s="47">
        <f>(E30*12)/B19</f>
        <v>-4.789423728813559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55.650000000000006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55.650000000000006</v>
      </c>
    </row>
    <row r="34" spans="1:9" x14ac:dyDescent="0.25">
      <c r="A34" s="26" t="s">
        <v>49</v>
      </c>
      <c r="B34" s="8">
        <f>B16</f>
        <v>114750</v>
      </c>
      <c r="G34" s="27" t="s">
        <v>50</v>
      </c>
      <c r="H34" s="48">
        <v>0.05</v>
      </c>
      <c r="I34" s="49">
        <f>$B$23*H34</f>
        <v>55.650000000000006</v>
      </c>
    </row>
    <row r="35" spans="1:9" x14ac:dyDescent="0.25">
      <c r="A35" s="7" t="s">
        <v>51</v>
      </c>
      <c r="B35" s="17">
        <f>B34-B20</f>
        <v>5737.5</v>
      </c>
      <c r="G35" s="27" t="s">
        <v>52</v>
      </c>
      <c r="H35" s="48">
        <v>0.1</v>
      </c>
      <c r="I35" s="49">
        <f>$B$23*H35</f>
        <v>111.30000000000001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278.25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77.217187500000009</v>
      </c>
      <c r="D41" s="58"/>
      <c r="E41" s="61"/>
    </row>
    <row r="42" spans="1:9" x14ac:dyDescent="0.25">
      <c r="A42" s="7" t="s">
        <v>58</v>
      </c>
      <c r="B42" s="17">
        <f>B27-B41</f>
        <v>792.18281249999995</v>
      </c>
      <c r="D42" s="58"/>
      <c r="E42" s="61"/>
    </row>
    <row r="43" spans="1:9" x14ac:dyDescent="0.25">
      <c r="A43" s="7" t="s">
        <v>59</v>
      </c>
      <c r="B43" s="43">
        <f>B23-B42-I27-I36</f>
        <v>42.567187500000045</v>
      </c>
      <c r="D43" s="58"/>
      <c r="E43" s="61"/>
    </row>
    <row r="44" spans="1:9" ht="15.75" thickBot="1" x14ac:dyDescent="0.3">
      <c r="A44" s="46" t="s">
        <v>44</v>
      </c>
      <c r="B44" s="47">
        <f>(B43*12)/B17</f>
        <v>8.9029411764705982E-2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918.00000000000011</v>
      </c>
    </row>
    <row r="47" spans="1:9" ht="15.75" thickBot="1" x14ac:dyDescent="0.3">
      <c r="A47" s="63" t="s">
        <v>251</v>
      </c>
      <c r="B47" s="65">
        <f>B16*0.02</f>
        <v>2295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224" priority="29" operator="equal">
      <formula>"NO"</formula>
    </cfRule>
    <cfRule type="cellIs" dxfId="1223" priority="30" operator="equal">
      <formula>"YES"</formula>
    </cfRule>
  </conditionalFormatting>
  <conditionalFormatting sqref="E40">
    <cfRule type="cellIs" dxfId="1222" priority="27" operator="equal">
      <formula>"YES"</formula>
    </cfRule>
    <cfRule type="cellIs" dxfId="1221" priority="28" operator="equal">
      <formula>"NO"</formula>
    </cfRule>
  </conditionalFormatting>
  <conditionalFormatting sqref="B25">
    <cfRule type="cellIs" dxfId="1220" priority="25" operator="equal">
      <formula>"NO"</formula>
    </cfRule>
    <cfRule type="cellIs" dxfId="1219" priority="26" operator="equal">
      <formula>"YES"</formula>
    </cfRule>
  </conditionalFormatting>
  <conditionalFormatting sqref="B12">
    <cfRule type="containsText" dxfId="1218" priority="11" operator="containsText" text="Low">
      <formula>NOT(ISERROR(SEARCH("Low",B12)))</formula>
    </cfRule>
    <cfRule type="containsText" dxfId="1217" priority="12" operator="containsText" text="Medium">
      <formula>NOT(ISERROR(SEARCH("Medium",B12)))</formula>
    </cfRule>
    <cfRule type="containsText" dxfId="1216" priority="13" operator="containsText" text="High">
      <formula>NOT(ISERROR(SEARCH("High",B12)))</formula>
    </cfRule>
  </conditionalFormatting>
  <conditionalFormatting sqref="B31">
    <cfRule type="cellIs" dxfId="1215" priority="21" operator="between">
      <formula>10%</formula>
      <formula>11.9%</formula>
    </cfRule>
    <cfRule type="cellIs" dxfId="1214" priority="23" operator="lessThan">
      <formula>0.1</formula>
    </cfRule>
    <cfRule type="cellIs" dxfId="1213" priority="24" operator="greaterThanOrEqual">
      <formula>0.12</formula>
    </cfRule>
  </conditionalFormatting>
  <conditionalFormatting sqref="B44">
    <cfRule type="cellIs" dxfId="1212" priority="19" operator="between">
      <formula>0.1</formula>
      <formula>0.1199</formula>
    </cfRule>
    <cfRule type="cellIs" dxfId="1211" priority="20" operator="lessThan">
      <formula>0.1</formula>
    </cfRule>
    <cfRule type="cellIs" dxfId="1210" priority="22" operator="greaterThanOrEqual">
      <formula>0.12</formula>
    </cfRule>
  </conditionalFormatting>
  <conditionalFormatting sqref="B10">
    <cfRule type="containsText" dxfId="1209" priority="14" operator="containsText" text="Full">
      <formula>NOT(ISERROR(SEARCH("Full",B10)))</formula>
    </cfRule>
    <cfRule type="containsText" dxfId="1208" priority="15" operator="containsText" text="Heavy">
      <formula>NOT(ISERROR(SEARCH("Heavy",B10)))</formula>
    </cfRule>
    <cfRule type="containsText" dxfId="1207" priority="16" operator="containsText" text="Medium">
      <formula>NOT(ISERROR(SEARCH("Medium",B10)))</formula>
    </cfRule>
    <cfRule type="containsText" dxfId="1206" priority="17" operator="containsText" text="Light">
      <formula>NOT(ISERROR(SEARCH("Light",B10)))</formula>
    </cfRule>
    <cfRule type="containsText" dxfId="1205" priority="18" operator="containsText" text="None">
      <formula>NOT(ISERROR(SEARCH("None",B10)))</formula>
    </cfRule>
  </conditionalFormatting>
  <conditionalFormatting sqref="B30">
    <cfRule type="cellIs" dxfId="1204" priority="31" operator="lessThan">
      <formula>$B$8*100</formula>
    </cfRule>
    <cfRule type="cellIs" dxfId="1203" priority="32" operator="greaterThanOrEqual">
      <formula>$B$8*100</formula>
    </cfRule>
  </conditionalFormatting>
  <conditionalFormatting sqref="B43">
    <cfRule type="cellIs" dxfId="1202" priority="33" operator="lessThan">
      <formula>$B$8*100</formula>
    </cfRule>
    <cfRule type="cellIs" dxfId="1201" priority="34" operator="greaterThan">
      <formula>$B$8*100</formula>
    </cfRule>
    <cfRule type="cellIs" dxfId="1200" priority="35" operator="greaterThan">
      <formula>$B$8*100</formula>
    </cfRule>
  </conditionalFormatting>
  <conditionalFormatting sqref="B40">
    <cfRule type="cellIs" dxfId="1199" priority="9" operator="equal">
      <formula>"YES"</formula>
    </cfRule>
    <cfRule type="cellIs" dxfId="1198" priority="10" operator="equal">
      <formula>"NO"</formula>
    </cfRule>
  </conditionalFormatting>
  <conditionalFormatting sqref="E25:E28">
    <cfRule type="cellIs" dxfId="1197" priority="5" operator="equal">
      <formula>"NO"</formula>
    </cfRule>
    <cfRule type="cellIs" dxfId="1196" priority="6" operator="equal">
      <formula>"YES"</formula>
    </cfRule>
  </conditionalFormatting>
  <conditionalFormatting sqref="E31">
    <cfRule type="cellIs" dxfId="1195" priority="2" operator="between">
      <formula>10%</formula>
      <formula>12%</formula>
    </cfRule>
    <cfRule type="cellIs" dxfId="1194" priority="3" operator="lessThan">
      <formula>0.1</formula>
    </cfRule>
    <cfRule type="cellIs" dxfId="1193" priority="4" operator="greaterThan">
      <formula>0.12</formula>
    </cfRule>
  </conditionalFormatting>
  <conditionalFormatting sqref="E30">
    <cfRule type="cellIs" dxfId="1192" priority="7" operator="lessThan">
      <formula>$B$8*100</formula>
    </cfRule>
    <cfRule type="cellIs" dxfId="1191" priority="8" operator="greaterThan">
      <formula>$B$8*100</formula>
    </cfRule>
  </conditionalFormatting>
  <conditionalFormatting sqref="B46:B47">
    <cfRule type="cellIs" dxfId="1190" priority="1" operator="greaterThan">
      <formula>0</formula>
    </cfRule>
  </conditionalFormatting>
  <hyperlinks>
    <hyperlink ref="A34" r:id="rId1" display="https://www.zillow.com/homes/recently_sold/" xr:uid="{45E00F57-04C4-429B-A51E-1EDEBD8A411A}"/>
    <hyperlink ref="A23" r:id="rId2" xr:uid="{6C011165-12C7-4B46-9650-26C46182E9E1}"/>
    <hyperlink ref="A27" r:id="rId3" display="www.mortgagecalculator.org" xr:uid="{055E13C8-CCFE-44C9-B288-0DE89A306F87}"/>
    <hyperlink ref="A12" r:id="rId4" xr:uid="{5A6AE146-1971-471E-816E-54A9858C4DAD}"/>
  </hyperlinks>
  <pageMargins left="0.7" right="0.7" top="0.75" bottom="0.75" header="0.3" footer="0.3"/>
  <drawing r:id="rId5"/>
  <legacyDrawing r:id="rId6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C2B1A-C26B-49E6-9FCC-1DCE11C65FB1}">
  <sheetPr codeName="Sheet205">
    <tabColor rgb="FF00B050"/>
  </sheetPr>
  <dimension ref="A1:P47"/>
  <sheetViews>
    <sheetView workbookViewId="0">
      <selection activeCell="A34" sqref="A3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195000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175500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21600</v>
      </c>
      <c r="D15" s="2"/>
      <c r="E15" s="3"/>
    </row>
    <row r="16" spans="1:10" x14ac:dyDescent="0.25">
      <c r="A16" s="7" t="s">
        <v>20</v>
      </c>
      <c r="B16" s="17">
        <f>B15+B13</f>
        <v>197100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6898.5000000000009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254</v>
      </c>
      <c r="B19" s="17">
        <f>B17+B18</f>
        <v>9398.5</v>
      </c>
      <c r="D19" s="66"/>
      <c r="E19" s="67"/>
      <c r="P19" s="21"/>
    </row>
    <row r="20" spans="1:16" x14ac:dyDescent="0.25">
      <c r="A20" s="7" t="s">
        <v>23</v>
      </c>
      <c r="B20" s="17">
        <f>B16-B17</f>
        <v>190201.5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f>800+800+730+730+800</f>
        <v>3860</v>
      </c>
      <c r="D23" s="23" t="s">
        <v>28</v>
      </c>
      <c r="E23" s="8">
        <f>350*3</f>
        <v>1050</v>
      </c>
      <c r="G23" s="27" t="s">
        <v>29</v>
      </c>
      <c r="H23" s="28"/>
      <c r="I23" s="29">
        <f>90*4</f>
        <v>360</v>
      </c>
    </row>
    <row r="24" spans="1:16" x14ac:dyDescent="0.25">
      <c r="A24" s="7" t="s">
        <v>78</v>
      </c>
      <c r="B24" s="17">
        <f>B16*0.01</f>
        <v>1971</v>
      </c>
      <c r="D24" s="7" t="s">
        <v>77</v>
      </c>
      <c r="E24" s="17">
        <f>B16*0.01</f>
        <v>1971</v>
      </c>
      <c r="G24" s="27" t="s">
        <v>32</v>
      </c>
      <c r="H24" s="28"/>
      <c r="I24" s="29">
        <f>70*4</f>
        <v>280</v>
      </c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>
        <v>200</v>
      </c>
    </row>
    <row r="26" spans="1:16" x14ac:dyDescent="0.25">
      <c r="A26" s="32"/>
      <c r="B26" s="30"/>
      <c r="D26" s="32"/>
      <c r="E26" s="33"/>
      <c r="G26" s="27" t="s">
        <v>36</v>
      </c>
      <c r="H26" s="28"/>
      <c r="I26" s="34">
        <v>140</v>
      </c>
    </row>
    <row r="27" spans="1:16" ht="15.75" thickBot="1" x14ac:dyDescent="0.3">
      <c r="A27" s="26" t="s">
        <v>37</v>
      </c>
      <c r="B27" s="8">
        <v>1409.44</v>
      </c>
      <c r="D27" s="7" t="s">
        <v>38</v>
      </c>
      <c r="E27" s="35">
        <f>B27</f>
        <v>1409.44</v>
      </c>
      <c r="G27" s="36" t="s">
        <v>39</v>
      </c>
      <c r="H27" s="37"/>
      <c r="I27" s="38">
        <f>SUM(I23:I26)</f>
        <v>980</v>
      </c>
    </row>
    <row r="28" spans="1:16" x14ac:dyDescent="0.25">
      <c r="A28" s="7" t="s">
        <v>40</v>
      </c>
      <c r="B28" s="17">
        <f>B27+I27+I36</f>
        <v>3354.44</v>
      </c>
      <c r="D28" s="7" t="s">
        <v>41</v>
      </c>
      <c r="E28" s="17">
        <f>E27+I27+I36</f>
        <v>3354.44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505.55999999999995</v>
      </c>
      <c r="D30" s="7" t="s">
        <v>43</v>
      </c>
      <c r="E30" s="44">
        <f>E23-E27-I27-I36+I26+I35</f>
        <v>-1778.44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0.64549874980050004</v>
      </c>
      <c r="D31" s="46" t="s">
        <v>44</v>
      </c>
      <c r="E31" s="47">
        <f>(E30*12)/B19</f>
        <v>-2.2707112837154866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193</v>
      </c>
    </row>
    <row r="33" spans="1:9" ht="15.75" x14ac:dyDescent="0.25">
      <c r="A33" s="75" t="s">
        <v>47</v>
      </c>
      <c r="B33" s="76"/>
      <c r="D33" s="25"/>
      <c r="G33" s="27" t="s">
        <v>48</v>
      </c>
      <c r="H33" s="48">
        <v>0.05</v>
      </c>
      <c r="I33" s="49">
        <f>$B$23*H33</f>
        <v>193</v>
      </c>
    </row>
    <row r="34" spans="1:9" x14ac:dyDescent="0.25">
      <c r="A34" s="26" t="s">
        <v>49</v>
      </c>
      <c r="B34" s="8">
        <f>B16</f>
        <v>197100</v>
      </c>
      <c r="G34" s="27" t="s">
        <v>50</v>
      </c>
      <c r="H34" s="48">
        <v>0.05</v>
      </c>
      <c r="I34" s="49">
        <f>$B$23*H34</f>
        <v>193</v>
      </c>
    </row>
    <row r="35" spans="1:9" x14ac:dyDescent="0.25">
      <c r="A35" s="7" t="s">
        <v>51</v>
      </c>
      <c r="B35" s="17">
        <f>B34-B20</f>
        <v>6898.5</v>
      </c>
      <c r="G35" s="27" t="s">
        <v>52</v>
      </c>
      <c r="H35" s="48">
        <v>0.1</v>
      </c>
      <c r="I35" s="49">
        <f>$B$23*H35</f>
        <v>386</v>
      </c>
    </row>
    <row r="36" spans="1:9" ht="15.75" thickBot="1" x14ac:dyDescent="0.3">
      <c r="A36" s="7" t="s">
        <v>53</v>
      </c>
      <c r="B36" s="50">
        <f>B35/B17</f>
        <v>0.99999999999999989</v>
      </c>
      <c r="G36" s="36" t="s">
        <v>39</v>
      </c>
      <c r="H36" s="37"/>
      <c r="I36" s="51">
        <f>SUM(I32:I35)</f>
        <v>965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134.72606250000001</v>
      </c>
      <c r="D41" s="58"/>
      <c r="E41" s="61"/>
    </row>
    <row r="42" spans="1:9" x14ac:dyDescent="0.25">
      <c r="A42" s="7" t="s">
        <v>58</v>
      </c>
      <c r="B42" s="17">
        <f>B27-B41</f>
        <v>1274.7139375000002</v>
      </c>
      <c r="D42" s="58"/>
      <c r="E42" s="61"/>
    </row>
    <row r="43" spans="1:9" x14ac:dyDescent="0.25">
      <c r="A43" s="7" t="s">
        <v>59</v>
      </c>
      <c r="B43" s="43">
        <f>B23-B42-I27-I36</f>
        <v>640.28606249999984</v>
      </c>
      <c r="D43" s="58"/>
      <c r="E43" s="61"/>
    </row>
    <row r="44" spans="1:9" ht="15.75" thickBot="1" x14ac:dyDescent="0.3">
      <c r="A44" s="46" t="s">
        <v>44</v>
      </c>
      <c r="B44" s="47">
        <f>(B43*12)/B17</f>
        <v>1.1137831050228306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1576.8</v>
      </c>
    </row>
    <row r="47" spans="1:9" ht="15.75" thickBot="1" x14ac:dyDescent="0.3">
      <c r="A47" s="63" t="s">
        <v>251</v>
      </c>
      <c r="B47" s="65">
        <f>B16*0.02</f>
        <v>3942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189" priority="29" operator="equal">
      <formula>"NO"</formula>
    </cfRule>
    <cfRule type="cellIs" dxfId="1188" priority="30" operator="equal">
      <formula>"YES"</formula>
    </cfRule>
  </conditionalFormatting>
  <conditionalFormatting sqref="E40">
    <cfRule type="cellIs" dxfId="1187" priority="27" operator="equal">
      <formula>"YES"</formula>
    </cfRule>
    <cfRule type="cellIs" dxfId="1186" priority="28" operator="equal">
      <formula>"NO"</formula>
    </cfRule>
  </conditionalFormatting>
  <conditionalFormatting sqref="B25">
    <cfRule type="cellIs" dxfId="1185" priority="25" operator="equal">
      <formula>"NO"</formula>
    </cfRule>
    <cfRule type="cellIs" dxfId="1184" priority="26" operator="equal">
      <formula>"YES"</formula>
    </cfRule>
  </conditionalFormatting>
  <conditionalFormatting sqref="B12">
    <cfRule type="containsText" dxfId="1183" priority="11" operator="containsText" text="Low">
      <formula>NOT(ISERROR(SEARCH("Low",B12)))</formula>
    </cfRule>
    <cfRule type="containsText" dxfId="1182" priority="12" operator="containsText" text="Medium">
      <formula>NOT(ISERROR(SEARCH("Medium",B12)))</formula>
    </cfRule>
    <cfRule type="containsText" dxfId="1181" priority="13" operator="containsText" text="High">
      <formula>NOT(ISERROR(SEARCH("High",B12)))</formula>
    </cfRule>
  </conditionalFormatting>
  <conditionalFormatting sqref="B31">
    <cfRule type="cellIs" dxfId="1180" priority="21" operator="between">
      <formula>10%</formula>
      <formula>11.9%</formula>
    </cfRule>
    <cfRule type="cellIs" dxfId="1179" priority="23" operator="lessThan">
      <formula>0.1</formula>
    </cfRule>
    <cfRule type="cellIs" dxfId="1178" priority="24" operator="greaterThanOrEqual">
      <formula>0.12</formula>
    </cfRule>
  </conditionalFormatting>
  <conditionalFormatting sqref="B44">
    <cfRule type="cellIs" dxfId="1177" priority="19" operator="between">
      <formula>0.1</formula>
      <formula>0.1199</formula>
    </cfRule>
    <cfRule type="cellIs" dxfId="1176" priority="20" operator="lessThan">
      <formula>0.1</formula>
    </cfRule>
    <cfRule type="cellIs" dxfId="1175" priority="22" operator="greaterThanOrEqual">
      <formula>0.12</formula>
    </cfRule>
  </conditionalFormatting>
  <conditionalFormatting sqref="B10">
    <cfRule type="containsText" dxfId="1174" priority="14" operator="containsText" text="Full">
      <formula>NOT(ISERROR(SEARCH("Full",B10)))</formula>
    </cfRule>
    <cfRule type="containsText" dxfId="1173" priority="15" operator="containsText" text="Heavy">
      <formula>NOT(ISERROR(SEARCH("Heavy",B10)))</formula>
    </cfRule>
    <cfRule type="containsText" dxfId="1172" priority="16" operator="containsText" text="Medium">
      <formula>NOT(ISERROR(SEARCH("Medium",B10)))</formula>
    </cfRule>
    <cfRule type="containsText" dxfId="1171" priority="17" operator="containsText" text="Light">
      <formula>NOT(ISERROR(SEARCH("Light",B10)))</formula>
    </cfRule>
    <cfRule type="containsText" dxfId="1170" priority="18" operator="containsText" text="None">
      <formula>NOT(ISERROR(SEARCH("None",B10)))</formula>
    </cfRule>
  </conditionalFormatting>
  <conditionalFormatting sqref="B30">
    <cfRule type="cellIs" dxfId="1169" priority="31" operator="lessThan">
      <formula>$B$8*100</formula>
    </cfRule>
    <cfRule type="cellIs" dxfId="1168" priority="32" operator="greaterThanOrEqual">
      <formula>$B$8*100</formula>
    </cfRule>
  </conditionalFormatting>
  <conditionalFormatting sqref="B43">
    <cfRule type="cellIs" dxfId="1167" priority="33" operator="lessThan">
      <formula>$B$8*100</formula>
    </cfRule>
    <cfRule type="cellIs" dxfId="1166" priority="34" operator="greaterThan">
      <formula>$B$8*100</formula>
    </cfRule>
    <cfRule type="cellIs" dxfId="1165" priority="35" operator="greaterThan">
      <formula>$B$8*100</formula>
    </cfRule>
  </conditionalFormatting>
  <conditionalFormatting sqref="B40">
    <cfRule type="cellIs" dxfId="1164" priority="9" operator="equal">
      <formula>"YES"</formula>
    </cfRule>
    <cfRule type="cellIs" dxfId="1163" priority="10" operator="equal">
      <formula>"NO"</formula>
    </cfRule>
  </conditionalFormatting>
  <conditionalFormatting sqref="E25:E28">
    <cfRule type="cellIs" dxfId="1162" priority="5" operator="equal">
      <formula>"NO"</formula>
    </cfRule>
    <cfRule type="cellIs" dxfId="1161" priority="6" operator="equal">
      <formula>"YES"</formula>
    </cfRule>
  </conditionalFormatting>
  <conditionalFormatting sqref="E31">
    <cfRule type="cellIs" dxfId="1160" priority="2" operator="between">
      <formula>10%</formula>
      <formula>12%</formula>
    </cfRule>
    <cfRule type="cellIs" dxfId="1159" priority="3" operator="lessThan">
      <formula>0.1</formula>
    </cfRule>
    <cfRule type="cellIs" dxfId="1158" priority="4" operator="greaterThan">
      <formula>0.12</formula>
    </cfRule>
  </conditionalFormatting>
  <conditionalFormatting sqref="E30">
    <cfRule type="cellIs" dxfId="1157" priority="7" operator="lessThan">
      <formula>$B$8*100</formula>
    </cfRule>
    <cfRule type="cellIs" dxfId="1156" priority="8" operator="greaterThan">
      <formula>$B$8*100</formula>
    </cfRule>
  </conditionalFormatting>
  <conditionalFormatting sqref="B46:B47">
    <cfRule type="cellIs" dxfId="1155" priority="1" operator="greaterThan">
      <formula>0</formula>
    </cfRule>
  </conditionalFormatting>
  <hyperlinks>
    <hyperlink ref="A34" r:id="rId1" display="https://www.zillow.com/homes/recently_sold/" xr:uid="{26F4EDF3-B0F5-444B-9B3C-CF5B809735DC}"/>
    <hyperlink ref="A23" r:id="rId2" xr:uid="{3F18A71C-EBE4-433F-A65C-51FE3F961CAC}"/>
    <hyperlink ref="A27" r:id="rId3" display="www.mortgagecalculator.org" xr:uid="{652C8F14-3EC9-47C9-87B8-FCE0B8BA1DEF}"/>
    <hyperlink ref="A12" r:id="rId4" xr:uid="{C597F8A4-AAD6-43AC-AADC-8F5B2AD430C0}"/>
  </hyperlinks>
  <pageMargins left="0.7" right="0.7" top="0.75" bottom="0.75" header="0.3" footer="0.3"/>
  <drawing r:id="rId5"/>
  <legacyDrawing r:id="rId6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E107-4C02-496A-B656-DCC318DBAAE6}">
  <sheetPr codeName="Sheet206">
    <tabColor rgb="FF00B050"/>
  </sheetPr>
  <dimension ref="A1:P47"/>
  <sheetViews>
    <sheetView topLeftCell="A30" workbookViewId="0">
      <selection activeCell="D34" sqref="D3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301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1660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246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115000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v>2000</v>
      </c>
      <c r="D15" s="2"/>
      <c r="E15" s="3"/>
    </row>
    <row r="16" spans="1:10" x14ac:dyDescent="0.25">
      <c r="A16" s="7" t="s">
        <v>20</v>
      </c>
      <c r="B16" s="17">
        <f>B15+B13</f>
        <v>117000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5850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B15</f>
        <v>2000</v>
      </c>
      <c r="D19" s="66"/>
      <c r="E19" s="67"/>
      <c r="P19" s="21"/>
    </row>
    <row r="20" spans="1:16" x14ac:dyDescent="0.25">
      <c r="A20" s="7" t="s">
        <v>23</v>
      </c>
      <c r="B20" s="17">
        <f>B16-B17</f>
        <v>111150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1100</v>
      </c>
      <c r="D23" s="23" t="s">
        <v>28</v>
      </c>
      <c r="E23" s="8">
        <f>450*2</f>
        <v>900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1170</v>
      </c>
      <c r="D24" s="7" t="s">
        <v>77</v>
      </c>
      <c r="E24" s="17">
        <f>B16*0.01</f>
        <v>1170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787.22</v>
      </c>
      <c r="D27" s="7" t="s">
        <v>38</v>
      </c>
      <c r="E27" s="35">
        <f>B27</f>
        <v>787.22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996.22</v>
      </c>
      <c r="D28" s="7" t="s">
        <v>41</v>
      </c>
      <c r="E28" s="17">
        <f>E27+I27+I36</f>
        <v>996.22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103.77999999999997</v>
      </c>
      <c r="D30" s="7" t="s">
        <v>43</v>
      </c>
      <c r="E30" s="44">
        <f>E23-E27-I27-I36+I26+I35</f>
        <v>13.779999999999973</v>
      </c>
      <c r="G30" s="28"/>
      <c r="H30" s="28"/>
      <c r="I30" s="28"/>
    </row>
    <row r="31" spans="1:16" ht="16.5" thickBot="1" x14ac:dyDescent="0.3">
      <c r="A31" s="7" t="s">
        <v>44</v>
      </c>
      <c r="B31" s="69">
        <f>B30*12/B19</f>
        <v>0.62267999999999979</v>
      </c>
      <c r="D31" s="46" t="s">
        <v>44</v>
      </c>
      <c r="E31" s="71">
        <f>E30*12/B19</f>
        <v>8.2679999999999837E-2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33</v>
      </c>
    </row>
    <row r="33" spans="1:9" ht="15.75" x14ac:dyDescent="0.25">
      <c r="A33" s="75" t="s">
        <v>47</v>
      </c>
      <c r="B33" s="76"/>
      <c r="D33" s="25"/>
      <c r="G33" s="27" t="s">
        <v>48</v>
      </c>
      <c r="H33" s="48">
        <v>0.03</v>
      </c>
      <c r="I33" s="49">
        <f>$B$23*H33</f>
        <v>33</v>
      </c>
    </row>
    <row r="34" spans="1:9" x14ac:dyDescent="0.25">
      <c r="A34" s="26" t="s">
        <v>49</v>
      </c>
      <c r="B34" s="8">
        <f>B16</f>
        <v>117000</v>
      </c>
      <c r="G34" s="27" t="s">
        <v>50</v>
      </c>
      <c r="H34" s="48">
        <v>0.03</v>
      </c>
      <c r="I34" s="49">
        <f>$B$23*H34</f>
        <v>33</v>
      </c>
    </row>
    <row r="35" spans="1:9" x14ac:dyDescent="0.25">
      <c r="A35" s="7" t="s">
        <v>51</v>
      </c>
      <c r="B35" s="17">
        <f>B34-B20</f>
        <v>5850</v>
      </c>
      <c r="G35" s="27" t="s">
        <v>52</v>
      </c>
      <c r="H35" s="48">
        <v>0.1</v>
      </c>
      <c r="I35" s="49">
        <f>$B$23*H35</f>
        <v>110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209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78.731250000000003</v>
      </c>
      <c r="D41" s="58"/>
      <c r="E41" s="61"/>
    </row>
    <row r="42" spans="1:9" x14ac:dyDescent="0.25">
      <c r="A42" s="7" t="s">
        <v>58</v>
      </c>
      <c r="B42" s="17">
        <f>B27-B41</f>
        <v>708.48874999999998</v>
      </c>
      <c r="D42" s="58"/>
      <c r="E42" s="61"/>
    </row>
    <row r="43" spans="1:9" x14ac:dyDescent="0.25">
      <c r="A43" s="7" t="s">
        <v>59</v>
      </c>
      <c r="B43" s="43">
        <f>B23-B42-I27-I36</f>
        <v>182.51125000000002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0.37438205128205132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936.00000000000011</v>
      </c>
    </row>
    <row r="47" spans="1:9" ht="15.75" thickBot="1" x14ac:dyDescent="0.3">
      <c r="A47" s="63" t="s">
        <v>251</v>
      </c>
      <c r="B47" s="65">
        <f>B16*0.02</f>
        <v>2340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154" priority="29" operator="equal">
      <formula>"NO"</formula>
    </cfRule>
    <cfRule type="cellIs" dxfId="1153" priority="30" operator="equal">
      <formula>"YES"</formula>
    </cfRule>
  </conditionalFormatting>
  <conditionalFormatting sqref="E40">
    <cfRule type="cellIs" dxfId="1152" priority="27" operator="equal">
      <formula>"YES"</formula>
    </cfRule>
    <cfRule type="cellIs" dxfId="1151" priority="28" operator="equal">
      <formula>"NO"</formula>
    </cfRule>
  </conditionalFormatting>
  <conditionalFormatting sqref="B25">
    <cfRule type="cellIs" dxfId="1150" priority="25" operator="equal">
      <formula>"NO"</formula>
    </cfRule>
    <cfRule type="cellIs" dxfId="1149" priority="26" operator="equal">
      <formula>"YES"</formula>
    </cfRule>
  </conditionalFormatting>
  <conditionalFormatting sqref="B12">
    <cfRule type="containsText" dxfId="1148" priority="11" operator="containsText" text="Low">
      <formula>NOT(ISERROR(SEARCH("Low",B12)))</formula>
    </cfRule>
    <cfRule type="containsText" dxfId="1147" priority="12" operator="containsText" text="Medium">
      <formula>NOT(ISERROR(SEARCH("Medium",B12)))</formula>
    </cfRule>
    <cfRule type="containsText" dxfId="1146" priority="13" operator="containsText" text="High">
      <formula>NOT(ISERROR(SEARCH("High",B12)))</formula>
    </cfRule>
  </conditionalFormatting>
  <conditionalFormatting sqref="B31">
    <cfRule type="cellIs" dxfId="1145" priority="21" operator="between">
      <formula>10%</formula>
      <formula>11.9%</formula>
    </cfRule>
    <cfRule type="cellIs" dxfId="1144" priority="23" operator="lessThan">
      <formula>0.1</formula>
    </cfRule>
    <cfRule type="cellIs" dxfId="1143" priority="24" operator="greaterThanOrEqual">
      <formula>0.12</formula>
    </cfRule>
  </conditionalFormatting>
  <conditionalFormatting sqref="B44">
    <cfRule type="cellIs" dxfId="1142" priority="19" operator="between">
      <formula>0.1</formula>
      <formula>0.1199</formula>
    </cfRule>
    <cfRule type="cellIs" dxfId="1141" priority="20" operator="lessThan">
      <formula>0.1</formula>
    </cfRule>
    <cfRule type="cellIs" dxfId="1140" priority="22" operator="greaterThanOrEqual">
      <formula>0.12</formula>
    </cfRule>
  </conditionalFormatting>
  <conditionalFormatting sqref="B10">
    <cfRule type="containsText" dxfId="1139" priority="14" operator="containsText" text="Full">
      <formula>NOT(ISERROR(SEARCH("Full",B10)))</formula>
    </cfRule>
    <cfRule type="containsText" dxfId="1138" priority="15" operator="containsText" text="Heavy">
      <formula>NOT(ISERROR(SEARCH("Heavy",B10)))</formula>
    </cfRule>
    <cfRule type="containsText" dxfId="1137" priority="16" operator="containsText" text="Medium">
      <formula>NOT(ISERROR(SEARCH("Medium",B10)))</formula>
    </cfRule>
    <cfRule type="containsText" dxfId="1136" priority="17" operator="containsText" text="Light">
      <formula>NOT(ISERROR(SEARCH("Light",B10)))</formula>
    </cfRule>
    <cfRule type="containsText" dxfId="1135" priority="18" operator="containsText" text="None">
      <formula>NOT(ISERROR(SEARCH("None",B10)))</formula>
    </cfRule>
  </conditionalFormatting>
  <conditionalFormatting sqref="B30">
    <cfRule type="cellIs" dxfId="1134" priority="31" operator="lessThan">
      <formula>$B$8*100</formula>
    </cfRule>
    <cfRule type="cellIs" dxfId="1133" priority="32" operator="greaterThanOrEqual">
      <formula>$B$8*100</formula>
    </cfRule>
  </conditionalFormatting>
  <conditionalFormatting sqref="B43">
    <cfRule type="cellIs" dxfId="1132" priority="33" operator="lessThan">
      <formula>$B$8*100</formula>
    </cfRule>
    <cfRule type="cellIs" dxfId="1131" priority="34" operator="greaterThan">
      <formula>$B$8*100</formula>
    </cfRule>
    <cfRule type="cellIs" dxfId="1130" priority="35" operator="greaterThan">
      <formula>$B$8*100</formula>
    </cfRule>
  </conditionalFormatting>
  <conditionalFormatting sqref="B40">
    <cfRule type="cellIs" dxfId="1129" priority="9" operator="equal">
      <formula>"YES"</formula>
    </cfRule>
    <cfRule type="cellIs" dxfId="1128" priority="10" operator="equal">
      <formula>"NO"</formula>
    </cfRule>
  </conditionalFormatting>
  <conditionalFormatting sqref="E25:E28">
    <cfRule type="cellIs" dxfId="1127" priority="5" operator="equal">
      <formula>"NO"</formula>
    </cfRule>
    <cfRule type="cellIs" dxfId="1126" priority="6" operator="equal">
      <formula>"YES"</formula>
    </cfRule>
  </conditionalFormatting>
  <conditionalFormatting sqref="E31">
    <cfRule type="cellIs" dxfId="1125" priority="2" operator="between">
      <formula>10%</formula>
      <formula>12%</formula>
    </cfRule>
    <cfRule type="cellIs" dxfId="1124" priority="3" operator="lessThan">
      <formula>0.1</formula>
    </cfRule>
    <cfRule type="cellIs" dxfId="1123" priority="4" operator="greaterThan">
      <formula>0.12</formula>
    </cfRule>
  </conditionalFormatting>
  <conditionalFormatting sqref="E30">
    <cfRule type="cellIs" dxfId="1122" priority="7" operator="lessThan">
      <formula>$B$8*100</formula>
    </cfRule>
    <cfRule type="cellIs" dxfId="1121" priority="8" operator="greaterThan">
      <formula>$B$8*100</formula>
    </cfRule>
  </conditionalFormatting>
  <conditionalFormatting sqref="B46:B47">
    <cfRule type="cellIs" dxfId="1120" priority="1" operator="greaterThan">
      <formula>0</formula>
    </cfRule>
  </conditionalFormatting>
  <hyperlinks>
    <hyperlink ref="A34" r:id="rId1" display="https://www.zillow.com/homes/recently_sold/" xr:uid="{EF79A521-05E6-431D-9DED-F40CD3094CEC}"/>
    <hyperlink ref="A23" r:id="rId2" xr:uid="{9C6E4FC0-C334-489E-962A-657D85C057A5}"/>
    <hyperlink ref="A27" r:id="rId3" display="www.mortgagecalculator.org" xr:uid="{88DBA87F-854A-461F-8708-E03275C97089}"/>
    <hyperlink ref="A12" r:id="rId4" xr:uid="{9B8C202A-E03D-42E0-9D1B-5E572031AFD1}"/>
  </hyperlinks>
  <pageMargins left="0.7" right="0.7" top="0.75" bottom="0.75" header="0.3" footer="0.3"/>
  <drawing r:id="rId5"/>
  <legacyDrawing r:id="rId6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39BBF-04B6-45E3-9372-DA430B2A3B46}">
  <sheetPr codeName="Sheet207">
    <tabColor rgb="FFFF0000"/>
  </sheetPr>
  <dimension ref="A1:P47"/>
  <sheetViews>
    <sheetView topLeftCell="A13" workbookViewId="0">
      <selection activeCell="A28" sqref="A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302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129950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1544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116955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23160</v>
      </c>
      <c r="D15" s="2"/>
      <c r="E15" s="3"/>
    </row>
    <row r="16" spans="1:10" x14ac:dyDescent="0.25">
      <c r="A16" s="7" t="s">
        <v>20</v>
      </c>
      <c r="B16" s="17">
        <f>B15+B13</f>
        <v>140115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4904.0250000000005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135210.97500000001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1332</v>
      </c>
      <c r="D23" s="23" t="s">
        <v>28</v>
      </c>
      <c r="E23" s="8">
        <f>450*2</f>
        <v>900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1401.15</v>
      </c>
      <c r="D24" s="7" t="s">
        <v>77</v>
      </c>
      <c r="E24" s="17">
        <f>B16*0.01</f>
        <v>1401.15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1047.1500000000001</v>
      </c>
      <c r="D27" s="7" t="s">
        <v>38</v>
      </c>
      <c r="E27" s="35">
        <f>B27</f>
        <v>1047.1500000000001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1300.23</v>
      </c>
      <c r="D28" s="7" t="s">
        <v>41</v>
      </c>
      <c r="E28" s="17">
        <f>E27+I27+I36</f>
        <v>1300.23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31.769999999999982</v>
      </c>
      <c r="D30" s="7" t="s">
        <v>43</v>
      </c>
      <c r="E30" s="44">
        <f>E23-E27-I27-I36+I26+I35</f>
        <v>-267.03000000000009</v>
      </c>
      <c r="G30" s="28"/>
      <c r="H30" s="28"/>
      <c r="I30" s="28"/>
    </row>
    <row r="31" spans="1:16" ht="16.5" thickBot="1" x14ac:dyDescent="0.3">
      <c r="A31" s="7" t="s">
        <v>44</v>
      </c>
      <c r="B31" s="68" t="s">
        <v>298</v>
      </c>
      <c r="D31" s="46" t="s">
        <v>44</v>
      </c>
      <c r="E31" s="70" t="s">
        <v>298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39.96</v>
      </c>
    </row>
    <row r="33" spans="1:9" ht="15.75" x14ac:dyDescent="0.25">
      <c r="A33" s="75" t="s">
        <v>47</v>
      </c>
      <c r="B33" s="76"/>
      <c r="G33" s="27" t="s">
        <v>48</v>
      </c>
      <c r="H33" s="48">
        <v>0.03</v>
      </c>
      <c r="I33" s="49">
        <f>$B$23*H33</f>
        <v>39.96</v>
      </c>
    </row>
    <row r="34" spans="1:9" x14ac:dyDescent="0.25">
      <c r="A34" s="26" t="s">
        <v>49</v>
      </c>
      <c r="B34" s="8">
        <f>B16</f>
        <v>140115</v>
      </c>
      <c r="G34" s="27" t="s">
        <v>50</v>
      </c>
      <c r="H34" s="48">
        <v>0.03</v>
      </c>
      <c r="I34" s="49">
        <f>$B$23*H34</f>
        <v>39.96</v>
      </c>
    </row>
    <row r="35" spans="1:9" x14ac:dyDescent="0.25">
      <c r="A35" s="7" t="s">
        <v>51</v>
      </c>
      <c r="B35" s="17">
        <f>B34-B20</f>
        <v>4904.0249999999942</v>
      </c>
      <c r="G35" s="27" t="s">
        <v>52</v>
      </c>
      <c r="H35" s="48">
        <v>0.1</v>
      </c>
      <c r="I35" s="49">
        <f>$B$23*H35</f>
        <v>133.20000000000002</v>
      </c>
    </row>
    <row r="36" spans="1:9" ht="15.75" thickBot="1" x14ac:dyDescent="0.3">
      <c r="A36" s="7" t="s">
        <v>53</v>
      </c>
      <c r="B36" s="50">
        <f>B35/B17</f>
        <v>0.99999999999999867</v>
      </c>
      <c r="G36" s="36" t="s">
        <v>39</v>
      </c>
      <c r="H36" s="37"/>
      <c r="I36" s="51">
        <f>SUM(I32:I35)</f>
        <v>253.08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95.774440625000011</v>
      </c>
      <c r="D41" s="58"/>
      <c r="E41" s="61"/>
    </row>
    <row r="42" spans="1:9" x14ac:dyDescent="0.25">
      <c r="A42" s="7" t="s">
        <v>58</v>
      </c>
      <c r="B42" s="17">
        <f>B27-B41</f>
        <v>951.37555937500008</v>
      </c>
      <c r="D42" s="58"/>
      <c r="E42" s="61"/>
    </row>
    <row r="43" spans="1:9" x14ac:dyDescent="0.25">
      <c r="A43" s="7" t="s">
        <v>59</v>
      </c>
      <c r="B43" s="43">
        <f>B23-B42-I27-I36</f>
        <v>127.54444062499991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0.31209736644898811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1120.92</v>
      </c>
    </row>
    <row r="47" spans="1:9" ht="15.75" thickBot="1" x14ac:dyDescent="0.3">
      <c r="A47" s="63" t="s">
        <v>251</v>
      </c>
      <c r="B47" s="65">
        <f>B16*0.02</f>
        <v>2802.3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119" priority="29" operator="equal">
      <formula>"NO"</formula>
    </cfRule>
    <cfRule type="cellIs" dxfId="1118" priority="30" operator="equal">
      <formula>"YES"</formula>
    </cfRule>
  </conditionalFormatting>
  <conditionalFormatting sqref="E40">
    <cfRule type="cellIs" dxfId="1117" priority="27" operator="equal">
      <formula>"YES"</formula>
    </cfRule>
    <cfRule type="cellIs" dxfId="1116" priority="28" operator="equal">
      <formula>"NO"</formula>
    </cfRule>
  </conditionalFormatting>
  <conditionalFormatting sqref="B25">
    <cfRule type="cellIs" dxfId="1115" priority="25" operator="equal">
      <formula>"NO"</formula>
    </cfRule>
    <cfRule type="cellIs" dxfId="1114" priority="26" operator="equal">
      <formula>"YES"</formula>
    </cfRule>
  </conditionalFormatting>
  <conditionalFormatting sqref="B12">
    <cfRule type="containsText" dxfId="1113" priority="11" operator="containsText" text="Low">
      <formula>NOT(ISERROR(SEARCH("Low",B12)))</formula>
    </cfRule>
    <cfRule type="containsText" dxfId="1112" priority="12" operator="containsText" text="Medium">
      <formula>NOT(ISERROR(SEARCH("Medium",B12)))</formula>
    </cfRule>
    <cfRule type="containsText" dxfId="1111" priority="13" operator="containsText" text="High">
      <formula>NOT(ISERROR(SEARCH("High",B12)))</formula>
    </cfRule>
  </conditionalFormatting>
  <conditionalFormatting sqref="B31">
    <cfRule type="cellIs" dxfId="1110" priority="21" operator="between">
      <formula>10%</formula>
      <formula>11.9%</formula>
    </cfRule>
    <cfRule type="cellIs" dxfId="1109" priority="23" operator="lessThan">
      <formula>0.1</formula>
    </cfRule>
    <cfRule type="cellIs" dxfId="1108" priority="24" operator="greaterThanOrEqual">
      <formula>0.12</formula>
    </cfRule>
  </conditionalFormatting>
  <conditionalFormatting sqref="B44">
    <cfRule type="cellIs" dxfId="1107" priority="19" operator="between">
      <formula>0.1</formula>
      <formula>0.1199</formula>
    </cfRule>
    <cfRule type="cellIs" dxfId="1106" priority="20" operator="lessThan">
      <formula>0.1</formula>
    </cfRule>
    <cfRule type="cellIs" dxfId="1105" priority="22" operator="greaterThanOrEqual">
      <formula>0.12</formula>
    </cfRule>
  </conditionalFormatting>
  <conditionalFormatting sqref="B10">
    <cfRule type="containsText" dxfId="1104" priority="14" operator="containsText" text="Full">
      <formula>NOT(ISERROR(SEARCH("Full",B10)))</formula>
    </cfRule>
    <cfRule type="containsText" dxfId="1103" priority="15" operator="containsText" text="Heavy">
      <formula>NOT(ISERROR(SEARCH("Heavy",B10)))</formula>
    </cfRule>
    <cfRule type="containsText" dxfId="1102" priority="16" operator="containsText" text="Medium">
      <formula>NOT(ISERROR(SEARCH("Medium",B10)))</formula>
    </cfRule>
    <cfRule type="containsText" dxfId="1101" priority="17" operator="containsText" text="Light">
      <formula>NOT(ISERROR(SEARCH("Light",B10)))</formula>
    </cfRule>
    <cfRule type="containsText" dxfId="1100" priority="18" operator="containsText" text="None">
      <formula>NOT(ISERROR(SEARCH("None",B10)))</formula>
    </cfRule>
  </conditionalFormatting>
  <conditionalFormatting sqref="B30">
    <cfRule type="cellIs" dxfId="1099" priority="31" operator="lessThan">
      <formula>$B$8*100</formula>
    </cfRule>
    <cfRule type="cellIs" dxfId="1098" priority="32" operator="greaterThanOrEqual">
      <formula>$B$8*100</formula>
    </cfRule>
  </conditionalFormatting>
  <conditionalFormatting sqref="B43">
    <cfRule type="cellIs" dxfId="1097" priority="33" operator="lessThan">
      <formula>$B$8*100</formula>
    </cfRule>
    <cfRule type="cellIs" dxfId="1096" priority="34" operator="greaterThan">
      <formula>$B$8*100</formula>
    </cfRule>
    <cfRule type="cellIs" dxfId="1095" priority="35" operator="greaterThan">
      <formula>$B$8*100</formula>
    </cfRule>
  </conditionalFormatting>
  <conditionalFormatting sqref="B40">
    <cfRule type="cellIs" dxfId="1094" priority="9" operator="equal">
      <formula>"YES"</formula>
    </cfRule>
    <cfRule type="cellIs" dxfId="1093" priority="10" operator="equal">
      <formula>"NO"</formula>
    </cfRule>
  </conditionalFormatting>
  <conditionalFormatting sqref="E25:E28">
    <cfRule type="cellIs" dxfId="1092" priority="5" operator="equal">
      <formula>"NO"</formula>
    </cfRule>
    <cfRule type="cellIs" dxfId="1091" priority="6" operator="equal">
      <formula>"YES"</formula>
    </cfRule>
  </conditionalFormatting>
  <conditionalFormatting sqref="E31">
    <cfRule type="cellIs" dxfId="1090" priority="2" operator="between">
      <formula>10%</formula>
      <formula>12%</formula>
    </cfRule>
    <cfRule type="cellIs" dxfId="1089" priority="3" operator="lessThan">
      <formula>0.1</formula>
    </cfRule>
    <cfRule type="cellIs" dxfId="1088" priority="4" operator="greaterThan">
      <formula>0.12</formula>
    </cfRule>
  </conditionalFormatting>
  <conditionalFormatting sqref="E30">
    <cfRule type="cellIs" dxfId="1087" priority="7" operator="lessThan">
      <formula>$B$8*100</formula>
    </cfRule>
    <cfRule type="cellIs" dxfId="1086" priority="8" operator="greaterThan">
      <formula>$B$8*100</formula>
    </cfRule>
  </conditionalFormatting>
  <conditionalFormatting sqref="B46:B47">
    <cfRule type="cellIs" dxfId="1085" priority="1" operator="greaterThan">
      <formula>0</formula>
    </cfRule>
  </conditionalFormatting>
  <hyperlinks>
    <hyperlink ref="A34" r:id="rId1" display="https://www.zillow.com/homes/recently_sold/" xr:uid="{78E7B5EE-7707-40B0-9660-6007F27B4D19}"/>
    <hyperlink ref="A23" r:id="rId2" xr:uid="{BD224518-A4A5-4ECD-8A60-A607B75C5F0A}"/>
    <hyperlink ref="A27" r:id="rId3" display="www.mortgagecalculator.org" xr:uid="{AD8D0F94-4014-40F1-B7D2-B65C2EFF393F}"/>
    <hyperlink ref="A12" r:id="rId4" xr:uid="{42F157B5-FA40-400E-B0EF-0FF6811917AF}"/>
  </hyperlinks>
  <pageMargins left="0.7" right="0.7" top="0.75" bottom="0.75" header="0.3" footer="0.3"/>
  <drawing r:id="rId5"/>
  <legacyDrawing r:id="rId6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7F8E-FE74-4BBF-AF4E-18EBE2A31A65}">
  <sheetPr codeName="Sheet208">
    <tabColor rgb="FFFF0000"/>
  </sheetPr>
  <dimension ref="A1:P47"/>
  <sheetViews>
    <sheetView topLeftCell="A17" workbookViewId="0">
      <selection activeCell="A31" sqref="A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113000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2205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101700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B14*B9/2.5</f>
        <v>13230</v>
      </c>
      <c r="D15" s="2"/>
      <c r="E15" s="3"/>
    </row>
    <row r="16" spans="1:10" x14ac:dyDescent="0.25">
      <c r="A16" s="7" t="s">
        <v>20</v>
      </c>
      <c r="B16" s="17">
        <f>B15+B13</f>
        <v>114930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4022.55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110907.45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1234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1149.3</v>
      </c>
      <c r="D24" s="7" t="s">
        <v>77</v>
      </c>
      <c r="E24" s="17">
        <f>B16*0.01</f>
        <v>1149.3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1033.05</v>
      </c>
      <c r="D27" s="7" t="s">
        <v>38</v>
      </c>
      <c r="E27" s="35">
        <f>B27</f>
        <v>1033.05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1341.55</v>
      </c>
      <c r="D28" s="7" t="s">
        <v>41</v>
      </c>
      <c r="E28" s="17">
        <f>E27+I27+I36</f>
        <v>1341.55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-107.54999999999995</v>
      </c>
      <c r="D30" s="7" t="s">
        <v>43</v>
      </c>
      <c r="E30" s="44">
        <f>E23-E27-I27-I36+I26+I35</f>
        <v>-168.14999999999995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61.7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61.7</v>
      </c>
    </row>
    <row r="34" spans="1:9" x14ac:dyDescent="0.25">
      <c r="A34" s="26" t="s">
        <v>49</v>
      </c>
      <c r="B34" s="8">
        <f>B16</f>
        <v>114930</v>
      </c>
      <c r="G34" s="27" t="s">
        <v>50</v>
      </c>
      <c r="H34" s="48">
        <v>0.05</v>
      </c>
      <c r="I34" s="49">
        <f>$B$23*H34</f>
        <v>61.7</v>
      </c>
    </row>
    <row r="35" spans="1:9" x14ac:dyDescent="0.25">
      <c r="A35" s="7" t="s">
        <v>51</v>
      </c>
      <c r="B35" s="17">
        <f>B34-B20</f>
        <v>4022.5500000000029</v>
      </c>
      <c r="G35" s="27" t="s">
        <v>52</v>
      </c>
      <c r="H35" s="48">
        <v>0.1</v>
      </c>
      <c r="I35" s="49">
        <f>$B$23*H35</f>
        <v>123.4</v>
      </c>
    </row>
    <row r="36" spans="1:9" ht="15.75" thickBot="1" x14ac:dyDescent="0.3">
      <c r="A36" s="7" t="s">
        <v>53</v>
      </c>
      <c r="B36" s="50">
        <f>B35/B17</f>
        <v>1.0000000000000007</v>
      </c>
      <c r="G36" s="36" t="s">
        <v>39</v>
      </c>
      <c r="H36" s="37"/>
      <c r="I36" s="51">
        <f>SUM(I32:I35)</f>
        <v>308.5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78.55944375</v>
      </c>
      <c r="D41" s="58"/>
      <c r="E41" s="61"/>
    </row>
    <row r="42" spans="1:9" x14ac:dyDescent="0.25">
      <c r="A42" s="7" t="s">
        <v>58</v>
      </c>
      <c r="B42" s="17">
        <f>B27-B41</f>
        <v>954.49055624999994</v>
      </c>
      <c r="D42" s="58"/>
      <c r="E42" s="61"/>
    </row>
    <row r="43" spans="1:9" x14ac:dyDescent="0.25">
      <c r="A43" s="7" t="s">
        <v>59</v>
      </c>
      <c r="B43" s="43">
        <f>B23-B42-I27-I36</f>
        <v>-28.990556249999941</v>
      </c>
      <c r="D43" s="58"/>
      <c r="E43" s="61"/>
    </row>
    <row r="44" spans="1:9" ht="15.75" thickBot="1" x14ac:dyDescent="0.3">
      <c r="A44" s="46" t="s">
        <v>44</v>
      </c>
      <c r="B44" s="47">
        <f>(B43*12)/B17</f>
        <v>-8.6484114554200506E-2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919.43999999999994</v>
      </c>
    </row>
    <row r="47" spans="1:9" ht="15.75" thickBot="1" x14ac:dyDescent="0.3">
      <c r="A47" s="63" t="s">
        <v>251</v>
      </c>
      <c r="B47" s="65">
        <f>B16*0.02</f>
        <v>2298.6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084" priority="29" operator="equal">
      <formula>"NO"</formula>
    </cfRule>
    <cfRule type="cellIs" dxfId="1083" priority="30" operator="equal">
      <formula>"YES"</formula>
    </cfRule>
  </conditionalFormatting>
  <conditionalFormatting sqref="E40">
    <cfRule type="cellIs" dxfId="1082" priority="27" operator="equal">
      <formula>"YES"</formula>
    </cfRule>
    <cfRule type="cellIs" dxfId="1081" priority="28" operator="equal">
      <formula>"NO"</formula>
    </cfRule>
  </conditionalFormatting>
  <conditionalFormatting sqref="B25">
    <cfRule type="cellIs" dxfId="1080" priority="25" operator="equal">
      <formula>"NO"</formula>
    </cfRule>
    <cfRule type="cellIs" dxfId="1079" priority="26" operator="equal">
      <formula>"YES"</formula>
    </cfRule>
  </conditionalFormatting>
  <conditionalFormatting sqref="B12">
    <cfRule type="containsText" dxfId="1078" priority="11" operator="containsText" text="Low">
      <formula>NOT(ISERROR(SEARCH("Low",B12)))</formula>
    </cfRule>
    <cfRule type="containsText" dxfId="1077" priority="12" operator="containsText" text="Medium">
      <formula>NOT(ISERROR(SEARCH("Medium",B12)))</formula>
    </cfRule>
    <cfRule type="containsText" dxfId="1076" priority="13" operator="containsText" text="High">
      <formula>NOT(ISERROR(SEARCH("High",B12)))</formula>
    </cfRule>
  </conditionalFormatting>
  <conditionalFormatting sqref="B31">
    <cfRule type="cellIs" dxfId="1075" priority="21" operator="between">
      <formula>10%</formula>
      <formula>11.9%</formula>
    </cfRule>
    <cfRule type="cellIs" dxfId="1074" priority="23" operator="lessThan">
      <formula>0.1</formula>
    </cfRule>
    <cfRule type="cellIs" dxfId="1073" priority="24" operator="greaterThanOrEqual">
      <formula>0.12</formula>
    </cfRule>
  </conditionalFormatting>
  <conditionalFormatting sqref="B44">
    <cfRule type="cellIs" dxfId="1072" priority="19" operator="between">
      <formula>0.1</formula>
      <formula>0.1199</formula>
    </cfRule>
    <cfRule type="cellIs" dxfId="1071" priority="20" operator="lessThan">
      <formula>0.1</formula>
    </cfRule>
    <cfRule type="cellIs" dxfId="1070" priority="22" operator="greaterThanOrEqual">
      <formula>0.12</formula>
    </cfRule>
  </conditionalFormatting>
  <conditionalFormatting sqref="B10">
    <cfRule type="containsText" dxfId="1069" priority="14" operator="containsText" text="Full">
      <formula>NOT(ISERROR(SEARCH("Full",B10)))</formula>
    </cfRule>
    <cfRule type="containsText" dxfId="1068" priority="15" operator="containsText" text="Heavy">
      <formula>NOT(ISERROR(SEARCH("Heavy",B10)))</formula>
    </cfRule>
    <cfRule type="containsText" dxfId="1067" priority="16" operator="containsText" text="Medium">
      <formula>NOT(ISERROR(SEARCH("Medium",B10)))</formula>
    </cfRule>
    <cfRule type="containsText" dxfId="1066" priority="17" operator="containsText" text="Light">
      <formula>NOT(ISERROR(SEARCH("Light",B10)))</formula>
    </cfRule>
    <cfRule type="containsText" dxfId="1065" priority="18" operator="containsText" text="None">
      <formula>NOT(ISERROR(SEARCH("None",B10)))</formula>
    </cfRule>
  </conditionalFormatting>
  <conditionalFormatting sqref="B30">
    <cfRule type="cellIs" dxfId="1064" priority="31" operator="lessThan">
      <formula>$B$8*100</formula>
    </cfRule>
    <cfRule type="cellIs" dxfId="1063" priority="32" operator="greaterThanOrEqual">
      <formula>$B$8*100</formula>
    </cfRule>
  </conditionalFormatting>
  <conditionalFormatting sqref="B43">
    <cfRule type="cellIs" dxfId="1062" priority="33" operator="lessThan">
      <formula>$B$8*100</formula>
    </cfRule>
    <cfRule type="cellIs" dxfId="1061" priority="34" operator="greaterThan">
      <formula>$B$8*100</formula>
    </cfRule>
    <cfRule type="cellIs" dxfId="1060" priority="35" operator="greaterThan">
      <formula>$B$8*100</formula>
    </cfRule>
  </conditionalFormatting>
  <conditionalFormatting sqref="B40">
    <cfRule type="cellIs" dxfId="1059" priority="9" operator="equal">
      <formula>"YES"</formula>
    </cfRule>
    <cfRule type="cellIs" dxfId="1058" priority="10" operator="equal">
      <formula>"NO"</formula>
    </cfRule>
  </conditionalFormatting>
  <conditionalFormatting sqref="E25:E28">
    <cfRule type="cellIs" dxfId="1057" priority="5" operator="equal">
      <formula>"NO"</formula>
    </cfRule>
    <cfRule type="cellIs" dxfId="1056" priority="6" operator="equal">
      <formula>"YES"</formula>
    </cfRule>
  </conditionalFormatting>
  <conditionalFormatting sqref="E31">
    <cfRule type="cellIs" dxfId="1055" priority="2" operator="between">
      <formula>10%</formula>
      <formula>12%</formula>
    </cfRule>
    <cfRule type="cellIs" dxfId="1054" priority="3" operator="lessThan">
      <formula>0.1</formula>
    </cfRule>
    <cfRule type="cellIs" dxfId="1053" priority="4" operator="greaterThan">
      <formula>0.12</formula>
    </cfRule>
  </conditionalFormatting>
  <conditionalFormatting sqref="E30">
    <cfRule type="cellIs" dxfId="1052" priority="7" operator="lessThan">
      <formula>$B$8*100</formula>
    </cfRule>
    <cfRule type="cellIs" dxfId="1051" priority="8" operator="greaterThan">
      <formula>$B$8*100</formula>
    </cfRule>
  </conditionalFormatting>
  <conditionalFormatting sqref="B46:B47">
    <cfRule type="cellIs" dxfId="1050" priority="1" operator="greaterThan">
      <formula>0</formula>
    </cfRule>
  </conditionalFormatting>
  <hyperlinks>
    <hyperlink ref="A34" r:id="rId1" display="https://www.zillow.com/homes/recently_sold/" xr:uid="{BCBD7E82-C37B-4701-8A50-719FAEE9186A}"/>
    <hyperlink ref="A23" r:id="rId2" xr:uid="{CB5AA1A9-3E24-46C5-A78A-4DBC3E50F5C2}"/>
    <hyperlink ref="A27" r:id="rId3" display="www.mortgagecalculator.org" xr:uid="{7C39FA30-44C3-4255-908C-027D88080B72}"/>
    <hyperlink ref="A12" r:id="rId4" xr:uid="{2605DAC0-6986-4AF2-BDB0-21359DDB7D24}"/>
  </hyperlinks>
  <pageMargins left="0.7" right="0.7" top="0.75" bottom="0.75" header="0.3" footer="0.3"/>
  <drawing r:id="rId5"/>
  <legacyDrawing r:id="rId6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55662-CEA8-42FC-8C62-628FA55CA52C}">
  <sheetPr codeName="Sheet209">
    <tabColor rgb="FFFF0000"/>
  </sheetPr>
  <dimension ref="A1:P47"/>
  <sheetViews>
    <sheetView topLeftCell="A11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305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1665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304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107910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B14*B9/1.5</f>
        <v>16650</v>
      </c>
      <c r="D15" s="2"/>
      <c r="E15" s="3"/>
    </row>
    <row r="16" spans="1:10" x14ac:dyDescent="0.25">
      <c r="A16" s="7" t="s">
        <v>20</v>
      </c>
      <c r="B16" s="17">
        <f>B15+B13</f>
        <v>124560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4359.6000000000004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120200.4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1170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1245.6000000000001</v>
      </c>
      <c r="D24" s="7" t="s">
        <v>77</v>
      </c>
      <c r="E24" s="17">
        <f>B16*0.01</f>
        <v>1245.6000000000001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959</v>
      </c>
      <c r="D27" s="7" t="s">
        <v>38</v>
      </c>
      <c r="E27" s="35">
        <f>B27</f>
        <v>959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1251.5</v>
      </c>
      <c r="D28" s="7" t="s">
        <v>41</v>
      </c>
      <c r="E28" s="17">
        <f>E27+I27+I36</f>
        <v>1251.5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-81.5</v>
      </c>
      <c r="D30" s="7" t="s">
        <v>43</v>
      </c>
      <c r="E30" s="44">
        <f>E23-E27-I27-I36+I26+I35</f>
        <v>-84.5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58.5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58.5</v>
      </c>
    </row>
    <row r="34" spans="1:9" x14ac:dyDescent="0.25">
      <c r="A34" s="26" t="s">
        <v>49</v>
      </c>
      <c r="B34" s="8">
        <f>B16</f>
        <v>124560</v>
      </c>
      <c r="G34" s="27" t="s">
        <v>50</v>
      </c>
      <c r="H34" s="48">
        <v>0.05</v>
      </c>
      <c r="I34" s="49">
        <f>$B$23*H34</f>
        <v>58.5</v>
      </c>
    </row>
    <row r="35" spans="1:9" x14ac:dyDescent="0.25">
      <c r="A35" s="7" t="s">
        <v>51</v>
      </c>
      <c r="B35" s="17">
        <f>B34-B20</f>
        <v>4359.6000000000058</v>
      </c>
      <c r="G35" s="27" t="s">
        <v>52</v>
      </c>
      <c r="H35" s="48">
        <v>0.1</v>
      </c>
      <c r="I35" s="49">
        <f>$B$23*H35</f>
        <v>117</v>
      </c>
    </row>
    <row r="36" spans="1:9" ht="15.75" thickBot="1" x14ac:dyDescent="0.3">
      <c r="A36" s="7" t="s">
        <v>53</v>
      </c>
      <c r="B36" s="50">
        <f>B35/B17</f>
        <v>1.0000000000000013</v>
      </c>
      <c r="G36" s="36" t="s">
        <v>39</v>
      </c>
      <c r="H36" s="37"/>
      <c r="I36" s="51">
        <f>SUM(I32:I35)</f>
        <v>292.5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85.141949999999994</v>
      </c>
      <c r="D41" s="58"/>
      <c r="E41" s="61"/>
    </row>
    <row r="42" spans="1:9" x14ac:dyDescent="0.25">
      <c r="A42" s="7" t="s">
        <v>58</v>
      </c>
      <c r="B42" s="17">
        <f>B27-B41</f>
        <v>873.85805000000005</v>
      </c>
      <c r="D42" s="58"/>
      <c r="E42" s="61"/>
    </row>
    <row r="43" spans="1:9" x14ac:dyDescent="0.25">
      <c r="A43" s="7" t="s">
        <v>59</v>
      </c>
      <c r="B43" s="43">
        <f>B23-B42-I27-I36</f>
        <v>3.6419499999999516</v>
      </c>
      <c r="D43" s="58"/>
      <c r="E43" s="61"/>
    </row>
    <row r="44" spans="1:9" ht="15.75" thickBot="1" x14ac:dyDescent="0.3">
      <c r="A44" s="46" t="s">
        <v>44</v>
      </c>
      <c r="B44" s="47">
        <f>(B43*12)/B17</f>
        <v>1.0024635287640934E-2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996.4799999999999</v>
      </c>
    </row>
    <row r="47" spans="1:9" ht="15.75" thickBot="1" x14ac:dyDescent="0.3">
      <c r="A47" s="63" t="s">
        <v>251</v>
      </c>
      <c r="B47" s="65">
        <f>B16*0.02</f>
        <v>2491.2000000000003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049" priority="29" operator="equal">
      <formula>"NO"</formula>
    </cfRule>
    <cfRule type="cellIs" dxfId="1048" priority="30" operator="equal">
      <formula>"YES"</formula>
    </cfRule>
  </conditionalFormatting>
  <conditionalFormatting sqref="E40">
    <cfRule type="cellIs" dxfId="1047" priority="27" operator="equal">
      <formula>"YES"</formula>
    </cfRule>
    <cfRule type="cellIs" dxfId="1046" priority="28" operator="equal">
      <formula>"NO"</formula>
    </cfRule>
  </conditionalFormatting>
  <conditionalFormatting sqref="B25">
    <cfRule type="cellIs" dxfId="1045" priority="25" operator="equal">
      <formula>"NO"</formula>
    </cfRule>
    <cfRule type="cellIs" dxfId="1044" priority="26" operator="equal">
      <formula>"YES"</formula>
    </cfRule>
  </conditionalFormatting>
  <conditionalFormatting sqref="B12">
    <cfRule type="containsText" dxfId="1043" priority="11" operator="containsText" text="Low">
      <formula>NOT(ISERROR(SEARCH("Low",B12)))</formula>
    </cfRule>
    <cfRule type="containsText" dxfId="1042" priority="12" operator="containsText" text="Medium">
      <formula>NOT(ISERROR(SEARCH("Medium",B12)))</formula>
    </cfRule>
    <cfRule type="containsText" dxfId="1041" priority="13" operator="containsText" text="High">
      <formula>NOT(ISERROR(SEARCH("High",B12)))</formula>
    </cfRule>
  </conditionalFormatting>
  <conditionalFormatting sqref="B31">
    <cfRule type="cellIs" dxfId="1040" priority="21" operator="between">
      <formula>10%</formula>
      <formula>11.9%</formula>
    </cfRule>
    <cfRule type="cellIs" dxfId="1039" priority="23" operator="lessThan">
      <formula>0.1</formula>
    </cfRule>
    <cfRule type="cellIs" dxfId="1038" priority="24" operator="greaterThanOrEqual">
      <formula>0.12</formula>
    </cfRule>
  </conditionalFormatting>
  <conditionalFormatting sqref="B44">
    <cfRule type="cellIs" dxfId="1037" priority="19" operator="between">
      <formula>0.1</formula>
      <formula>0.1199</formula>
    </cfRule>
    <cfRule type="cellIs" dxfId="1036" priority="20" operator="lessThan">
      <formula>0.1</formula>
    </cfRule>
    <cfRule type="cellIs" dxfId="1035" priority="22" operator="greaterThanOrEqual">
      <formula>0.12</formula>
    </cfRule>
  </conditionalFormatting>
  <conditionalFormatting sqref="B10">
    <cfRule type="containsText" dxfId="1034" priority="14" operator="containsText" text="Full">
      <formula>NOT(ISERROR(SEARCH("Full",B10)))</formula>
    </cfRule>
    <cfRule type="containsText" dxfId="1033" priority="15" operator="containsText" text="Heavy">
      <formula>NOT(ISERROR(SEARCH("Heavy",B10)))</formula>
    </cfRule>
    <cfRule type="containsText" dxfId="1032" priority="16" operator="containsText" text="Medium">
      <formula>NOT(ISERROR(SEARCH("Medium",B10)))</formula>
    </cfRule>
    <cfRule type="containsText" dxfId="1031" priority="17" operator="containsText" text="Light">
      <formula>NOT(ISERROR(SEARCH("Light",B10)))</formula>
    </cfRule>
    <cfRule type="containsText" dxfId="1030" priority="18" operator="containsText" text="None">
      <formula>NOT(ISERROR(SEARCH("None",B10)))</formula>
    </cfRule>
  </conditionalFormatting>
  <conditionalFormatting sqref="B30">
    <cfRule type="cellIs" dxfId="1029" priority="31" operator="lessThan">
      <formula>$B$8*100</formula>
    </cfRule>
    <cfRule type="cellIs" dxfId="1028" priority="32" operator="greaterThanOrEqual">
      <formula>$B$8*100</formula>
    </cfRule>
  </conditionalFormatting>
  <conditionalFormatting sqref="B43">
    <cfRule type="cellIs" dxfId="1027" priority="33" operator="lessThan">
      <formula>$B$8*100</formula>
    </cfRule>
    <cfRule type="cellIs" dxfId="1026" priority="34" operator="greaterThan">
      <formula>$B$8*100</formula>
    </cfRule>
    <cfRule type="cellIs" dxfId="1025" priority="35" operator="greaterThan">
      <formula>$B$8*100</formula>
    </cfRule>
  </conditionalFormatting>
  <conditionalFormatting sqref="B40">
    <cfRule type="cellIs" dxfId="1024" priority="9" operator="equal">
      <formula>"YES"</formula>
    </cfRule>
    <cfRule type="cellIs" dxfId="1023" priority="10" operator="equal">
      <formula>"NO"</formula>
    </cfRule>
  </conditionalFormatting>
  <conditionalFormatting sqref="E25:E28">
    <cfRule type="cellIs" dxfId="1022" priority="5" operator="equal">
      <formula>"NO"</formula>
    </cfRule>
    <cfRule type="cellIs" dxfId="1021" priority="6" operator="equal">
      <formula>"YES"</formula>
    </cfRule>
  </conditionalFormatting>
  <conditionalFormatting sqref="E31">
    <cfRule type="cellIs" dxfId="1020" priority="2" operator="between">
      <formula>10%</formula>
      <formula>12%</formula>
    </cfRule>
    <cfRule type="cellIs" dxfId="1019" priority="3" operator="lessThan">
      <formula>0.1</formula>
    </cfRule>
    <cfRule type="cellIs" dxfId="1018" priority="4" operator="greaterThan">
      <formula>0.12</formula>
    </cfRule>
  </conditionalFormatting>
  <conditionalFormatting sqref="E30">
    <cfRule type="cellIs" dxfId="1017" priority="7" operator="lessThan">
      <formula>$B$8*100</formula>
    </cfRule>
    <cfRule type="cellIs" dxfId="1016" priority="8" operator="greaterThan">
      <formula>$B$8*100</formula>
    </cfRule>
  </conditionalFormatting>
  <conditionalFormatting sqref="B46:B47">
    <cfRule type="cellIs" dxfId="1015" priority="1" operator="greaterThan">
      <formula>0</formula>
    </cfRule>
  </conditionalFormatting>
  <hyperlinks>
    <hyperlink ref="A34" r:id="rId1" display="https://www.zillow.com/homes/recently_sold/" xr:uid="{2AC1FD5E-56B0-4180-AA0F-7ABBFEB6DE2F}"/>
    <hyperlink ref="A23" r:id="rId2" xr:uid="{29F53E8E-BF6E-42A5-B9E5-23D126F96146}"/>
    <hyperlink ref="A27" r:id="rId3" display="www.mortgagecalculator.org" xr:uid="{6DFD080F-FB9C-4514-8094-10B8BD936863}"/>
    <hyperlink ref="A12" r:id="rId4" xr:uid="{691FC523-007C-4911-83B7-75655963DA68}"/>
  </hyperlinks>
  <pageMargins left="0.7" right="0.7" top="0.75" bottom="0.75" header="0.3" footer="0.3"/>
  <drawing r:id="rId5"/>
  <legacyDrawing r:id="rId6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90FF-6294-4732-8524-CF83B946B796}">
  <sheetPr codeName="Sheet210">
    <tabColor rgb="FFFF0000"/>
  </sheetPr>
  <dimension ref="A1:P47"/>
  <sheetViews>
    <sheetView topLeftCell="A11" workbookViewId="0">
      <selection activeCell="B24" sqref="B2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306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72000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B14*B9/1.5</f>
        <v>27333.333333333332</v>
      </c>
      <c r="D15" s="2"/>
      <c r="E15" s="3"/>
    </row>
    <row r="16" spans="1:10" x14ac:dyDescent="0.25">
      <c r="A16" s="7" t="s">
        <v>20</v>
      </c>
      <c r="B16" s="17">
        <f>B15+B13</f>
        <v>99333.333333333328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3476.666666666667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95856.666666666657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1055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993.33333333333326</v>
      </c>
      <c r="D24" s="7" t="s">
        <v>77</v>
      </c>
      <c r="E24" s="17">
        <f>B16*0.01</f>
        <v>993.33333333333326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817.2</v>
      </c>
      <c r="D27" s="7" t="s">
        <v>38</v>
      </c>
      <c r="E27" s="35">
        <f>B27</f>
        <v>817.2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1080.95</v>
      </c>
      <c r="D28" s="7" t="s">
        <v>41</v>
      </c>
      <c r="E28" s="17">
        <f>E27+I27+I36</f>
        <v>1080.95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-25.950000000000045</v>
      </c>
      <c r="D30" s="7" t="s">
        <v>43</v>
      </c>
      <c r="E30" s="44">
        <f>E23-E27-I27-I36+I26+I35</f>
        <v>74.549999999999955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52.75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52.75</v>
      </c>
    </row>
    <row r="34" spans="1:9" x14ac:dyDescent="0.25">
      <c r="A34" s="26" t="s">
        <v>49</v>
      </c>
      <c r="B34" s="8">
        <f>B16</f>
        <v>99333.333333333328</v>
      </c>
      <c r="G34" s="27" t="s">
        <v>50</v>
      </c>
      <c r="H34" s="48">
        <v>0.05</v>
      </c>
      <c r="I34" s="49">
        <f>$B$23*H34</f>
        <v>52.75</v>
      </c>
    </row>
    <row r="35" spans="1:9" x14ac:dyDescent="0.25">
      <c r="A35" s="7" t="s">
        <v>51</v>
      </c>
      <c r="B35" s="17">
        <f>B34-B20</f>
        <v>3476.6666666666715</v>
      </c>
      <c r="G35" s="27" t="s">
        <v>52</v>
      </c>
      <c r="H35" s="48">
        <v>0.1</v>
      </c>
      <c r="I35" s="49">
        <f>$B$23*H35</f>
        <v>105.5</v>
      </c>
    </row>
    <row r="36" spans="1:9" ht="15.75" thickBot="1" x14ac:dyDescent="0.3">
      <c r="A36" s="7" t="s">
        <v>53</v>
      </c>
      <c r="B36" s="50">
        <f>B35/B17</f>
        <v>1.0000000000000013</v>
      </c>
      <c r="G36" s="36" t="s">
        <v>39</v>
      </c>
      <c r="H36" s="37"/>
      <c r="I36" s="51">
        <f>SUM(I32:I35)</f>
        <v>263.75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67.898472222222225</v>
      </c>
      <c r="D41" s="58"/>
      <c r="E41" s="61"/>
    </row>
    <row r="42" spans="1:9" x14ac:dyDescent="0.25">
      <c r="A42" s="7" t="s">
        <v>58</v>
      </c>
      <c r="B42" s="17">
        <f>B27-B41</f>
        <v>749.30152777777778</v>
      </c>
      <c r="D42" s="58"/>
      <c r="E42" s="61"/>
    </row>
    <row r="43" spans="1:9" x14ac:dyDescent="0.25">
      <c r="A43" s="7" t="s">
        <v>59</v>
      </c>
      <c r="B43" s="43">
        <f>B23-B42-I27-I36</f>
        <v>41.948472222222222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0.14478859060402682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794.66666666666663</v>
      </c>
    </row>
    <row r="47" spans="1:9" ht="15.75" thickBot="1" x14ac:dyDescent="0.3">
      <c r="A47" s="63" t="s">
        <v>251</v>
      </c>
      <c r="B47" s="65">
        <f>B16*0.02</f>
        <v>1986.6666666666665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1014" priority="29" operator="equal">
      <formula>"NO"</formula>
    </cfRule>
    <cfRule type="cellIs" dxfId="1013" priority="30" operator="equal">
      <formula>"YES"</formula>
    </cfRule>
  </conditionalFormatting>
  <conditionalFormatting sqref="E40">
    <cfRule type="cellIs" dxfId="1012" priority="27" operator="equal">
      <formula>"YES"</formula>
    </cfRule>
    <cfRule type="cellIs" dxfId="1011" priority="28" operator="equal">
      <formula>"NO"</formula>
    </cfRule>
  </conditionalFormatting>
  <conditionalFormatting sqref="B25">
    <cfRule type="cellIs" dxfId="1010" priority="25" operator="equal">
      <formula>"NO"</formula>
    </cfRule>
    <cfRule type="cellIs" dxfId="1009" priority="26" operator="equal">
      <formula>"YES"</formula>
    </cfRule>
  </conditionalFormatting>
  <conditionalFormatting sqref="B12">
    <cfRule type="containsText" dxfId="1008" priority="11" operator="containsText" text="Low">
      <formula>NOT(ISERROR(SEARCH("Low",B12)))</formula>
    </cfRule>
    <cfRule type="containsText" dxfId="1007" priority="12" operator="containsText" text="Medium">
      <formula>NOT(ISERROR(SEARCH("Medium",B12)))</formula>
    </cfRule>
    <cfRule type="containsText" dxfId="1006" priority="13" operator="containsText" text="High">
      <formula>NOT(ISERROR(SEARCH("High",B12)))</formula>
    </cfRule>
  </conditionalFormatting>
  <conditionalFormatting sqref="B31">
    <cfRule type="cellIs" dxfId="1005" priority="21" operator="between">
      <formula>10%</formula>
      <formula>11.9%</formula>
    </cfRule>
    <cfRule type="cellIs" dxfId="1004" priority="23" operator="lessThan">
      <formula>0.1</formula>
    </cfRule>
    <cfRule type="cellIs" dxfId="1003" priority="24" operator="greaterThanOrEqual">
      <formula>0.12</formula>
    </cfRule>
  </conditionalFormatting>
  <conditionalFormatting sqref="B44">
    <cfRule type="cellIs" dxfId="1002" priority="19" operator="between">
      <formula>0.1</formula>
      <formula>0.1199</formula>
    </cfRule>
    <cfRule type="cellIs" dxfId="1001" priority="20" operator="lessThan">
      <formula>0.1</formula>
    </cfRule>
    <cfRule type="cellIs" dxfId="1000" priority="22" operator="greaterThanOrEqual">
      <formula>0.12</formula>
    </cfRule>
  </conditionalFormatting>
  <conditionalFormatting sqref="B10">
    <cfRule type="containsText" dxfId="999" priority="14" operator="containsText" text="Full">
      <formula>NOT(ISERROR(SEARCH("Full",B10)))</formula>
    </cfRule>
    <cfRule type="containsText" dxfId="998" priority="15" operator="containsText" text="Heavy">
      <formula>NOT(ISERROR(SEARCH("Heavy",B10)))</formula>
    </cfRule>
    <cfRule type="containsText" dxfId="997" priority="16" operator="containsText" text="Medium">
      <formula>NOT(ISERROR(SEARCH("Medium",B10)))</formula>
    </cfRule>
    <cfRule type="containsText" dxfId="996" priority="17" operator="containsText" text="Light">
      <formula>NOT(ISERROR(SEARCH("Light",B10)))</formula>
    </cfRule>
    <cfRule type="containsText" dxfId="995" priority="18" operator="containsText" text="None">
      <formula>NOT(ISERROR(SEARCH("None",B10)))</formula>
    </cfRule>
  </conditionalFormatting>
  <conditionalFormatting sqref="B30">
    <cfRule type="cellIs" dxfId="994" priority="31" operator="lessThan">
      <formula>$B$8*100</formula>
    </cfRule>
    <cfRule type="cellIs" dxfId="993" priority="32" operator="greaterThanOrEqual">
      <formula>$B$8*100</formula>
    </cfRule>
  </conditionalFormatting>
  <conditionalFormatting sqref="B43">
    <cfRule type="cellIs" dxfId="992" priority="33" operator="lessThan">
      <formula>$B$8*100</formula>
    </cfRule>
    <cfRule type="cellIs" dxfId="991" priority="34" operator="greaterThan">
      <formula>$B$8*100</formula>
    </cfRule>
    <cfRule type="cellIs" dxfId="990" priority="35" operator="greaterThan">
      <formula>$B$8*100</formula>
    </cfRule>
  </conditionalFormatting>
  <conditionalFormatting sqref="B40">
    <cfRule type="cellIs" dxfId="989" priority="9" operator="equal">
      <formula>"YES"</formula>
    </cfRule>
    <cfRule type="cellIs" dxfId="988" priority="10" operator="equal">
      <formula>"NO"</formula>
    </cfRule>
  </conditionalFormatting>
  <conditionalFormatting sqref="E25:E28">
    <cfRule type="cellIs" dxfId="987" priority="5" operator="equal">
      <formula>"NO"</formula>
    </cfRule>
    <cfRule type="cellIs" dxfId="986" priority="6" operator="equal">
      <formula>"YES"</formula>
    </cfRule>
  </conditionalFormatting>
  <conditionalFormatting sqref="E31">
    <cfRule type="cellIs" dxfId="985" priority="2" operator="between">
      <formula>10%</formula>
      <formula>12%</formula>
    </cfRule>
    <cfRule type="cellIs" dxfId="984" priority="3" operator="lessThan">
      <formula>0.1</formula>
    </cfRule>
    <cfRule type="cellIs" dxfId="983" priority="4" operator="greaterThan">
      <formula>0.12</formula>
    </cfRule>
  </conditionalFormatting>
  <conditionalFormatting sqref="E30">
    <cfRule type="cellIs" dxfId="982" priority="7" operator="lessThan">
      <formula>$B$8*100</formula>
    </cfRule>
    <cfRule type="cellIs" dxfId="981" priority="8" operator="greaterThan">
      <formula>$B$8*100</formula>
    </cfRule>
  </conditionalFormatting>
  <conditionalFormatting sqref="B46:B47">
    <cfRule type="cellIs" dxfId="980" priority="1" operator="greaterThan">
      <formula>0</formula>
    </cfRule>
  </conditionalFormatting>
  <hyperlinks>
    <hyperlink ref="A34" r:id="rId1" display="https://www.zillow.com/homes/recently_sold/" xr:uid="{C8328F33-839D-4C0E-B6CE-59068673A55C}"/>
    <hyperlink ref="A23" r:id="rId2" xr:uid="{BFDB8B23-7259-4D66-90E1-EB9A868DC6E7}"/>
    <hyperlink ref="A27" r:id="rId3" display="www.mortgagecalculator.org" xr:uid="{27B28199-6BE5-4462-8BF1-1D979075A6A4}"/>
    <hyperlink ref="A12" r:id="rId4" xr:uid="{0484C604-3B12-4B90-BF00-1F2F88CBE103}"/>
  </hyperlinks>
  <pageMargins left="0.7" right="0.7" top="0.75" bottom="0.75" header="0.3" footer="0.3"/>
  <drawing r:id="rId5"/>
  <legacyDrawing r:id="rId6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8ABEF-B4FD-4AC8-9987-1C7801961237}">
  <sheetPr codeName="Sheet211">
    <tabColor rgb="FF92D050"/>
  </sheetPr>
  <dimension ref="A1:P47"/>
  <sheetViews>
    <sheetView topLeftCell="A17" workbookViewId="0">
      <selection activeCell="A32" sqref="A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60000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1180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54000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17700</v>
      </c>
      <c r="D15" s="2"/>
      <c r="E15" s="3"/>
    </row>
    <row r="16" spans="1:10" x14ac:dyDescent="0.25">
      <c r="A16" s="7" t="s">
        <v>20</v>
      </c>
      <c r="B16" s="17">
        <f>B15+B13</f>
        <v>71700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2509.5000000000005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69190.5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930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717</v>
      </c>
      <c r="D24" s="7" t="s">
        <v>77</v>
      </c>
      <c r="E24" s="17">
        <f>B16*0.01</f>
        <v>717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687.61</v>
      </c>
      <c r="D27" s="7" t="s">
        <v>38</v>
      </c>
      <c r="E27" s="35">
        <f>B27</f>
        <v>687.61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920.11</v>
      </c>
      <c r="D28" s="7" t="s">
        <v>41</v>
      </c>
      <c r="E28" s="17">
        <f>E27+I27+I36</f>
        <v>920.11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9.8899999999999864</v>
      </c>
      <c r="D30" s="7" t="s">
        <v>43</v>
      </c>
      <c r="E30" s="44">
        <f>E23-E27-I27-I36+I26+I35</f>
        <v>-27.110000000000014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46.5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46.5</v>
      </c>
    </row>
    <row r="34" spans="1:9" x14ac:dyDescent="0.25">
      <c r="A34" s="26" t="s">
        <v>49</v>
      </c>
      <c r="B34" s="8">
        <f>B16</f>
        <v>71700</v>
      </c>
      <c r="G34" s="27" t="s">
        <v>50</v>
      </c>
      <c r="H34" s="48">
        <v>0.05</v>
      </c>
      <c r="I34" s="49">
        <f>$B$23*H34</f>
        <v>46.5</v>
      </c>
    </row>
    <row r="35" spans="1:9" x14ac:dyDescent="0.25">
      <c r="A35" s="7" t="s">
        <v>51</v>
      </c>
      <c r="B35" s="17">
        <f>B34-B20</f>
        <v>2509.5</v>
      </c>
      <c r="G35" s="27" t="s">
        <v>52</v>
      </c>
      <c r="H35" s="48">
        <v>0.1</v>
      </c>
      <c r="I35" s="49">
        <f>$B$23*H35</f>
        <v>93</v>
      </c>
    </row>
    <row r="36" spans="1:9" ht="15.75" thickBot="1" x14ac:dyDescent="0.3">
      <c r="A36" s="7" t="s">
        <v>53</v>
      </c>
      <c r="B36" s="50">
        <f>B35/B17</f>
        <v>0.99999999999999978</v>
      </c>
      <c r="G36" s="36" t="s">
        <v>39</v>
      </c>
      <c r="H36" s="37"/>
      <c r="I36" s="51">
        <f>SUM(I32:I35)</f>
        <v>232.5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49.009937500000007</v>
      </c>
      <c r="D41" s="58"/>
      <c r="E41" s="61"/>
    </row>
    <row r="42" spans="1:9" x14ac:dyDescent="0.25">
      <c r="A42" s="7" t="s">
        <v>58</v>
      </c>
      <c r="B42" s="17">
        <f>B27-B41</f>
        <v>638.60006250000004</v>
      </c>
      <c r="D42" s="58"/>
      <c r="E42" s="61"/>
    </row>
    <row r="43" spans="1:9" x14ac:dyDescent="0.25">
      <c r="A43" s="7" t="s">
        <v>59</v>
      </c>
      <c r="B43" s="43">
        <f>B23-B42-I27-I36</f>
        <v>58.899937499999965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0.28164943215780014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573.6</v>
      </c>
    </row>
    <row r="47" spans="1:9" ht="15.75" thickBot="1" x14ac:dyDescent="0.3">
      <c r="A47" s="63" t="s">
        <v>251</v>
      </c>
      <c r="B47" s="65">
        <f>B16*0.02</f>
        <v>1434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979" priority="29" operator="equal">
      <formula>"NO"</formula>
    </cfRule>
    <cfRule type="cellIs" dxfId="978" priority="30" operator="equal">
      <formula>"YES"</formula>
    </cfRule>
  </conditionalFormatting>
  <conditionalFormatting sqref="E40">
    <cfRule type="cellIs" dxfId="977" priority="27" operator="equal">
      <formula>"YES"</formula>
    </cfRule>
    <cfRule type="cellIs" dxfId="976" priority="28" operator="equal">
      <formula>"NO"</formula>
    </cfRule>
  </conditionalFormatting>
  <conditionalFormatting sqref="B25">
    <cfRule type="cellIs" dxfId="975" priority="25" operator="equal">
      <formula>"NO"</formula>
    </cfRule>
    <cfRule type="cellIs" dxfId="974" priority="26" operator="equal">
      <formula>"YES"</formula>
    </cfRule>
  </conditionalFormatting>
  <conditionalFormatting sqref="B12">
    <cfRule type="containsText" dxfId="973" priority="11" operator="containsText" text="Low">
      <formula>NOT(ISERROR(SEARCH("Low",B12)))</formula>
    </cfRule>
    <cfRule type="containsText" dxfId="972" priority="12" operator="containsText" text="Medium">
      <formula>NOT(ISERROR(SEARCH("Medium",B12)))</formula>
    </cfRule>
    <cfRule type="containsText" dxfId="971" priority="13" operator="containsText" text="High">
      <formula>NOT(ISERROR(SEARCH("High",B12)))</formula>
    </cfRule>
  </conditionalFormatting>
  <conditionalFormatting sqref="B31">
    <cfRule type="cellIs" dxfId="970" priority="21" operator="between">
      <formula>10%</formula>
      <formula>11.9%</formula>
    </cfRule>
    <cfRule type="cellIs" dxfId="969" priority="23" operator="lessThan">
      <formula>0.1</formula>
    </cfRule>
    <cfRule type="cellIs" dxfId="968" priority="24" operator="greaterThanOrEqual">
      <formula>0.12</formula>
    </cfRule>
  </conditionalFormatting>
  <conditionalFormatting sqref="B44">
    <cfRule type="cellIs" dxfId="967" priority="19" operator="between">
      <formula>0.1</formula>
      <formula>0.1199</formula>
    </cfRule>
    <cfRule type="cellIs" dxfId="966" priority="20" operator="lessThan">
      <formula>0.1</formula>
    </cfRule>
    <cfRule type="cellIs" dxfId="965" priority="22" operator="greaterThanOrEqual">
      <formula>0.12</formula>
    </cfRule>
  </conditionalFormatting>
  <conditionalFormatting sqref="B10">
    <cfRule type="containsText" dxfId="964" priority="14" operator="containsText" text="Full">
      <formula>NOT(ISERROR(SEARCH("Full",B10)))</formula>
    </cfRule>
    <cfRule type="containsText" dxfId="963" priority="15" operator="containsText" text="Heavy">
      <formula>NOT(ISERROR(SEARCH("Heavy",B10)))</formula>
    </cfRule>
    <cfRule type="containsText" dxfId="962" priority="16" operator="containsText" text="Medium">
      <formula>NOT(ISERROR(SEARCH("Medium",B10)))</formula>
    </cfRule>
    <cfRule type="containsText" dxfId="961" priority="17" operator="containsText" text="Light">
      <formula>NOT(ISERROR(SEARCH("Light",B10)))</formula>
    </cfRule>
    <cfRule type="containsText" dxfId="960" priority="18" operator="containsText" text="None">
      <formula>NOT(ISERROR(SEARCH("None",B10)))</formula>
    </cfRule>
  </conditionalFormatting>
  <conditionalFormatting sqref="B30">
    <cfRule type="cellIs" dxfId="959" priority="31" operator="lessThan">
      <formula>$B$8*100</formula>
    </cfRule>
    <cfRule type="cellIs" dxfId="958" priority="32" operator="greaterThanOrEqual">
      <formula>$B$8*100</formula>
    </cfRule>
  </conditionalFormatting>
  <conditionalFormatting sqref="B43">
    <cfRule type="cellIs" dxfId="957" priority="33" operator="lessThan">
      <formula>$B$8*100</formula>
    </cfRule>
    <cfRule type="cellIs" dxfId="956" priority="34" operator="greaterThan">
      <formula>$B$8*100</formula>
    </cfRule>
    <cfRule type="cellIs" dxfId="955" priority="35" operator="greaterThan">
      <formula>$B$8*100</formula>
    </cfRule>
  </conditionalFormatting>
  <conditionalFormatting sqref="B40">
    <cfRule type="cellIs" dxfId="954" priority="9" operator="equal">
      <formula>"YES"</formula>
    </cfRule>
    <cfRule type="cellIs" dxfId="953" priority="10" operator="equal">
      <formula>"NO"</formula>
    </cfRule>
  </conditionalFormatting>
  <conditionalFormatting sqref="E25:E28">
    <cfRule type="cellIs" dxfId="952" priority="5" operator="equal">
      <formula>"NO"</formula>
    </cfRule>
    <cfRule type="cellIs" dxfId="951" priority="6" operator="equal">
      <formula>"YES"</formula>
    </cfRule>
  </conditionalFormatting>
  <conditionalFormatting sqref="E31">
    <cfRule type="cellIs" dxfId="950" priority="2" operator="between">
      <formula>10%</formula>
      <formula>12%</formula>
    </cfRule>
    <cfRule type="cellIs" dxfId="949" priority="3" operator="lessThan">
      <formula>0.1</formula>
    </cfRule>
    <cfRule type="cellIs" dxfId="948" priority="4" operator="greaterThan">
      <formula>0.12</formula>
    </cfRule>
  </conditionalFormatting>
  <conditionalFormatting sqref="E30">
    <cfRule type="cellIs" dxfId="947" priority="7" operator="lessThan">
      <formula>$B$8*100</formula>
    </cfRule>
    <cfRule type="cellIs" dxfId="946" priority="8" operator="greaterThan">
      <formula>$B$8*100</formula>
    </cfRule>
  </conditionalFormatting>
  <conditionalFormatting sqref="B46:B47">
    <cfRule type="cellIs" dxfId="945" priority="1" operator="greaterThan">
      <formula>0</formula>
    </cfRule>
  </conditionalFormatting>
  <hyperlinks>
    <hyperlink ref="A34" r:id="rId1" display="https://www.zillow.com/homes/recently_sold/" xr:uid="{A1D9038E-8C46-4C48-ADF6-9631C1A76899}"/>
    <hyperlink ref="A23" r:id="rId2" xr:uid="{882F7467-ECE1-4D59-853A-7ABD1272AADD}"/>
    <hyperlink ref="A27" r:id="rId3" display="www.mortgagecalculator.org" xr:uid="{F1D44D5C-BCE9-47FF-B901-BD3E00937AAF}"/>
    <hyperlink ref="A12" r:id="rId4" xr:uid="{0317FECE-4EB2-48D1-B056-2EA49A730DD7}"/>
  </hyperlinks>
  <pageMargins left="0.7" right="0.7" top="0.75" bottom="0.75" header="0.3" footer="0.3"/>
  <drawing r:id="rId5"/>
  <legacyDrawing r:id="rId6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1C10-3C00-4D2C-A39F-029BF653B5A2}">
  <sheetPr>
    <tabColor rgb="FFFF0000"/>
  </sheetPr>
  <dimension ref="A1:P47"/>
  <sheetViews>
    <sheetView topLeftCell="A19"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308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1856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307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112410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27840</v>
      </c>
      <c r="D15" s="2"/>
      <c r="E15" s="3"/>
    </row>
    <row r="16" spans="1:10" x14ac:dyDescent="0.25">
      <c r="A16" s="7" t="s">
        <v>20</v>
      </c>
      <c r="B16" s="17">
        <f>B15+B13</f>
        <v>140250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4908.7500000000009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135341.25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1402.5</v>
      </c>
      <c r="D24" s="7" t="s">
        <v>77</v>
      </c>
      <c r="E24" s="17">
        <f>B16*0.01</f>
        <v>1402.5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1063</v>
      </c>
      <c r="D27" s="7" t="s">
        <v>38</v>
      </c>
      <c r="E27" s="35">
        <f>B27</f>
        <v>1063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1363</v>
      </c>
      <c r="D28" s="7" t="s">
        <v>41</v>
      </c>
      <c r="E28" s="17">
        <f>E27+I27+I36</f>
        <v>1363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-163</v>
      </c>
      <c r="D30" s="7" t="s">
        <v>43</v>
      </c>
      <c r="E30" s="44">
        <f>E23-E27-I27-I36+I26+I35</f>
        <v>-193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</v>
      </c>
    </row>
    <row r="34" spans="1:9" x14ac:dyDescent="0.25">
      <c r="A34" s="26" t="s">
        <v>49</v>
      </c>
      <c r="B34" s="8">
        <f>B16</f>
        <v>140250</v>
      </c>
      <c r="G34" s="27" t="s">
        <v>50</v>
      </c>
      <c r="H34" s="48">
        <v>0.05</v>
      </c>
      <c r="I34" s="49">
        <f>$B$23*H34</f>
        <v>60</v>
      </c>
    </row>
    <row r="35" spans="1:9" x14ac:dyDescent="0.25">
      <c r="A35" s="7" t="s">
        <v>51</v>
      </c>
      <c r="B35" s="17">
        <f>B34-B20</f>
        <v>4908.75</v>
      </c>
      <c r="G35" s="27" t="s">
        <v>52</v>
      </c>
      <c r="H35" s="48">
        <v>0.1</v>
      </c>
      <c r="I35" s="49">
        <f>$B$23*H35</f>
        <v>120</v>
      </c>
    </row>
    <row r="36" spans="1:9" ht="15.75" thickBot="1" x14ac:dyDescent="0.3">
      <c r="A36" s="7" t="s">
        <v>53</v>
      </c>
      <c r="B36" s="50">
        <f>B35/B17</f>
        <v>0.99999999999999978</v>
      </c>
      <c r="G36" s="36" t="s">
        <v>39</v>
      </c>
      <c r="H36" s="37"/>
      <c r="I36" s="51">
        <f>SUM(I32:I35)</f>
        <v>300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95.866718750000004</v>
      </c>
      <c r="D41" s="58"/>
      <c r="E41" s="61"/>
    </row>
    <row r="42" spans="1:9" x14ac:dyDescent="0.25">
      <c r="A42" s="7" t="s">
        <v>58</v>
      </c>
      <c r="B42" s="17">
        <f>B27-B41</f>
        <v>967.13328124999998</v>
      </c>
      <c r="D42" s="58"/>
      <c r="E42" s="61"/>
    </row>
    <row r="43" spans="1:9" x14ac:dyDescent="0.25">
      <c r="A43" s="7" t="s">
        <v>59</v>
      </c>
      <c r="B43" s="43">
        <f>B23-B42-I27-I36</f>
        <v>-67.133281249999982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-0.164114973262032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1122</v>
      </c>
    </row>
    <row r="47" spans="1:9" ht="15.75" thickBot="1" x14ac:dyDescent="0.3">
      <c r="A47" s="63" t="s">
        <v>251</v>
      </c>
      <c r="B47" s="65">
        <f>B16*0.02</f>
        <v>2805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944" priority="29" operator="equal">
      <formula>"NO"</formula>
    </cfRule>
    <cfRule type="cellIs" dxfId="943" priority="30" operator="equal">
      <formula>"YES"</formula>
    </cfRule>
  </conditionalFormatting>
  <conditionalFormatting sqref="E40">
    <cfRule type="cellIs" dxfId="942" priority="27" operator="equal">
      <formula>"YES"</formula>
    </cfRule>
    <cfRule type="cellIs" dxfId="941" priority="28" operator="equal">
      <formula>"NO"</formula>
    </cfRule>
  </conditionalFormatting>
  <conditionalFormatting sqref="B25">
    <cfRule type="cellIs" dxfId="940" priority="25" operator="equal">
      <formula>"NO"</formula>
    </cfRule>
    <cfRule type="cellIs" dxfId="939" priority="26" operator="equal">
      <formula>"YES"</formula>
    </cfRule>
  </conditionalFormatting>
  <conditionalFormatting sqref="B12">
    <cfRule type="containsText" dxfId="938" priority="11" operator="containsText" text="Low">
      <formula>NOT(ISERROR(SEARCH("Low",B12)))</formula>
    </cfRule>
    <cfRule type="containsText" dxfId="937" priority="12" operator="containsText" text="Medium">
      <formula>NOT(ISERROR(SEARCH("Medium",B12)))</formula>
    </cfRule>
    <cfRule type="containsText" dxfId="936" priority="13" operator="containsText" text="High">
      <formula>NOT(ISERROR(SEARCH("High",B12)))</formula>
    </cfRule>
  </conditionalFormatting>
  <conditionalFormatting sqref="B31">
    <cfRule type="cellIs" dxfId="935" priority="21" operator="between">
      <formula>10%</formula>
      <formula>11.9%</formula>
    </cfRule>
    <cfRule type="cellIs" dxfId="934" priority="23" operator="lessThan">
      <formula>0.1</formula>
    </cfRule>
    <cfRule type="cellIs" dxfId="933" priority="24" operator="greaterThanOrEqual">
      <formula>0.12</formula>
    </cfRule>
  </conditionalFormatting>
  <conditionalFormatting sqref="B44">
    <cfRule type="cellIs" dxfId="932" priority="19" operator="between">
      <formula>0.1</formula>
      <formula>0.1199</formula>
    </cfRule>
    <cfRule type="cellIs" dxfId="931" priority="20" operator="lessThan">
      <formula>0.1</formula>
    </cfRule>
    <cfRule type="cellIs" dxfId="930" priority="22" operator="greaterThanOrEqual">
      <formula>0.12</formula>
    </cfRule>
  </conditionalFormatting>
  <conditionalFormatting sqref="B10">
    <cfRule type="containsText" dxfId="929" priority="14" operator="containsText" text="Full">
      <formula>NOT(ISERROR(SEARCH("Full",B10)))</formula>
    </cfRule>
    <cfRule type="containsText" dxfId="928" priority="15" operator="containsText" text="Heavy">
      <formula>NOT(ISERROR(SEARCH("Heavy",B10)))</formula>
    </cfRule>
    <cfRule type="containsText" dxfId="927" priority="16" operator="containsText" text="Medium">
      <formula>NOT(ISERROR(SEARCH("Medium",B10)))</formula>
    </cfRule>
    <cfRule type="containsText" dxfId="926" priority="17" operator="containsText" text="Light">
      <formula>NOT(ISERROR(SEARCH("Light",B10)))</formula>
    </cfRule>
    <cfRule type="containsText" dxfId="925" priority="18" operator="containsText" text="None">
      <formula>NOT(ISERROR(SEARCH("None",B10)))</formula>
    </cfRule>
  </conditionalFormatting>
  <conditionalFormatting sqref="B30">
    <cfRule type="cellIs" dxfId="924" priority="31" operator="lessThan">
      <formula>$B$8*100</formula>
    </cfRule>
    <cfRule type="cellIs" dxfId="923" priority="32" operator="greaterThanOrEqual">
      <formula>$B$8*100</formula>
    </cfRule>
  </conditionalFormatting>
  <conditionalFormatting sqref="B43">
    <cfRule type="cellIs" dxfId="922" priority="33" operator="lessThan">
      <formula>$B$8*100</formula>
    </cfRule>
    <cfRule type="cellIs" dxfId="921" priority="34" operator="greaterThan">
      <formula>$B$8*100</formula>
    </cfRule>
    <cfRule type="cellIs" dxfId="920" priority="35" operator="greaterThan">
      <formula>$B$8*100</formula>
    </cfRule>
  </conditionalFormatting>
  <conditionalFormatting sqref="B40">
    <cfRule type="cellIs" dxfId="919" priority="9" operator="equal">
      <formula>"YES"</formula>
    </cfRule>
    <cfRule type="cellIs" dxfId="918" priority="10" operator="equal">
      <formula>"NO"</formula>
    </cfRule>
  </conditionalFormatting>
  <conditionalFormatting sqref="E25:E28">
    <cfRule type="cellIs" dxfId="917" priority="5" operator="equal">
      <formula>"NO"</formula>
    </cfRule>
    <cfRule type="cellIs" dxfId="916" priority="6" operator="equal">
      <formula>"YES"</formula>
    </cfRule>
  </conditionalFormatting>
  <conditionalFormatting sqref="E31">
    <cfRule type="cellIs" dxfId="915" priority="2" operator="between">
      <formula>10%</formula>
      <formula>12%</formula>
    </cfRule>
    <cfRule type="cellIs" dxfId="914" priority="3" operator="lessThan">
      <formula>0.1</formula>
    </cfRule>
    <cfRule type="cellIs" dxfId="913" priority="4" operator="greaterThan">
      <formula>0.12</formula>
    </cfRule>
  </conditionalFormatting>
  <conditionalFormatting sqref="E30">
    <cfRule type="cellIs" dxfId="912" priority="7" operator="lessThan">
      <formula>$B$8*100</formula>
    </cfRule>
    <cfRule type="cellIs" dxfId="911" priority="8" operator="greaterThan">
      <formula>$B$8*100</formula>
    </cfRule>
  </conditionalFormatting>
  <conditionalFormatting sqref="B46:B47">
    <cfRule type="cellIs" dxfId="910" priority="1" operator="greaterThan">
      <formula>0</formula>
    </cfRule>
  </conditionalFormatting>
  <hyperlinks>
    <hyperlink ref="A34" r:id="rId1" display="https://www.zillow.com/homes/recently_sold/" xr:uid="{E45A8394-857B-437C-BF9A-74FE4C072013}"/>
    <hyperlink ref="A23" r:id="rId2" xr:uid="{7B2143DA-EDB8-4345-A29C-D3ACBD1729A5}"/>
    <hyperlink ref="A27" r:id="rId3" display="www.mortgagecalculator.org" xr:uid="{A0C779B9-D5BC-4FE6-9612-EA995F361DDB}"/>
    <hyperlink ref="A12" r:id="rId4" xr:uid="{37D2AEFB-D9B1-46EF-AC2A-0C794655023A}"/>
  </hyperlinks>
  <pageMargins left="0.7" right="0.7" top="0.75" bottom="0.75" header="0.3" footer="0.3"/>
  <drawing r:id="rId5"/>
  <legacyDrawing r:id="rId6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657E-B7EE-4804-BAE2-98339A474989}">
  <sheetPr>
    <tabColor rgb="FF92D050"/>
  </sheetPr>
  <dimension ref="A1:P47"/>
  <sheetViews>
    <sheetView topLeftCell="A17" workbookViewId="0">
      <selection activeCell="B31" sqref="B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105000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2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1674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89250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41850</v>
      </c>
      <c r="D15" s="2"/>
      <c r="E15" s="3"/>
    </row>
    <row r="16" spans="1:10" x14ac:dyDescent="0.25">
      <c r="A16" s="7" t="s">
        <v>20</v>
      </c>
      <c r="B16" s="17">
        <f>B15+B13</f>
        <v>131100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4588.5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309</v>
      </c>
      <c r="B19" s="17">
        <f>B17+B18</f>
        <v>7088.5</v>
      </c>
      <c r="D19" s="66"/>
      <c r="E19" s="67"/>
      <c r="P19" s="21"/>
    </row>
    <row r="20" spans="1:16" x14ac:dyDescent="0.25">
      <c r="A20" s="7" t="s">
        <v>23</v>
      </c>
      <c r="B20" s="17">
        <f>B16-B17</f>
        <v>126511.5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f>775*2</f>
        <v>1550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1311</v>
      </c>
      <c r="D24" s="7" t="s">
        <v>77</v>
      </c>
      <c r="E24" s="17">
        <f>B16*0.01</f>
        <v>1311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1026.3900000000001</v>
      </c>
      <c r="D27" s="7" t="s">
        <v>38</v>
      </c>
      <c r="E27" s="35">
        <f>B27</f>
        <v>1026.3900000000001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1413.89</v>
      </c>
      <c r="D28" s="7" t="s">
        <v>41</v>
      </c>
      <c r="E28" s="17">
        <f>E27+I27+I36</f>
        <v>1413.89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136.1099999999999</v>
      </c>
      <c r="D30" s="7" t="s">
        <v>43</v>
      </c>
      <c r="E30" s="44">
        <f>E23-E27-I27-I36+I26+I35</f>
        <v>-208.8900000000001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0.23041828313465457</v>
      </c>
      <c r="D31" s="46" t="s">
        <v>44</v>
      </c>
      <c r="E31" s="47">
        <f>(E30*12)/B19</f>
        <v>-0.35362629611342333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77.5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77.5</v>
      </c>
    </row>
    <row r="34" spans="1:9" x14ac:dyDescent="0.25">
      <c r="A34" s="26" t="s">
        <v>49</v>
      </c>
      <c r="B34" s="8">
        <f>B16</f>
        <v>131100</v>
      </c>
      <c r="G34" s="27" t="s">
        <v>50</v>
      </c>
      <c r="H34" s="48">
        <v>0.05</v>
      </c>
      <c r="I34" s="49">
        <f>$B$23*H34</f>
        <v>77.5</v>
      </c>
    </row>
    <row r="35" spans="1:9" x14ac:dyDescent="0.25">
      <c r="A35" s="7" t="s">
        <v>51</v>
      </c>
      <c r="B35" s="17">
        <f>B34-B20</f>
        <v>4588.5</v>
      </c>
      <c r="G35" s="27" t="s">
        <v>52</v>
      </c>
      <c r="H35" s="48">
        <v>0.1</v>
      </c>
      <c r="I35" s="49">
        <f>$B$23*H35</f>
        <v>155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387.5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89.612312500000016</v>
      </c>
      <c r="D41" s="58"/>
      <c r="E41" s="61"/>
    </row>
    <row r="42" spans="1:9" x14ac:dyDescent="0.25">
      <c r="A42" s="7" t="s">
        <v>58</v>
      </c>
      <c r="B42" s="17">
        <f>B27-B41</f>
        <v>936.77768750000007</v>
      </c>
      <c r="D42" s="58"/>
      <c r="E42" s="61"/>
    </row>
    <row r="43" spans="1:9" x14ac:dyDescent="0.25">
      <c r="A43" s="7" t="s">
        <v>59</v>
      </c>
      <c r="B43" s="43">
        <f>B23-B42-I27-I36</f>
        <v>225.72231249999993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0.5903166067342267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1048.8</v>
      </c>
    </row>
    <row r="47" spans="1:9" ht="15.75" thickBot="1" x14ac:dyDescent="0.3">
      <c r="A47" s="63" t="s">
        <v>251</v>
      </c>
      <c r="B47" s="65">
        <f>B16*0.02</f>
        <v>2622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909" priority="29" operator="equal">
      <formula>"NO"</formula>
    </cfRule>
    <cfRule type="cellIs" dxfId="908" priority="30" operator="equal">
      <formula>"YES"</formula>
    </cfRule>
  </conditionalFormatting>
  <conditionalFormatting sqref="E40">
    <cfRule type="cellIs" dxfId="907" priority="27" operator="equal">
      <formula>"YES"</formula>
    </cfRule>
    <cfRule type="cellIs" dxfId="906" priority="28" operator="equal">
      <formula>"NO"</formula>
    </cfRule>
  </conditionalFormatting>
  <conditionalFormatting sqref="B25">
    <cfRule type="cellIs" dxfId="905" priority="25" operator="equal">
      <formula>"NO"</formula>
    </cfRule>
    <cfRule type="cellIs" dxfId="904" priority="26" operator="equal">
      <formula>"YES"</formula>
    </cfRule>
  </conditionalFormatting>
  <conditionalFormatting sqref="B12">
    <cfRule type="containsText" dxfId="903" priority="11" operator="containsText" text="Low">
      <formula>NOT(ISERROR(SEARCH("Low",B12)))</formula>
    </cfRule>
    <cfRule type="containsText" dxfId="902" priority="12" operator="containsText" text="Medium">
      <formula>NOT(ISERROR(SEARCH("Medium",B12)))</formula>
    </cfRule>
    <cfRule type="containsText" dxfId="901" priority="13" operator="containsText" text="High">
      <formula>NOT(ISERROR(SEARCH("High",B12)))</formula>
    </cfRule>
  </conditionalFormatting>
  <conditionalFormatting sqref="B31">
    <cfRule type="cellIs" dxfId="900" priority="21" operator="between">
      <formula>10%</formula>
      <formula>11.9%</formula>
    </cfRule>
    <cfRule type="cellIs" dxfId="899" priority="23" operator="lessThan">
      <formula>0.1</formula>
    </cfRule>
    <cfRule type="cellIs" dxfId="898" priority="24" operator="greaterThanOrEqual">
      <formula>0.12</formula>
    </cfRule>
  </conditionalFormatting>
  <conditionalFormatting sqref="B44">
    <cfRule type="cellIs" dxfId="897" priority="19" operator="between">
      <formula>0.1</formula>
      <formula>0.1199</formula>
    </cfRule>
    <cfRule type="cellIs" dxfId="896" priority="20" operator="lessThan">
      <formula>0.1</formula>
    </cfRule>
    <cfRule type="cellIs" dxfId="895" priority="22" operator="greaterThanOrEqual">
      <formula>0.12</formula>
    </cfRule>
  </conditionalFormatting>
  <conditionalFormatting sqref="B10">
    <cfRule type="containsText" dxfId="894" priority="14" operator="containsText" text="Full">
      <formula>NOT(ISERROR(SEARCH("Full",B10)))</formula>
    </cfRule>
    <cfRule type="containsText" dxfId="893" priority="15" operator="containsText" text="Heavy">
      <formula>NOT(ISERROR(SEARCH("Heavy",B10)))</formula>
    </cfRule>
    <cfRule type="containsText" dxfId="892" priority="16" operator="containsText" text="Medium">
      <formula>NOT(ISERROR(SEARCH("Medium",B10)))</formula>
    </cfRule>
    <cfRule type="containsText" dxfId="891" priority="17" operator="containsText" text="Light">
      <formula>NOT(ISERROR(SEARCH("Light",B10)))</formula>
    </cfRule>
    <cfRule type="containsText" dxfId="890" priority="18" operator="containsText" text="None">
      <formula>NOT(ISERROR(SEARCH("None",B10)))</formula>
    </cfRule>
  </conditionalFormatting>
  <conditionalFormatting sqref="B30">
    <cfRule type="cellIs" dxfId="889" priority="31" operator="lessThan">
      <formula>$B$8*100</formula>
    </cfRule>
    <cfRule type="cellIs" dxfId="888" priority="32" operator="greaterThanOrEqual">
      <formula>$B$8*100</formula>
    </cfRule>
  </conditionalFormatting>
  <conditionalFormatting sqref="B43">
    <cfRule type="cellIs" dxfId="887" priority="33" operator="lessThan">
      <formula>$B$8*100</formula>
    </cfRule>
    <cfRule type="cellIs" dxfId="886" priority="34" operator="greaterThan">
      <formula>$B$8*100</formula>
    </cfRule>
    <cfRule type="cellIs" dxfId="885" priority="35" operator="greaterThan">
      <formula>$B$8*100</formula>
    </cfRule>
  </conditionalFormatting>
  <conditionalFormatting sqref="B40">
    <cfRule type="cellIs" dxfId="884" priority="9" operator="equal">
      <formula>"YES"</formula>
    </cfRule>
    <cfRule type="cellIs" dxfId="883" priority="10" operator="equal">
      <formula>"NO"</formula>
    </cfRule>
  </conditionalFormatting>
  <conditionalFormatting sqref="E25:E28">
    <cfRule type="cellIs" dxfId="882" priority="5" operator="equal">
      <formula>"NO"</formula>
    </cfRule>
    <cfRule type="cellIs" dxfId="881" priority="6" operator="equal">
      <formula>"YES"</formula>
    </cfRule>
  </conditionalFormatting>
  <conditionalFormatting sqref="E31">
    <cfRule type="cellIs" dxfId="880" priority="2" operator="between">
      <formula>10%</formula>
      <formula>12%</formula>
    </cfRule>
    <cfRule type="cellIs" dxfId="879" priority="3" operator="lessThan">
      <formula>0.1</formula>
    </cfRule>
    <cfRule type="cellIs" dxfId="878" priority="4" operator="greaterThan">
      <formula>0.12</formula>
    </cfRule>
  </conditionalFormatting>
  <conditionalFormatting sqref="E30">
    <cfRule type="cellIs" dxfId="877" priority="7" operator="lessThan">
      <formula>$B$8*100</formula>
    </cfRule>
    <cfRule type="cellIs" dxfId="876" priority="8" operator="greaterThan">
      <formula>$B$8*100</formula>
    </cfRule>
  </conditionalFormatting>
  <conditionalFormatting sqref="B46:B47">
    <cfRule type="cellIs" dxfId="875" priority="1" operator="greaterThan">
      <formula>0</formula>
    </cfRule>
  </conditionalFormatting>
  <hyperlinks>
    <hyperlink ref="A34" r:id="rId1" display="https://www.zillow.com/homes/recently_sold/" xr:uid="{5FB05D33-2ABD-4C09-BBA1-14E39FE7F7C6}"/>
    <hyperlink ref="A23" r:id="rId2" xr:uid="{8F99E96D-406A-4620-91C7-8E5C9D9261E8}"/>
    <hyperlink ref="A27" r:id="rId3" display="www.mortgagecalculator.org" xr:uid="{FA804771-E820-42E6-8F64-55C7980E0A25}"/>
    <hyperlink ref="A12" r:id="rId4" xr:uid="{791A19F1-9E6E-4A19-B319-BA07196493C7}"/>
  </hyperlinks>
  <pageMargins left="0.7" right="0.7" top="0.75" bottom="0.75" header="0.3" footer="0.3"/>
  <drawing r:id="rId5"/>
  <legacyDrawing r:id="rId6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202A-DFFA-4270-9B89-B216E49ED1F1}">
  <sheetPr>
    <tabColor rgb="FFFF0000"/>
  </sheetPr>
  <dimension ref="A1:P47"/>
  <sheetViews>
    <sheetView topLeftCell="A11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310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83500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1225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75150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18375</v>
      </c>
      <c r="D15" s="2"/>
      <c r="E15" s="3"/>
    </row>
    <row r="16" spans="1:10" x14ac:dyDescent="0.25">
      <c r="A16" s="7" t="s">
        <v>20</v>
      </c>
      <c r="B16" s="17">
        <f>B15+B13</f>
        <v>93525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3273.3750000000005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90251.625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902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935.25</v>
      </c>
      <c r="D24" s="7" t="s">
        <v>77</v>
      </c>
      <c r="E24" s="17">
        <f>B16*0.01</f>
        <v>935.25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828.95</v>
      </c>
      <c r="D27" s="7" t="s">
        <v>38</v>
      </c>
      <c r="E27" s="35">
        <f>B27</f>
        <v>828.95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1054.45</v>
      </c>
      <c r="D28" s="7" t="s">
        <v>41</v>
      </c>
      <c r="E28" s="17">
        <f>E27+I27+I36</f>
        <v>1054.45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-152.45000000000005</v>
      </c>
      <c r="D30" s="7" t="s">
        <v>43</v>
      </c>
      <c r="E30" s="44">
        <f>E23-E27-I27-I36+I26+I35</f>
        <v>85.749999999999957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45.1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45.1</v>
      </c>
    </row>
    <row r="34" spans="1:9" x14ac:dyDescent="0.25">
      <c r="A34" s="26" t="s">
        <v>49</v>
      </c>
      <c r="B34" s="8">
        <f>B16</f>
        <v>93525</v>
      </c>
      <c r="G34" s="27" t="s">
        <v>50</v>
      </c>
      <c r="H34" s="48">
        <v>0.05</v>
      </c>
      <c r="I34" s="49">
        <f>$B$23*H34</f>
        <v>45.1</v>
      </c>
    </row>
    <row r="35" spans="1:9" x14ac:dyDescent="0.25">
      <c r="A35" s="7" t="s">
        <v>51</v>
      </c>
      <c r="B35" s="17">
        <f>B34-B20</f>
        <v>3273.375</v>
      </c>
      <c r="G35" s="27" t="s">
        <v>52</v>
      </c>
      <c r="H35" s="48">
        <v>0.1</v>
      </c>
      <c r="I35" s="49">
        <f>$B$23*H35</f>
        <v>90.2</v>
      </c>
    </row>
    <row r="36" spans="1:9" ht="15.75" thickBot="1" x14ac:dyDescent="0.3">
      <c r="A36" s="7" t="s">
        <v>53</v>
      </c>
      <c r="B36" s="50">
        <f>B35/B17</f>
        <v>0.99999999999999989</v>
      </c>
      <c r="G36" s="36" t="s">
        <v>39</v>
      </c>
      <c r="H36" s="37"/>
      <c r="I36" s="51">
        <f>SUM(I32:I35)</f>
        <v>225.5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63.928234375000009</v>
      </c>
      <c r="D41" s="58"/>
      <c r="E41" s="61"/>
    </row>
    <row r="42" spans="1:9" x14ac:dyDescent="0.25">
      <c r="A42" s="7" t="s">
        <v>58</v>
      </c>
      <c r="B42" s="17">
        <f>B27-B41</f>
        <v>765.02176562500006</v>
      </c>
      <c r="D42" s="58"/>
      <c r="E42" s="61"/>
    </row>
    <row r="43" spans="1:9" x14ac:dyDescent="0.25">
      <c r="A43" s="7" t="s">
        <v>59</v>
      </c>
      <c r="B43" s="43">
        <f>B23-B42-I27-I36</f>
        <v>-88.521765625000057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-0.32451558024974242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748.2</v>
      </c>
    </row>
    <row r="47" spans="1:9" ht="15.75" thickBot="1" x14ac:dyDescent="0.3">
      <c r="A47" s="63" t="s">
        <v>251</v>
      </c>
      <c r="B47" s="65">
        <f>B16*0.02</f>
        <v>1870.5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874" priority="29" operator="equal">
      <formula>"NO"</formula>
    </cfRule>
    <cfRule type="cellIs" dxfId="873" priority="30" operator="equal">
      <formula>"YES"</formula>
    </cfRule>
  </conditionalFormatting>
  <conditionalFormatting sqref="E40">
    <cfRule type="cellIs" dxfId="872" priority="27" operator="equal">
      <formula>"YES"</formula>
    </cfRule>
    <cfRule type="cellIs" dxfId="871" priority="28" operator="equal">
      <formula>"NO"</formula>
    </cfRule>
  </conditionalFormatting>
  <conditionalFormatting sqref="B25">
    <cfRule type="cellIs" dxfId="870" priority="25" operator="equal">
      <formula>"NO"</formula>
    </cfRule>
    <cfRule type="cellIs" dxfId="869" priority="26" operator="equal">
      <formula>"YES"</formula>
    </cfRule>
  </conditionalFormatting>
  <conditionalFormatting sqref="B12">
    <cfRule type="containsText" dxfId="868" priority="11" operator="containsText" text="Low">
      <formula>NOT(ISERROR(SEARCH("Low",B12)))</formula>
    </cfRule>
    <cfRule type="containsText" dxfId="867" priority="12" operator="containsText" text="Medium">
      <formula>NOT(ISERROR(SEARCH("Medium",B12)))</formula>
    </cfRule>
    <cfRule type="containsText" dxfId="866" priority="13" operator="containsText" text="High">
      <formula>NOT(ISERROR(SEARCH("High",B12)))</formula>
    </cfRule>
  </conditionalFormatting>
  <conditionalFormatting sqref="B31">
    <cfRule type="cellIs" dxfId="865" priority="21" operator="between">
      <formula>10%</formula>
      <formula>11.9%</formula>
    </cfRule>
    <cfRule type="cellIs" dxfId="864" priority="23" operator="lessThan">
      <formula>0.1</formula>
    </cfRule>
    <cfRule type="cellIs" dxfId="863" priority="24" operator="greaterThanOrEqual">
      <formula>0.12</formula>
    </cfRule>
  </conditionalFormatting>
  <conditionalFormatting sqref="B44">
    <cfRule type="cellIs" dxfId="862" priority="19" operator="between">
      <formula>0.1</formula>
      <formula>0.1199</formula>
    </cfRule>
    <cfRule type="cellIs" dxfId="861" priority="20" operator="lessThan">
      <formula>0.1</formula>
    </cfRule>
    <cfRule type="cellIs" dxfId="860" priority="22" operator="greaterThanOrEqual">
      <formula>0.12</formula>
    </cfRule>
  </conditionalFormatting>
  <conditionalFormatting sqref="B10">
    <cfRule type="containsText" dxfId="859" priority="14" operator="containsText" text="Full">
      <formula>NOT(ISERROR(SEARCH("Full",B10)))</formula>
    </cfRule>
    <cfRule type="containsText" dxfId="858" priority="15" operator="containsText" text="Heavy">
      <formula>NOT(ISERROR(SEARCH("Heavy",B10)))</formula>
    </cfRule>
    <cfRule type="containsText" dxfId="857" priority="16" operator="containsText" text="Medium">
      <formula>NOT(ISERROR(SEARCH("Medium",B10)))</formula>
    </cfRule>
    <cfRule type="containsText" dxfId="856" priority="17" operator="containsText" text="Light">
      <formula>NOT(ISERROR(SEARCH("Light",B10)))</formula>
    </cfRule>
    <cfRule type="containsText" dxfId="855" priority="18" operator="containsText" text="None">
      <formula>NOT(ISERROR(SEARCH("None",B10)))</formula>
    </cfRule>
  </conditionalFormatting>
  <conditionalFormatting sqref="B30">
    <cfRule type="cellIs" dxfId="854" priority="31" operator="lessThan">
      <formula>$B$8*100</formula>
    </cfRule>
    <cfRule type="cellIs" dxfId="853" priority="32" operator="greaterThanOrEqual">
      <formula>$B$8*100</formula>
    </cfRule>
  </conditionalFormatting>
  <conditionalFormatting sqref="B43">
    <cfRule type="cellIs" dxfId="852" priority="33" operator="lessThan">
      <formula>$B$8*100</formula>
    </cfRule>
    <cfRule type="cellIs" dxfId="851" priority="34" operator="greaterThan">
      <formula>$B$8*100</formula>
    </cfRule>
    <cfRule type="cellIs" dxfId="850" priority="35" operator="greaterThan">
      <formula>$B$8*100</formula>
    </cfRule>
  </conditionalFormatting>
  <conditionalFormatting sqref="B40">
    <cfRule type="cellIs" dxfId="849" priority="9" operator="equal">
      <formula>"YES"</formula>
    </cfRule>
    <cfRule type="cellIs" dxfId="848" priority="10" operator="equal">
      <formula>"NO"</formula>
    </cfRule>
  </conditionalFormatting>
  <conditionalFormatting sqref="E25:E28">
    <cfRule type="cellIs" dxfId="847" priority="5" operator="equal">
      <formula>"NO"</formula>
    </cfRule>
    <cfRule type="cellIs" dxfId="846" priority="6" operator="equal">
      <formula>"YES"</formula>
    </cfRule>
  </conditionalFormatting>
  <conditionalFormatting sqref="E31">
    <cfRule type="cellIs" dxfId="845" priority="2" operator="between">
      <formula>10%</formula>
      <formula>12%</formula>
    </cfRule>
    <cfRule type="cellIs" dxfId="844" priority="3" operator="lessThan">
      <formula>0.1</formula>
    </cfRule>
    <cfRule type="cellIs" dxfId="843" priority="4" operator="greaterThan">
      <formula>0.12</formula>
    </cfRule>
  </conditionalFormatting>
  <conditionalFormatting sqref="E30">
    <cfRule type="cellIs" dxfId="842" priority="7" operator="lessThan">
      <formula>$B$8*100</formula>
    </cfRule>
    <cfRule type="cellIs" dxfId="841" priority="8" operator="greaterThan">
      <formula>$B$8*100</formula>
    </cfRule>
  </conditionalFormatting>
  <conditionalFormatting sqref="B46:B47">
    <cfRule type="cellIs" dxfId="840" priority="1" operator="greaterThan">
      <formula>0</formula>
    </cfRule>
  </conditionalFormatting>
  <hyperlinks>
    <hyperlink ref="A34" r:id="rId1" display="https://www.zillow.com/homes/recently_sold/" xr:uid="{5F424C5F-8392-4CA9-8161-6891FADA8B62}"/>
    <hyperlink ref="A23" r:id="rId2" xr:uid="{098402B6-A1DE-48D7-8FCE-AFD74E1E61F4}"/>
    <hyperlink ref="A27" r:id="rId3" display="www.mortgagecalculator.org" xr:uid="{5991AD4E-C385-4E80-99DA-30385BBD832B}"/>
    <hyperlink ref="A12" r:id="rId4" xr:uid="{28DCF788-6278-43D2-BD47-6230C777DF29}"/>
  </hyperlinks>
  <pageMargins left="0.7" right="0.7" top="0.75" bottom="0.75" header="0.3" footer="0.3"/>
  <drawing r:id="rId5"/>
  <legacyDrawing r:id="rId6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71C82-6F26-4BC0-981E-69C5FC434A48}">
  <sheetPr>
    <tabColor rgb="FFFF0000"/>
  </sheetPr>
  <dimension ref="A1:P47"/>
  <sheetViews>
    <sheetView topLeftCell="A14" workbookViewId="0">
      <selection activeCell="H35" sqref="H3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312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72400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1824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61540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B14*B9/2</f>
        <v>13680</v>
      </c>
      <c r="D15" s="2"/>
      <c r="E15" s="3"/>
    </row>
    <row r="16" spans="1:10" x14ac:dyDescent="0.25">
      <c r="A16" s="7" t="s">
        <v>20</v>
      </c>
      <c r="B16" s="17">
        <f>B15+B13</f>
        <v>75220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2632.7000000000003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72587.3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880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752.2</v>
      </c>
      <c r="D24" s="7" t="s">
        <v>77</v>
      </c>
      <c r="E24" s="17">
        <f>B16*0.01</f>
        <v>752.2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627.37</v>
      </c>
      <c r="D27" s="7" t="s">
        <v>38</v>
      </c>
      <c r="E27" s="35">
        <f>B27</f>
        <v>627.37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812.17000000000007</v>
      </c>
      <c r="D28" s="7" t="s">
        <v>41</v>
      </c>
      <c r="E28" s="17">
        <f>E27+I27+I36</f>
        <v>812.17000000000007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67.829999999999927</v>
      </c>
      <c r="D30" s="7" t="s">
        <v>43</v>
      </c>
      <c r="E30" s="44">
        <f>E23-E27-I27-I36+I26+I35</f>
        <v>325.83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44</v>
      </c>
    </row>
    <row r="33" spans="1:9" ht="15.75" x14ac:dyDescent="0.25">
      <c r="A33" s="75" t="s">
        <v>47</v>
      </c>
      <c r="B33" s="76"/>
      <c r="G33" s="27" t="s">
        <v>48</v>
      </c>
      <c r="H33" s="48">
        <v>0.03</v>
      </c>
      <c r="I33" s="49">
        <f>$B$23*H33</f>
        <v>26.4</v>
      </c>
    </row>
    <row r="34" spans="1:9" x14ac:dyDescent="0.25">
      <c r="A34" s="26" t="s">
        <v>49</v>
      </c>
      <c r="B34" s="8">
        <f>B16</f>
        <v>75220</v>
      </c>
      <c r="G34" s="27" t="s">
        <v>50</v>
      </c>
      <c r="H34" s="48">
        <v>0.03</v>
      </c>
      <c r="I34" s="49">
        <f>$B$23*H34</f>
        <v>26.4</v>
      </c>
    </row>
    <row r="35" spans="1:9" x14ac:dyDescent="0.25">
      <c r="A35" s="7" t="s">
        <v>51</v>
      </c>
      <c r="B35" s="17">
        <f>B34-B20</f>
        <v>2632.6999999999971</v>
      </c>
      <c r="G35" s="27" t="s">
        <v>52</v>
      </c>
      <c r="H35" s="48">
        <v>0.1</v>
      </c>
      <c r="I35" s="49">
        <f>$B$23*H35</f>
        <v>88</v>
      </c>
    </row>
    <row r="36" spans="1:9" ht="15.75" thickBot="1" x14ac:dyDescent="0.3">
      <c r="A36" s="7" t="s">
        <v>53</v>
      </c>
      <c r="B36" s="50">
        <f>B35/B17</f>
        <v>0.99999999999999878</v>
      </c>
      <c r="G36" s="36" t="s">
        <v>39</v>
      </c>
      <c r="H36" s="37"/>
      <c r="I36" s="51">
        <f>SUM(I32:I35)</f>
        <v>184.8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51.416004166666674</v>
      </c>
      <c r="D41" s="58"/>
      <c r="E41" s="61"/>
    </row>
    <row r="42" spans="1:9" x14ac:dyDescent="0.25">
      <c r="A42" s="7" t="s">
        <v>58</v>
      </c>
      <c r="B42" s="17">
        <f>B27-B41</f>
        <v>575.95399583333335</v>
      </c>
      <c r="D42" s="58"/>
      <c r="E42" s="61"/>
    </row>
    <row r="43" spans="1:9" x14ac:dyDescent="0.25">
      <c r="A43" s="7" t="s">
        <v>59</v>
      </c>
      <c r="B43" s="43">
        <f>B23-B42-I27-I36</f>
        <v>119.24600416666664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0.54353023511983878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601.7600000000001</v>
      </c>
    </row>
    <row r="47" spans="1:9" ht="15.75" thickBot="1" x14ac:dyDescent="0.3">
      <c r="A47" s="63" t="s">
        <v>251</v>
      </c>
      <c r="B47" s="65">
        <f>B16*0.02</f>
        <v>1504.4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839" priority="29" operator="equal">
      <formula>"NO"</formula>
    </cfRule>
    <cfRule type="cellIs" dxfId="838" priority="30" operator="equal">
      <formula>"YES"</formula>
    </cfRule>
  </conditionalFormatting>
  <conditionalFormatting sqref="E40">
    <cfRule type="cellIs" dxfId="837" priority="27" operator="equal">
      <formula>"YES"</formula>
    </cfRule>
    <cfRule type="cellIs" dxfId="836" priority="28" operator="equal">
      <formula>"NO"</formula>
    </cfRule>
  </conditionalFormatting>
  <conditionalFormatting sqref="B25">
    <cfRule type="cellIs" dxfId="835" priority="25" operator="equal">
      <formula>"NO"</formula>
    </cfRule>
    <cfRule type="cellIs" dxfId="834" priority="26" operator="equal">
      <formula>"YES"</formula>
    </cfRule>
  </conditionalFormatting>
  <conditionalFormatting sqref="B12">
    <cfRule type="containsText" dxfId="833" priority="11" operator="containsText" text="Low">
      <formula>NOT(ISERROR(SEARCH("Low",B12)))</formula>
    </cfRule>
    <cfRule type="containsText" dxfId="832" priority="12" operator="containsText" text="Medium">
      <formula>NOT(ISERROR(SEARCH("Medium",B12)))</formula>
    </cfRule>
    <cfRule type="containsText" dxfId="831" priority="13" operator="containsText" text="High">
      <formula>NOT(ISERROR(SEARCH("High",B12)))</formula>
    </cfRule>
  </conditionalFormatting>
  <conditionalFormatting sqref="B31">
    <cfRule type="cellIs" dxfId="830" priority="21" operator="between">
      <formula>10%</formula>
      <formula>11.9%</formula>
    </cfRule>
    <cfRule type="cellIs" dxfId="829" priority="23" operator="lessThan">
      <formula>0.1</formula>
    </cfRule>
    <cfRule type="cellIs" dxfId="828" priority="24" operator="greaterThanOrEqual">
      <formula>0.12</formula>
    </cfRule>
  </conditionalFormatting>
  <conditionalFormatting sqref="B44">
    <cfRule type="cellIs" dxfId="827" priority="19" operator="between">
      <formula>0.1</formula>
      <formula>0.1199</formula>
    </cfRule>
    <cfRule type="cellIs" dxfId="826" priority="20" operator="lessThan">
      <formula>0.1</formula>
    </cfRule>
    <cfRule type="cellIs" dxfId="825" priority="22" operator="greaterThanOrEqual">
      <formula>0.12</formula>
    </cfRule>
  </conditionalFormatting>
  <conditionalFormatting sqref="B10">
    <cfRule type="containsText" dxfId="824" priority="14" operator="containsText" text="Full">
      <formula>NOT(ISERROR(SEARCH("Full",B10)))</formula>
    </cfRule>
    <cfRule type="containsText" dxfId="823" priority="15" operator="containsText" text="Heavy">
      <formula>NOT(ISERROR(SEARCH("Heavy",B10)))</formula>
    </cfRule>
    <cfRule type="containsText" dxfId="822" priority="16" operator="containsText" text="Medium">
      <formula>NOT(ISERROR(SEARCH("Medium",B10)))</formula>
    </cfRule>
    <cfRule type="containsText" dxfId="821" priority="17" operator="containsText" text="Light">
      <formula>NOT(ISERROR(SEARCH("Light",B10)))</formula>
    </cfRule>
    <cfRule type="containsText" dxfId="820" priority="18" operator="containsText" text="None">
      <formula>NOT(ISERROR(SEARCH("None",B10)))</formula>
    </cfRule>
  </conditionalFormatting>
  <conditionalFormatting sqref="B30">
    <cfRule type="cellIs" dxfId="819" priority="31" operator="lessThan">
      <formula>$B$8*100</formula>
    </cfRule>
    <cfRule type="cellIs" dxfId="818" priority="32" operator="greaterThanOrEqual">
      <formula>$B$8*100</formula>
    </cfRule>
  </conditionalFormatting>
  <conditionalFormatting sqref="B43">
    <cfRule type="cellIs" dxfId="817" priority="33" operator="lessThan">
      <formula>$B$8*100</formula>
    </cfRule>
    <cfRule type="cellIs" dxfId="816" priority="34" operator="greaterThan">
      <formula>$B$8*100</formula>
    </cfRule>
    <cfRule type="cellIs" dxfId="815" priority="35" operator="greaterThan">
      <formula>$B$8*100</formula>
    </cfRule>
  </conditionalFormatting>
  <conditionalFormatting sqref="B40">
    <cfRule type="cellIs" dxfId="814" priority="9" operator="equal">
      <formula>"YES"</formula>
    </cfRule>
    <cfRule type="cellIs" dxfId="813" priority="10" operator="equal">
      <formula>"NO"</formula>
    </cfRule>
  </conditionalFormatting>
  <conditionalFormatting sqref="E25:E28">
    <cfRule type="cellIs" dxfId="812" priority="5" operator="equal">
      <formula>"NO"</formula>
    </cfRule>
    <cfRule type="cellIs" dxfId="811" priority="6" operator="equal">
      <formula>"YES"</formula>
    </cfRule>
  </conditionalFormatting>
  <conditionalFormatting sqref="E31">
    <cfRule type="cellIs" dxfId="810" priority="2" operator="between">
      <formula>10%</formula>
      <formula>12%</formula>
    </cfRule>
    <cfRule type="cellIs" dxfId="809" priority="3" operator="lessThan">
      <formula>0.1</formula>
    </cfRule>
    <cfRule type="cellIs" dxfId="808" priority="4" operator="greaterThan">
      <formula>0.12</formula>
    </cfRule>
  </conditionalFormatting>
  <conditionalFormatting sqref="E30">
    <cfRule type="cellIs" dxfId="807" priority="7" operator="lessThan">
      <formula>$B$8*100</formula>
    </cfRule>
    <cfRule type="cellIs" dxfId="806" priority="8" operator="greaterThan">
      <formula>$B$8*100</formula>
    </cfRule>
  </conditionalFormatting>
  <conditionalFormatting sqref="B46:B47">
    <cfRule type="cellIs" dxfId="805" priority="1" operator="greaterThan">
      <formula>0</formula>
    </cfRule>
  </conditionalFormatting>
  <hyperlinks>
    <hyperlink ref="A34" r:id="rId1" display="https://www.zillow.com/homes/recently_sold/" xr:uid="{55100A00-E5DD-4548-BC26-7C4A30E74721}"/>
    <hyperlink ref="A23" r:id="rId2" xr:uid="{BA3CA15D-44DE-412E-B48B-E099255B031F}"/>
    <hyperlink ref="A27" r:id="rId3" display="www.mortgagecalculator.org" xr:uid="{B0C4B09F-E620-4AE1-B1D3-1445A76FC1AD}"/>
    <hyperlink ref="A12" r:id="rId4" xr:uid="{B3209110-3040-4D2E-826A-B2B02FFDD9D9}"/>
  </hyperlinks>
  <pageMargins left="0.7" right="0.7" top="0.75" bottom="0.75" header="0.3" footer="0.3"/>
  <drawing r:id="rId5"/>
  <legacyDrawing r:id="rId6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73050-CF65-4086-88AB-DB7BE78AE301}">
  <sheetPr>
    <tabColor rgb="FFFF0000"/>
  </sheetPr>
  <dimension ref="A1:P47"/>
  <sheetViews>
    <sheetView topLeftCell="A13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313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67900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1117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57715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39095</v>
      </c>
      <c r="D15" s="2"/>
      <c r="E15" s="3"/>
    </row>
    <row r="16" spans="1:10" x14ac:dyDescent="0.25">
      <c r="A16" s="7" t="s">
        <v>20</v>
      </c>
      <c r="B16" s="17">
        <f>B15+B13</f>
        <v>96810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3388.3500000000004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93421.65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968.1</v>
      </c>
      <c r="D24" s="7" t="s">
        <v>77</v>
      </c>
      <c r="E24" s="17">
        <f>B16*0.01</f>
        <v>968.1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785.68</v>
      </c>
      <c r="D27" s="7" t="s">
        <v>38</v>
      </c>
      <c r="E27" s="35">
        <f>B27</f>
        <v>785.68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1010.68</v>
      </c>
      <c r="D28" s="7" t="s">
        <v>41</v>
      </c>
      <c r="E28" s="17">
        <f>E27+I27+I36</f>
        <v>1010.68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-110.67999999999995</v>
      </c>
      <c r="D30" s="7" t="s">
        <v>43</v>
      </c>
      <c r="E30" s="44">
        <f>E23-E27-I27-I36+I26+I35</f>
        <v>129.32000000000005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45</v>
      </c>
    </row>
    <row r="34" spans="1:9" x14ac:dyDescent="0.25">
      <c r="A34" s="26" t="s">
        <v>49</v>
      </c>
      <c r="B34" s="8">
        <f>B16</f>
        <v>96810</v>
      </c>
      <c r="G34" s="27" t="s">
        <v>50</v>
      </c>
      <c r="H34" s="48">
        <v>0.05</v>
      </c>
      <c r="I34" s="49">
        <f>$B$23*H34</f>
        <v>45</v>
      </c>
    </row>
    <row r="35" spans="1:9" x14ac:dyDescent="0.25">
      <c r="A35" s="7" t="s">
        <v>51</v>
      </c>
      <c r="B35" s="17">
        <f>B34-B20</f>
        <v>3388.3500000000058</v>
      </c>
      <c r="G35" s="27" t="s">
        <v>52</v>
      </c>
      <c r="H35" s="48">
        <v>0.1</v>
      </c>
      <c r="I35" s="49">
        <f>$B$23*H35</f>
        <v>90</v>
      </c>
    </row>
    <row r="36" spans="1:9" ht="15.75" thickBot="1" x14ac:dyDescent="0.3">
      <c r="A36" s="7" t="s">
        <v>53</v>
      </c>
      <c r="B36" s="50">
        <f>B35/B17</f>
        <v>1.0000000000000016</v>
      </c>
      <c r="G36" s="36" t="s">
        <v>39</v>
      </c>
      <c r="H36" s="37"/>
      <c r="I36" s="51">
        <f>SUM(I32:I35)</f>
        <v>225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66.173668750000004</v>
      </c>
      <c r="D41" s="58"/>
      <c r="E41" s="61"/>
    </row>
    <row r="42" spans="1:9" x14ac:dyDescent="0.25">
      <c r="A42" s="7" t="s">
        <v>58</v>
      </c>
      <c r="B42" s="17">
        <f>B27-B41</f>
        <v>719.5063312499999</v>
      </c>
      <c r="D42" s="58"/>
      <c r="E42" s="61"/>
    </row>
    <row r="43" spans="1:9" x14ac:dyDescent="0.25">
      <c r="A43" s="7" t="s">
        <v>59</v>
      </c>
      <c r="B43" s="43">
        <f>B23-B42-I27-I36</f>
        <v>-44.506331249999903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-0.15762125370755642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774.48</v>
      </c>
    </row>
    <row r="47" spans="1:9" ht="15.75" thickBot="1" x14ac:dyDescent="0.3">
      <c r="A47" s="63" t="s">
        <v>251</v>
      </c>
      <c r="B47" s="65">
        <f>B16*0.02</f>
        <v>1936.2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804" priority="29" operator="equal">
      <formula>"NO"</formula>
    </cfRule>
    <cfRule type="cellIs" dxfId="803" priority="30" operator="equal">
      <formula>"YES"</formula>
    </cfRule>
  </conditionalFormatting>
  <conditionalFormatting sqref="E40">
    <cfRule type="cellIs" dxfId="802" priority="27" operator="equal">
      <formula>"YES"</formula>
    </cfRule>
    <cfRule type="cellIs" dxfId="801" priority="28" operator="equal">
      <formula>"NO"</formula>
    </cfRule>
  </conditionalFormatting>
  <conditionalFormatting sqref="B25">
    <cfRule type="cellIs" dxfId="800" priority="25" operator="equal">
      <formula>"NO"</formula>
    </cfRule>
    <cfRule type="cellIs" dxfId="799" priority="26" operator="equal">
      <formula>"YES"</formula>
    </cfRule>
  </conditionalFormatting>
  <conditionalFormatting sqref="B12">
    <cfRule type="containsText" dxfId="798" priority="11" operator="containsText" text="Low">
      <formula>NOT(ISERROR(SEARCH("Low",B12)))</formula>
    </cfRule>
    <cfRule type="containsText" dxfId="797" priority="12" operator="containsText" text="Medium">
      <formula>NOT(ISERROR(SEARCH("Medium",B12)))</formula>
    </cfRule>
    <cfRule type="containsText" dxfId="796" priority="13" operator="containsText" text="High">
      <formula>NOT(ISERROR(SEARCH("High",B12)))</formula>
    </cfRule>
  </conditionalFormatting>
  <conditionalFormatting sqref="B31">
    <cfRule type="cellIs" dxfId="795" priority="21" operator="between">
      <formula>10%</formula>
      <formula>11.9%</formula>
    </cfRule>
    <cfRule type="cellIs" dxfId="794" priority="23" operator="lessThan">
      <formula>0.1</formula>
    </cfRule>
    <cfRule type="cellIs" dxfId="793" priority="24" operator="greaterThanOrEqual">
      <formula>0.12</formula>
    </cfRule>
  </conditionalFormatting>
  <conditionalFormatting sqref="B44">
    <cfRule type="cellIs" dxfId="792" priority="19" operator="between">
      <formula>0.1</formula>
      <formula>0.1199</formula>
    </cfRule>
    <cfRule type="cellIs" dxfId="791" priority="20" operator="lessThan">
      <formula>0.1</formula>
    </cfRule>
    <cfRule type="cellIs" dxfId="790" priority="22" operator="greaterThanOrEqual">
      <formula>0.12</formula>
    </cfRule>
  </conditionalFormatting>
  <conditionalFormatting sqref="B10">
    <cfRule type="containsText" dxfId="789" priority="14" operator="containsText" text="Full">
      <formula>NOT(ISERROR(SEARCH("Full",B10)))</formula>
    </cfRule>
    <cfRule type="containsText" dxfId="788" priority="15" operator="containsText" text="Heavy">
      <formula>NOT(ISERROR(SEARCH("Heavy",B10)))</formula>
    </cfRule>
    <cfRule type="containsText" dxfId="787" priority="16" operator="containsText" text="Medium">
      <formula>NOT(ISERROR(SEARCH("Medium",B10)))</formula>
    </cfRule>
    <cfRule type="containsText" dxfId="786" priority="17" operator="containsText" text="Light">
      <formula>NOT(ISERROR(SEARCH("Light",B10)))</formula>
    </cfRule>
    <cfRule type="containsText" dxfId="785" priority="18" operator="containsText" text="None">
      <formula>NOT(ISERROR(SEARCH("None",B10)))</formula>
    </cfRule>
  </conditionalFormatting>
  <conditionalFormatting sqref="B30">
    <cfRule type="cellIs" dxfId="784" priority="31" operator="lessThan">
      <formula>$B$8*100</formula>
    </cfRule>
    <cfRule type="cellIs" dxfId="783" priority="32" operator="greaterThanOrEqual">
      <formula>$B$8*100</formula>
    </cfRule>
  </conditionalFormatting>
  <conditionalFormatting sqref="B43">
    <cfRule type="cellIs" dxfId="782" priority="33" operator="lessThan">
      <formula>$B$8*100</formula>
    </cfRule>
    <cfRule type="cellIs" dxfId="781" priority="34" operator="greaterThan">
      <formula>$B$8*100</formula>
    </cfRule>
    <cfRule type="cellIs" dxfId="780" priority="35" operator="greaterThan">
      <formula>$B$8*100</formula>
    </cfRule>
  </conditionalFormatting>
  <conditionalFormatting sqref="B40">
    <cfRule type="cellIs" dxfId="779" priority="9" operator="equal">
      <formula>"YES"</formula>
    </cfRule>
    <cfRule type="cellIs" dxfId="778" priority="10" operator="equal">
      <formula>"NO"</formula>
    </cfRule>
  </conditionalFormatting>
  <conditionalFormatting sqref="E25:E28">
    <cfRule type="cellIs" dxfId="777" priority="5" operator="equal">
      <formula>"NO"</formula>
    </cfRule>
    <cfRule type="cellIs" dxfId="776" priority="6" operator="equal">
      <formula>"YES"</formula>
    </cfRule>
  </conditionalFormatting>
  <conditionalFormatting sqref="E31">
    <cfRule type="cellIs" dxfId="775" priority="2" operator="between">
      <formula>10%</formula>
      <formula>12%</formula>
    </cfRule>
    <cfRule type="cellIs" dxfId="774" priority="3" operator="lessThan">
      <formula>0.1</formula>
    </cfRule>
    <cfRule type="cellIs" dxfId="773" priority="4" operator="greaterThan">
      <formula>0.12</formula>
    </cfRule>
  </conditionalFormatting>
  <conditionalFormatting sqref="E30">
    <cfRule type="cellIs" dxfId="772" priority="7" operator="lessThan">
      <formula>$B$8*100</formula>
    </cfRule>
    <cfRule type="cellIs" dxfId="771" priority="8" operator="greaterThan">
      <formula>$B$8*100</formula>
    </cfRule>
  </conditionalFormatting>
  <conditionalFormatting sqref="B46:B47">
    <cfRule type="cellIs" dxfId="770" priority="1" operator="greaterThan">
      <formula>0</formula>
    </cfRule>
  </conditionalFormatting>
  <hyperlinks>
    <hyperlink ref="A34" r:id="rId1" display="https://www.zillow.com/homes/recently_sold/" xr:uid="{7602D131-59DB-42AC-8FDB-BD9BEBE7D93B}"/>
    <hyperlink ref="A23" r:id="rId2" xr:uid="{02794A29-5915-4C77-9069-71DB252CF1E6}"/>
    <hyperlink ref="A27" r:id="rId3" display="www.mortgagecalculator.org" xr:uid="{3234F214-3B2E-4C31-BF66-BBE16B1B0DBA}"/>
    <hyperlink ref="A12" r:id="rId4" xr:uid="{E4A37C66-9DBD-4010-98B7-CFC1B6173AB9}"/>
  </hyperlinks>
  <pageMargins left="0.7" right="0.7" top="0.75" bottom="0.75" header="0.3" footer="0.3"/>
  <drawing r:id="rId5"/>
  <legacyDrawing r:id="rId6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BBAE-7568-43CD-A8CF-B67854D797FD}">
  <sheetPr>
    <tabColor rgb="FF92D050"/>
  </sheetPr>
  <dimension ref="A1:P47"/>
  <sheetViews>
    <sheetView topLeftCell="A22" workbookViewId="0">
      <selection activeCell="E31" sqref="E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315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39000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1755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33150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61425</v>
      </c>
      <c r="D15" s="2"/>
      <c r="E15" s="3"/>
    </row>
    <row r="16" spans="1:10" x14ac:dyDescent="0.25">
      <c r="A16" s="7" t="s">
        <v>20</v>
      </c>
      <c r="B16" s="17">
        <f>B15+B13</f>
        <v>94575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3310.1250000000005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91264.875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1110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945.75</v>
      </c>
      <c r="D24" s="7" t="s">
        <v>77</v>
      </c>
      <c r="E24" s="17">
        <f>B16*0.01</f>
        <v>945.75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833.69</v>
      </c>
      <c r="D27" s="7" t="s">
        <v>38</v>
      </c>
      <c r="E27" s="35">
        <f>B27</f>
        <v>833.69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1033.49</v>
      </c>
      <c r="D28" s="7" t="s">
        <v>41</v>
      </c>
      <c r="E28" s="17">
        <f>E27+I27+I36</f>
        <v>1033.49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76.509999999999991</v>
      </c>
      <c r="D30" s="7" t="s">
        <v>43</v>
      </c>
      <c r="E30" s="44">
        <f>E23-E27-I27-I36+I26+I35</f>
        <v>-122.49000000000007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0.02</v>
      </c>
      <c r="I32" s="49">
        <f>$B$23*H32</f>
        <v>22.2</v>
      </c>
    </row>
    <row r="33" spans="1:9" ht="15.75" x14ac:dyDescent="0.25">
      <c r="A33" s="75" t="s">
        <v>47</v>
      </c>
      <c r="B33" s="76"/>
      <c r="G33" s="27" t="s">
        <v>48</v>
      </c>
      <c r="H33" s="48">
        <v>0.03</v>
      </c>
      <c r="I33" s="49">
        <f>$B$23*H33</f>
        <v>33.299999999999997</v>
      </c>
    </row>
    <row r="34" spans="1:9" x14ac:dyDescent="0.25">
      <c r="A34" s="26" t="s">
        <v>49</v>
      </c>
      <c r="B34" s="8">
        <f>B16</f>
        <v>94575</v>
      </c>
      <c r="G34" s="27" t="s">
        <v>50</v>
      </c>
      <c r="H34" s="48">
        <v>0.03</v>
      </c>
      <c r="I34" s="49">
        <f>$B$23*H34</f>
        <v>33.299999999999997</v>
      </c>
    </row>
    <row r="35" spans="1:9" x14ac:dyDescent="0.25">
      <c r="A35" s="7" t="s">
        <v>51</v>
      </c>
      <c r="B35" s="17">
        <f>B34-B20</f>
        <v>3310.125</v>
      </c>
      <c r="G35" s="27" t="s">
        <v>52</v>
      </c>
      <c r="H35" s="48">
        <v>0.1</v>
      </c>
      <c r="I35" s="49">
        <f>$B$23*H35</f>
        <v>111</v>
      </c>
    </row>
    <row r="36" spans="1:9" ht="15.75" thickBot="1" x14ac:dyDescent="0.3">
      <c r="A36" s="7" t="s">
        <v>53</v>
      </c>
      <c r="B36" s="50">
        <f>B35/B17</f>
        <v>0.99999999999999989</v>
      </c>
      <c r="G36" s="36" t="s">
        <v>39</v>
      </c>
      <c r="H36" s="37"/>
      <c r="I36" s="51">
        <f>SUM(I32:I35)</f>
        <v>199.8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64.645953125000005</v>
      </c>
      <c r="D41" s="58"/>
      <c r="E41" s="61"/>
    </row>
    <row r="42" spans="1:9" x14ac:dyDescent="0.25">
      <c r="A42" s="7" t="s">
        <v>58</v>
      </c>
      <c r="B42" s="17">
        <f>B27-B41</f>
        <v>769.04404687500005</v>
      </c>
      <c r="D42" s="58"/>
      <c r="E42" s="61"/>
    </row>
    <row r="43" spans="1:9" x14ac:dyDescent="0.25">
      <c r="A43" s="7" t="s">
        <v>59</v>
      </c>
      <c r="B43" s="43">
        <f>B23-B42-I27-I36</f>
        <v>141.15595312499994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0.51172431177070321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756.6</v>
      </c>
    </row>
    <row r="47" spans="1:9" ht="15.75" thickBot="1" x14ac:dyDescent="0.3">
      <c r="A47" s="63" t="s">
        <v>251</v>
      </c>
      <c r="B47" s="65">
        <f>B16*0.02</f>
        <v>1891.5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769" priority="29" operator="equal">
      <formula>"NO"</formula>
    </cfRule>
    <cfRule type="cellIs" dxfId="768" priority="30" operator="equal">
      <formula>"YES"</formula>
    </cfRule>
  </conditionalFormatting>
  <conditionalFormatting sqref="E40">
    <cfRule type="cellIs" dxfId="767" priority="27" operator="equal">
      <formula>"YES"</formula>
    </cfRule>
    <cfRule type="cellIs" dxfId="766" priority="28" operator="equal">
      <formula>"NO"</formula>
    </cfRule>
  </conditionalFormatting>
  <conditionalFormatting sqref="B25">
    <cfRule type="cellIs" dxfId="765" priority="25" operator="equal">
      <formula>"NO"</formula>
    </cfRule>
    <cfRule type="cellIs" dxfId="764" priority="26" operator="equal">
      <formula>"YES"</formula>
    </cfRule>
  </conditionalFormatting>
  <conditionalFormatting sqref="B12">
    <cfRule type="containsText" dxfId="763" priority="11" operator="containsText" text="Low">
      <formula>NOT(ISERROR(SEARCH("Low",B12)))</formula>
    </cfRule>
    <cfRule type="containsText" dxfId="762" priority="12" operator="containsText" text="Medium">
      <formula>NOT(ISERROR(SEARCH("Medium",B12)))</formula>
    </cfRule>
    <cfRule type="containsText" dxfId="761" priority="13" operator="containsText" text="High">
      <formula>NOT(ISERROR(SEARCH("High",B12)))</formula>
    </cfRule>
  </conditionalFormatting>
  <conditionalFormatting sqref="B31">
    <cfRule type="cellIs" dxfId="760" priority="21" operator="between">
      <formula>10%</formula>
      <formula>11.9%</formula>
    </cfRule>
    <cfRule type="cellIs" dxfId="759" priority="23" operator="lessThan">
      <formula>0.1</formula>
    </cfRule>
    <cfRule type="cellIs" dxfId="758" priority="24" operator="greaterThanOrEqual">
      <formula>0.12</formula>
    </cfRule>
  </conditionalFormatting>
  <conditionalFormatting sqref="B44">
    <cfRule type="cellIs" dxfId="757" priority="19" operator="between">
      <formula>0.1</formula>
      <formula>0.1199</formula>
    </cfRule>
    <cfRule type="cellIs" dxfId="756" priority="20" operator="lessThan">
      <formula>0.1</formula>
    </cfRule>
    <cfRule type="cellIs" dxfId="755" priority="22" operator="greaterThanOrEqual">
      <formula>0.12</formula>
    </cfRule>
  </conditionalFormatting>
  <conditionalFormatting sqref="B10">
    <cfRule type="containsText" dxfId="754" priority="14" operator="containsText" text="Full">
      <formula>NOT(ISERROR(SEARCH("Full",B10)))</formula>
    </cfRule>
    <cfRule type="containsText" dxfId="753" priority="15" operator="containsText" text="Heavy">
      <formula>NOT(ISERROR(SEARCH("Heavy",B10)))</formula>
    </cfRule>
    <cfRule type="containsText" dxfId="752" priority="16" operator="containsText" text="Medium">
      <formula>NOT(ISERROR(SEARCH("Medium",B10)))</formula>
    </cfRule>
    <cfRule type="containsText" dxfId="751" priority="17" operator="containsText" text="Light">
      <formula>NOT(ISERROR(SEARCH("Light",B10)))</formula>
    </cfRule>
    <cfRule type="containsText" dxfId="750" priority="18" operator="containsText" text="None">
      <formula>NOT(ISERROR(SEARCH("None",B10)))</formula>
    </cfRule>
  </conditionalFormatting>
  <conditionalFormatting sqref="B30">
    <cfRule type="cellIs" dxfId="749" priority="31" operator="lessThan">
      <formula>$B$8*100</formula>
    </cfRule>
    <cfRule type="cellIs" dxfId="748" priority="32" operator="greaterThanOrEqual">
      <formula>$B$8*100</formula>
    </cfRule>
  </conditionalFormatting>
  <conditionalFormatting sqref="B43">
    <cfRule type="cellIs" dxfId="747" priority="33" operator="lessThan">
      <formula>$B$8*100</formula>
    </cfRule>
    <cfRule type="cellIs" dxfId="746" priority="34" operator="greaterThan">
      <formula>$B$8*100</formula>
    </cfRule>
    <cfRule type="cellIs" dxfId="745" priority="35" operator="greaterThan">
      <formula>$B$8*100</formula>
    </cfRule>
  </conditionalFormatting>
  <conditionalFormatting sqref="B40">
    <cfRule type="cellIs" dxfId="744" priority="9" operator="equal">
      <formula>"YES"</formula>
    </cfRule>
    <cfRule type="cellIs" dxfId="743" priority="10" operator="equal">
      <formula>"NO"</formula>
    </cfRule>
  </conditionalFormatting>
  <conditionalFormatting sqref="E25:E28">
    <cfRule type="cellIs" dxfId="742" priority="5" operator="equal">
      <formula>"NO"</formula>
    </cfRule>
    <cfRule type="cellIs" dxfId="741" priority="6" operator="equal">
      <formula>"YES"</formula>
    </cfRule>
  </conditionalFormatting>
  <conditionalFormatting sqref="E31">
    <cfRule type="cellIs" dxfId="740" priority="2" operator="between">
      <formula>10%</formula>
      <formula>12%</formula>
    </cfRule>
    <cfRule type="cellIs" dxfId="739" priority="3" operator="lessThan">
      <formula>0.1</formula>
    </cfRule>
    <cfRule type="cellIs" dxfId="738" priority="4" operator="greaterThan">
      <formula>0.12</formula>
    </cfRule>
  </conditionalFormatting>
  <conditionalFormatting sqref="E30">
    <cfRule type="cellIs" dxfId="737" priority="7" operator="lessThan">
      <formula>$B$8*100</formula>
    </cfRule>
    <cfRule type="cellIs" dxfId="736" priority="8" operator="greaterThan">
      <formula>$B$8*100</formula>
    </cfRule>
  </conditionalFormatting>
  <conditionalFormatting sqref="B46:B47">
    <cfRule type="cellIs" dxfId="735" priority="1" operator="greaterThan">
      <formula>0</formula>
    </cfRule>
  </conditionalFormatting>
  <hyperlinks>
    <hyperlink ref="A34" r:id="rId1" display="https://www.zillow.com/homes/recently_sold/" xr:uid="{A8497BE4-473F-49ED-80F2-20353C020782}"/>
    <hyperlink ref="A23" r:id="rId2" xr:uid="{4C7F71B3-5A25-4A96-9B1F-45C785B11CD4}"/>
    <hyperlink ref="A27" r:id="rId3" display="www.mortgagecalculator.org" xr:uid="{D93B95C2-B2E8-4E03-9232-772A517FC5CF}"/>
    <hyperlink ref="A12" r:id="rId4" xr:uid="{049256DB-ED2C-406A-9A20-0C3096C59462}"/>
  </hyperlinks>
  <pageMargins left="0.7" right="0.7" top="0.75" bottom="0.75" header="0.3" footer="0.3"/>
  <drawing r:id="rId5"/>
  <legacyDrawing r:id="rId6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3194E-9A44-4D4A-8E80-60A0833220D1}">
  <sheetPr>
    <tabColor rgb="FF92D050"/>
  </sheetPr>
  <dimension ref="A1:P47"/>
  <sheetViews>
    <sheetView workbookViewId="0">
      <selection activeCell="B12" sqref="B1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317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59900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1156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316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50915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17340</v>
      </c>
      <c r="D15" s="2"/>
      <c r="E15" s="3"/>
    </row>
    <row r="16" spans="1:10" x14ac:dyDescent="0.25">
      <c r="A16" s="7" t="s">
        <v>20</v>
      </c>
      <c r="B16" s="17">
        <f>B15+B13</f>
        <v>68255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2388.9250000000002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65866.074999999997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902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682.55000000000007</v>
      </c>
      <c r="D24" s="7" t="s">
        <v>77</v>
      </c>
      <c r="E24" s="17">
        <f>B16*0.01</f>
        <v>682.55000000000007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661.11</v>
      </c>
      <c r="D27" s="7" t="s">
        <v>38</v>
      </c>
      <c r="E27" s="35">
        <f>B27</f>
        <v>661.11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886.61</v>
      </c>
      <c r="D28" s="7" t="s">
        <v>41</v>
      </c>
      <c r="E28" s="17">
        <f>E27+I27+I36</f>
        <v>886.61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15.389999999999986</v>
      </c>
      <c r="D30" s="7" t="s">
        <v>43</v>
      </c>
      <c r="E30" s="44">
        <f>E23-E27-I27-I36+I26+I35</f>
        <v>3.5899999999999892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45.1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45.1</v>
      </c>
    </row>
    <row r="34" spans="1:9" x14ac:dyDescent="0.25">
      <c r="A34" s="26" t="s">
        <v>49</v>
      </c>
      <c r="B34" s="8">
        <f>B16</f>
        <v>68255</v>
      </c>
      <c r="G34" s="27" t="s">
        <v>50</v>
      </c>
      <c r="H34" s="48">
        <v>0.05</v>
      </c>
      <c r="I34" s="49">
        <f>$B$23*H34</f>
        <v>45.1</v>
      </c>
    </row>
    <row r="35" spans="1:9" x14ac:dyDescent="0.25">
      <c r="A35" s="7" t="s">
        <v>51</v>
      </c>
      <c r="B35" s="17">
        <f>B34-B20</f>
        <v>2388.9250000000029</v>
      </c>
      <c r="G35" s="27" t="s">
        <v>52</v>
      </c>
      <c r="H35" s="48">
        <v>0.1</v>
      </c>
      <c r="I35" s="49">
        <f>$B$23*H35</f>
        <v>90.2</v>
      </c>
    </row>
    <row r="36" spans="1:9" ht="15.75" thickBot="1" x14ac:dyDescent="0.3">
      <c r="A36" s="7" t="s">
        <v>53</v>
      </c>
      <c r="B36" s="50">
        <f>B35/B17</f>
        <v>1.0000000000000011</v>
      </c>
      <c r="G36" s="36" t="s">
        <v>39</v>
      </c>
      <c r="H36" s="37"/>
      <c r="I36" s="51">
        <f>SUM(I32:I35)</f>
        <v>225.5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46.655136458333338</v>
      </c>
      <c r="D41" s="58"/>
      <c r="E41" s="61"/>
    </row>
    <row r="42" spans="1:9" x14ac:dyDescent="0.25">
      <c r="A42" s="7" t="s">
        <v>58</v>
      </c>
      <c r="B42" s="17">
        <f>B27-B41</f>
        <v>614.45486354166667</v>
      </c>
      <c r="D42" s="58"/>
      <c r="E42" s="61"/>
    </row>
    <row r="43" spans="1:9" x14ac:dyDescent="0.25">
      <c r="A43" s="7" t="s">
        <v>59</v>
      </c>
      <c r="B43" s="43">
        <f>B23-B42-I27-I36</f>
        <v>62.045136458333332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0.31166388124365557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546.04</v>
      </c>
    </row>
    <row r="47" spans="1:9" ht="15.75" thickBot="1" x14ac:dyDescent="0.3">
      <c r="A47" s="63" t="s">
        <v>251</v>
      </c>
      <c r="B47" s="65">
        <f>B16*0.02</f>
        <v>1365.1000000000001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734" priority="29" operator="equal">
      <formula>"NO"</formula>
    </cfRule>
    <cfRule type="cellIs" dxfId="733" priority="30" operator="equal">
      <formula>"YES"</formula>
    </cfRule>
  </conditionalFormatting>
  <conditionalFormatting sqref="E40">
    <cfRule type="cellIs" dxfId="732" priority="27" operator="equal">
      <formula>"YES"</formula>
    </cfRule>
    <cfRule type="cellIs" dxfId="731" priority="28" operator="equal">
      <formula>"NO"</formula>
    </cfRule>
  </conditionalFormatting>
  <conditionalFormatting sqref="B25">
    <cfRule type="cellIs" dxfId="730" priority="25" operator="equal">
      <formula>"NO"</formula>
    </cfRule>
    <cfRule type="cellIs" dxfId="729" priority="26" operator="equal">
      <formula>"YES"</formula>
    </cfRule>
  </conditionalFormatting>
  <conditionalFormatting sqref="B12">
    <cfRule type="containsText" dxfId="728" priority="11" operator="containsText" text="Low">
      <formula>NOT(ISERROR(SEARCH("Low",B12)))</formula>
    </cfRule>
    <cfRule type="containsText" dxfId="727" priority="12" operator="containsText" text="Medium">
      <formula>NOT(ISERROR(SEARCH("Medium",B12)))</formula>
    </cfRule>
    <cfRule type="containsText" dxfId="726" priority="13" operator="containsText" text="High">
      <formula>NOT(ISERROR(SEARCH("High",B12)))</formula>
    </cfRule>
  </conditionalFormatting>
  <conditionalFormatting sqref="B31">
    <cfRule type="cellIs" dxfId="725" priority="21" operator="between">
      <formula>10%</formula>
      <formula>11.9%</formula>
    </cfRule>
    <cfRule type="cellIs" dxfId="724" priority="23" operator="lessThan">
      <formula>0.1</formula>
    </cfRule>
    <cfRule type="cellIs" dxfId="723" priority="24" operator="greaterThanOrEqual">
      <formula>0.12</formula>
    </cfRule>
  </conditionalFormatting>
  <conditionalFormatting sqref="B44">
    <cfRule type="cellIs" dxfId="722" priority="19" operator="between">
      <formula>0.1</formula>
      <formula>0.1199</formula>
    </cfRule>
    <cfRule type="cellIs" dxfId="721" priority="20" operator="lessThan">
      <formula>0.1</formula>
    </cfRule>
    <cfRule type="cellIs" dxfId="720" priority="22" operator="greaterThanOrEqual">
      <formula>0.12</formula>
    </cfRule>
  </conditionalFormatting>
  <conditionalFormatting sqref="B10">
    <cfRule type="containsText" dxfId="719" priority="14" operator="containsText" text="Full">
      <formula>NOT(ISERROR(SEARCH("Full",B10)))</formula>
    </cfRule>
    <cfRule type="containsText" dxfId="718" priority="15" operator="containsText" text="Heavy">
      <formula>NOT(ISERROR(SEARCH("Heavy",B10)))</formula>
    </cfRule>
    <cfRule type="containsText" dxfId="717" priority="16" operator="containsText" text="Medium">
      <formula>NOT(ISERROR(SEARCH("Medium",B10)))</formula>
    </cfRule>
    <cfRule type="containsText" dxfId="716" priority="17" operator="containsText" text="Light">
      <formula>NOT(ISERROR(SEARCH("Light",B10)))</formula>
    </cfRule>
    <cfRule type="containsText" dxfId="715" priority="18" operator="containsText" text="None">
      <formula>NOT(ISERROR(SEARCH("None",B10)))</formula>
    </cfRule>
  </conditionalFormatting>
  <conditionalFormatting sqref="B30">
    <cfRule type="cellIs" dxfId="714" priority="31" operator="lessThan">
      <formula>$B$8*100</formula>
    </cfRule>
    <cfRule type="cellIs" dxfId="713" priority="32" operator="greaterThanOrEqual">
      <formula>$B$8*100</formula>
    </cfRule>
  </conditionalFormatting>
  <conditionalFormatting sqref="B43">
    <cfRule type="cellIs" dxfId="712" priority="33" operator="lessThan">
      <formula>$B$8*100</formula>
    </cfRule>
    <cfRule type="cellIs" dxfId="711" priority="34" operator="greaterThan">
      <formula>$B$8*100</formula>
    </cfRule>
    <cfRule type="cellIs" dxfId="710" priority="35" operator="greaterThan">
      <formula>$B$8*100</formula>
    </cfRule>
  </conditionalFormatting>
  <conditionalFormatting sqref="B40">
    <cfRule type="cellIs" dxfId="709" priority="9" operator="equal">
      <formula>"YES"</formula>
    </cfRule>
    <cfRule type="cellIs" dxfId="708" priority="10" operator="equal">
      <formula>"NO"</formula>
    </cfRule>
  </conditionalFormatting>
  <conditionalFormatting sqref="E25:E28">
    <cfRule type="cellIs" dxfId="707" priority="5" operator="equal">
      <formula>"NO"</formula>
    </cfRule>
    <cfRule type="cellIs" dxfId="706" priority="6" operator="equal">
      <formula>"YES"</formula>
    </cfRule>
  </conditionalFormatting>
  <conditionalFormatting sqref="E31">
    <cfRule type="cellIs" dxfId="705" priority="2" operator="between">
      <formula>10%</formula>
      <formula>12%</formula>
    </cfRule>
    <cfRule type="cellIs" dxfId="704" priority="3" operator="lessThan">
      <formula>0.1</formula>
    </cfRule>
    <cfRule type="cellIs" dxfId="703" priority="4" operator="greaterThan">
      <formula>0.12</formula>
    </cfRule>
  </conditionalFormatting>
  <conditionalFormatting sqref="E30">
    <cfRule type="cellIs" dxfId="702" priority="7" operator="lessThan">
      <formula>$B$8*100</formula>
    </cfRule>
    <cfRule type="cellIs" dxfId="701" priority="8" operator="greaterThan">
      <formula>$B$8*100</formula>
    </cfRule>
  </conditionalFormatting>
  <conditionalFormatting sqref="B46:B47">
    <cfRule type="cellIs" dxfId="700" priority="1" operator="greaterThan">
      <formula>0</formula>
    </cfRule>
  </conditionalFormatting>
  <hyperlinks>
    <hyperlink ref="A34" r:id="rId1" display="https://www.zillow.com/homes/recently_sold/" xr:uid="{63AA58CB-834C-4DA3-A3EC-839399228C1A}"/>
    <hyperlink ref="A23" r:id="rId2" xr:uid="{28B3ACDF-508E-4DE8-A1CF-3E894FE4420B}"/>
    <hyperlink ref="A27" r:id="rId3" display="www.mortgagecalculator.org" xr:uid="{57E4F703-3A93-4CFB-B0D7-A39208BD1553}"/>
    <hyperlink ref="A12" r:id="rId4" xr:uid="{255FB680-262F-49DD-B1FF-7AE500FD9CE9}"/>
  </hyperlinks>
  <pageMargins left="0.7" right="0.7" top="0.75" bottom="0.75" header="0.3" footer="0.3"/>
  <drawing r:id="rId5"/>
  <legacyDrawing r:id="rId6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5B12F-112C-4194-9950-B711BE530B9C}">
  <sheetPr>
    <tabColor rgb="FFFF0000"/>
  </sheetPr>
  <dimension ref="A1:P47"/>
  <sheetViews>
    <sheetView topLeftCell="A15" workbookViewId="0">
      <selection activeCell="C26" sqref="C2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318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64000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1254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54400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18810</v>
      </c>
      <c r="D15" s="2"/>
      <c r="E15" s="3"/>
    </row>
    <row r="16" spans="1:10" x14ac:dyDescent="0.25">
      <c r="A16" s="7" t="s">
        <v>20</v>
      </c>
      <c r="B16" s="17">
        <f>B15+B13</f>
        <v>73210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2562.3500000000004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70647.649999999994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902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732.1</v>
      </c>
      <c r="D24" s="7" t="s">
        <v>77</v>
      </c>
      <c r="E24" s="17">
        <f>B16*0.01</f>
        <v>732.1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678.95</v>
      </c>
      <c r="D27" s="7" t="s">
        <v>38</v>
      </c>
      <c r="E27" s="35">
        <f>B27</f>
        <v>678.95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904.45</v>
      </c>
      <c r="D28" s="7" t="s">
        <v>41</v>
      </c>
      <c r="E28" s="17">
        <f>E27+I27+I36</f>
        <v>904.45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-2.4500000000000455</v>
      </c>
      <c r="D30" s="7" t="s">
        <v>43</v>
      </c>
      <c r="E30" s="44">
        <f>E23-E27-I27-I36+I26+I35</f>
        <v>-14.250000000000043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45.1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45.1</v>
      </c>
    </row>
    <row r="34" spans="1:9" x14ac:dyDescent="0.25">
      <c r="A34" s="26" t="s">
        <v>49</v>
      </c>
      <c r="B34" s="8">
        <f>B16</f>
        <v>73210</v>
      </c>
      <c r="G34" s="27" t="s">
        <v>50</v>
      </c>
      <c r="H34" s="48">
        <v>0.05</v>
      </c>
      <c r="I34" s="49">
        <f>$B$23*H34</f>
        <v>45.1</v>
      </c>
    </row>
    <row r="35" spans="1:9" x14ac:dyDescent="0.25">
      <c r="A35" s="7" t="s">
        <v>51</v>
      </c>
      <c r="B35" s="17">
        <f>B34-B20</f>
        <v>2562.3500000000058</v>
      </c>
      <c r="G35" s="27" t="s">
        <v>52</v>
      </c>
      <c r="H35" s="48">
        <v>0.1</v>
      </c>
      <c r="I35" s="49">
        <f>$B$23*H35</f>
        <v>90.2</v>
      </c>
    </row>
    <row r="36" spans="1:9" ht="15.75" thickBot="1" x14ac:dyDescent="0.3">
      <c r="A36" s="7" t="s">
        <v>53</v>
      </c>
      <c r="B36" s="50">
        <f>B35/B17</f>
        <v>1.0000000000000022</v>
      </c>
      <c r="G36" s="36" t="s">
        <v>39</v>
      </c>
      <c r="H36" s="37"/>
      <c r="I36" s="51">
        <f>SUM(I32:I35)</f>
        <v>225.5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50.042085416666673</v>
      </c>
      <c r="D41" s="58"/>
      <c r="E41" s="61"/>
    </row>
    <row r="42" spans="1:9" x14ac:dyDescent="0.25">
      <c r="A42" s="7" t="s">
        <v>58</v>
      </c>
      <c r="B42" s="17">
        <f>B27-B41</f>
        <v>628.90791458333342</v>
      </c>
      <c r="D42" s="58"/>
      <c r="E42" s="61"/>
    </row>
    <row r="43" spans="1:9" x14ac:dyDescent="0.25">
      <c r="A43" s="7" t="s">
        <v>59</v>
      </c>
      <c r="B43" s="43">
        <f>B23-B42-I27-I36</f>
        <v>47.592085416666578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0.22288330048588165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585.67999999999995</v>
      </c>
    </row>
    <row r="47" spans="1:9" ht="15.75" thickBot="1" x14ac:dyDescent="0.3">
      <c r="A47" s="63" t="s">
        <v>251</v>
      </c>
      <c r="B47" s="65">
        <f>B16*0.02</f>
        <v>1464.2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699" priority="29" operator="equal">
      <formula>"NO"</formula>
    </cfRule>
    <cfRule type="cellIs" dxfId="698" priority="30" operator="equal">
      <formula>"YES"</formula>
    </cfRule>
  </conditionalFormatting>
  <conditionalFormatting sqref="E40">
    <cfRule type="cellIs" dxfId="697" priority="27" operator="equal">
      <formula>"YES"</formula>
    </cfRule>
    <cfRule type="cellIs" dxfId="696" priority="28" operator="equal">
      <formula>"NO"</formula>
    </cfRule>
  </conditionalFormatting>
  <conditionalFormatting sqref="B25">
    <cfRule type="cellIs" dxfId="695" priority="25" operator="equal">
      <formula>"NO"</formula>
    </cfRule>
    <cfRule type="cellIs" dxfId="694" priority="26" operator="equal">
      <formula>"YES"</formula>
    </cfRule>
  </conditionalFormatting>
  <conditionalFormatting sqref="B12">
    <cfRule type="containsText" dxfId="693" priority="11" operator="containsText" text="Low">
      <formula>NOT(ISERROR(SEARCH("Low",B12)))</formula>
    </cfRule>
    <cfRule type="containsText" dxfId="692" priority="12" operator="containsText" text="Medium">
      <formula>NOT(ISERROR(SEARCH("Medium",B12)))</formula>
    </cfRule>
    <cfRule type="containsText" dxfId="691" priority="13" operator="containsText" text="High">
      <formula>NOT(ISERROR(SEARCH("High",B12)))</formula>
    </cfRule>
  </conditionalFormatting>
  <conditionalFormatting sqref="B31">
    <cfRule type="cellIs" dxfId="690" priority="21" operator="between">
      <formula>10%</formula>
      <formula>11.9%</formula>
    </cfRule>
    <cfRule type="cellIs" dxfId="689" priority="23" operator="lessThan">
      <formula>0.1</formula>
    </cfRule>
    <cfRule type="cellIs" dxfId="688" priority="24" operator="greaterThanOrEqual">
      <formula>0.12</formula>
    </cfRule>
  </conditionalFormatting>
  <conditionalFormatting sqref="B44">
    <cfRule type="cellIs" dxfId="687" priority="19" operator="between">
      <formula>0.1</formula>
      <formula>0.1199</formula>
    </cfRule>
    <cfRule type="cellIs" dxfId="686" priority="20" operator="lessThan">
      <formula>0.1</formula>
    </cfRule>
    <cfRule type="cellIs" dxfId="685" priority="22" operator="greaterThanOrEqual">
      <formula>0.12</formula>
    </cfRule>
  </conditionalFormatting>
  <conditionalFormatting sqref="B10">
    <cfRule type="containsText" dxfId="684" priority="14" operator="containsText" text="Full">
      <formula>NOT(ISERROR(SEARCH("Full",B10)))</formula>
    </cfRule>
    <cfRule type="containsText" dxfId="683" priority="15" operator="containsText" text="Heavy">
      <formula>NOT(ISERROR(SEARCH("Heavy",B10)))</formula>
    </cfRule>
    <cfRule type="containsText" dxfId="682" priority="16" operator="containsText" text="Medium">
      <formula>NOT(ISERROR(SEARCH("Medium",B10)))</formula>
    </cfRule>
    <cfRule type="containsText" dxfId="681" priority="17" operator="containsText" text="Light">
      <formula>NOT(ISERROR(SEARCH("Light",B10)))</formula>
    </cfRule>
    <cfRule type="containsText" dxfId="680" priority="18" operator="containsText" text="None">
      <formula>NOT(ISERROR(SEARCH("None",B10)))</formula>
    </cfRule>
  </conditionalFormatting>
  <conditionalFormatting sqref="B30">
    <cfRule type="cellIs" dxfId="679" priority="31" operator="lessThan">
      <formula>$B$8*100</formula>
    </cfRule>
    <cfRule type="cellIs" dxfId="678" priority="32" operator="greaterThanOrEqual">
      <formula>$B$8*100</formula>
    </cfRule>
  </conditionalFormatting>
  <conditionalFormatting sqref="B43">
    <cfRule type="cellIs" dxfId="677" priority="33" operator="lessThan">
      <formula>$B$8*100</formula>
    </cfRule>
    <cfRule type="cellIs" dxfId="676" priority="34" operator="greaterThan">
      <formula>$B$8*100</formula>
    </cfRule>
    <cfRule type="cellIs" dxfId="675" priority="35" operator="greaterThan">
      <formula>$B$8*100</formula>
    </cfRule>
  </conditionalFormatting>
  <conditionalFormatting sqref="B40">
    <cfRule type="cellIs" dxfId="674" priority="9" operator="equal">
      <formula>"YES"</formula>
    </cfRule>
    <cfRule type="cellIs" dxfId="673" priority="10" operator="equal">
      <formula>"NO"</formula>
    </cfRule>
  </conditionalFormatting>
  <conditionalFormatting sqref="E25:E28">
    <cfRule type="cellIs" dxfId="672" priority="5" operator="equal">
      <formula>"NO"</formula>
    </cfRule>
    <cfRule type="cellIs" dxfId="671" priority="6" operator="equal">
      <formula>"YES"</formula>
    </cfRule>
  </conditionalFormatting>
  <conditionalFormatting sqref="E31">
    <cfRule type="cellIs" dxfId="670" priority="2" operator="between">
      <formula>10%</formula>
      <formula>12%</formula>
    </cfRule>
    <cfRule type="cellIs" dxfId="669" priority="3" operator="lessThan">
      <formula>0.1</formula>
    </cfRule>
    <cfRule type="cellIs" dxfId="668" priority="4" operator="greaterThan">
      <formula>0.12</formula>
    </cfRule>
  </conditionalFormatting>
  <conditionalFormatting sqref="E30">
    <cfRule type="cellIs" dxfId="667" priority="7" operator="lessThan">
      <formula>$B$8*100</formula>
    </cfRule>
    <cfRule type="cellIs" dxfId="666" priority="8" operator="greaterThan">
      <formula>$B$8*100</formula>
    </cfRule>
  </conditionalFormatting>
  <conditionalFormatting sqref="B46:B47">
    <cfRule type="cellIs" dxfId="665" priority="1" operator="greaterThan">
      <formula>0</formula>
    </cfRule>
  </conditionalFormatting>
  <hyperlinks>
    <hyperlink ref="A34" r:id="rId1" display="https://www.zillow.com/homes/recently_sold/" xr:uid="{450CC776-4B33-4F30-8D78-311431471DFC}"/>
    <hyperlink ref="A23" r:id="rId2" xr:uid="{6BD76E83-F2E3-4440-9301-228097BACB43}"/>
    <hyperlink ref="A27" r:id="rId3" display="www.mortgagecalculator.org" xr:uid="{8CDF7F60-3EB7-4FED-961B-F058BD3D32FC}"/>
    <hyperlink ref="A12" r:id="rId4" xr:uid="{D1E6A4A0-3661-4BE5-8A2A-FD724F17F726}"/>
  </hyperlinks>
  <pageMargins left="0.7" right="0.7" top="0.75" bottom="0.75" header="0.3" footer="0.3"/>
  <drawing r:id="rId5"/>
  <legacyDrawing r:id="rId6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FD939-93F8-4C44-95A2-64E7FA5C0931}">
  <sheetPr>
    <tabColor rgb="FFFF0000"/>
  </sheetPr>
  <dimension ref="A1:P47"/>
  <sheetViews>
    <sheetView topLeftCell="A9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113800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1312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319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102420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102420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5121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121</v>
      </c>
      <c r="D19" s="66"/>
      <c r="E19" s="67"/>
      <c r="P19" s="21"/>
    </row>
    <row r="20" spans="1:16" x14ac:dyDescent="0.25">
      <c r="A20" s="7" t="s">
        <v>23</v>
      </c>
      <c r="B20" s="17">
        <f>B16-B17</f>
        <v>97299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929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1024.2</v>
      </c>
      <c r="D24" s="7" t="s">
        <v>77</v>
      </c>
      <c r="E24" s="17">
        <f>B16*0.01</f>
        <v>1024.2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795.8</v>
      </c>
      <c r="D27" s="7" t="s">
        <v>38</v>
      </c>
      <c r="E27" s="35">
        <f>B27</f>
        <v>795.8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1028.05</v>
      </c>
      <c r="D28" s="7" t="s">
        <v>41</v>
      </c>
      <c r="E28" s="17">
        <f>E27+I27+I36</f>
        <v>1028.05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-99.049999999999955</v>
      </c>
      <c r="D30" s="7" t="s">
        <v>43</v>
      </c>
      <c r="E30" s="44">
        <f>E23-E27-I27-I36+I26+I35</f>
        <v>114.85000000000002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-9.8231404958677633</v>
      </c>
      <c r="D31" s="46" t="s">
        <v>44</v>
      </c>
      <c r="E31" s="47">
        <f>(E30*12)/B19</f>
        <v>11.390082644628102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46.45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46.45</v>
      </c>
    </row>
    <row r="34" spans="1:9" x14ac:dyDescent="0.25">
      <c r="A34" s="26" t="s">
        <v>49</v>
      </c>
      <c r="B34" s="8">
        <f>B16</f>
        <v>102420</v>
      </c>
      <c r="G34" s="27" t="s">
        <v>50</v>
      </c>
      <c r="H34" s="48">
        <v>0.05</v>
      </c>
      <c r="I34" s="49">
        <f>$B$23*H34</f>
        <v>46.45</v>
      </c>
    </row>
    <row r="35" spans="1:9" x14ac:dyDescent="0.25">
      <c r="A35" s="7" t="s">
        <v>51</v>
      </c>
      <c r="B35" s="17">
        <f>B34-B20</f>
        <v>5121</v>
      </c>
      <c r="G35" s="27" t="s">
        <v>52</v>
      </c>
      <c r="H35" s="48">
        <v>0.1</v>
      </c>
      <c r="I35" s="49">
        <f>$B$23*H35</f>
        <v>92.9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232.25000000000003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68.920124999999999</v>
      </c>
      <c r="D41" s="58"/>
      <c r="E41" s="61"/>
    </row>
    <row r="42" spans="1:9" x14ac:dyDescent="0.25">
      <c r="A42" s="7" t="s">
        <v>58</v>
      </c>
      <c r="B42" s="17">
        <f>B27-B41</f>
        <v>726.87987499999997</v>
      </c>
      <c r="D42" s="58"/>
      <c r="E42" s="61"/>
    </row>
    <row r="43" spans="1:9" x14ac:dyDescent="0.25">
      <c r="A43" s="7" t="s">
        <v>59</v>
      </c>
      <c r="B43" s="43">
        <f>B23-B42-I27-I36</f>
        <v>-30.129874999999998</v>
      </c>
      <c r="D43" s="58"/>
      <c r="E43" s="61"/>
    </row>
    <row r="44" spans="1:9" ht="15.75" thickBot="1" x14ac:dyDescent="0.3">
      <c r="A44" s="46" t="s">
        <v>44</v>
      </c>
      <c r="B44" s="47">
        <f>(B43*12)/B17</f>
        <v>-7.0603104862331567E-2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819.36</v>
      </c>
    </row>
    <row r="47" spans="1:9" ht="15.75" thickBot="1" x14ac:dyDescent="0.3">
      <c r="A47" s="63" t="s">
        <v>251</v>
      </c>
      <c r="B47" s="65">
        <f>B16*0.02</f>
        <v>2048.4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664" priority="29" operator="equal">
      <formula>"NO"</formula>
    </cfRule>
    <cfRule type="cellIs" dxfId="663" priority="30" operator="equal">
      <formula>"YES"</formula>
    </cfRule>
  </conditionalFormatting>
  <conditionalFormatting sqref="E40">
    <cfRule type="cellIs" dxfId="662" priority="27" operator="equal">
      <formula>"YES"</formula>
    </cfRule>
    <cfRule type="cellIs" dxfId="661" priority="28" operator="equal">
      <formula>"NO"</formula>
    </cfRule>
  </conditionalFormatting>
  <conditionalFormatting sqref="B25">
    <cfRule type="cellIs" dxfId="660" priority="25" operator="equal">
      <formula>"NO"</formula>
    </cfRule>
    <cfRule type="cellIs" dxfId="659" priority="26" operator="equal">
      <formula>"YES"</formula>
    </cfRule>
  </conditionalFormatting>
  <conditionalFormatting sqref="B12">
    <cfRule type="containsText" dxfId="658" priority="11" operator="containsText" text="Low">
      <formula>NOT(ISERROR(SEARCH("Low",B12)))</formula>
    </cfRule>
    <cfRule type="containsText" dxfId="657" priority="12" operator="containsText" text="Medium">
      <formula>NOT(ISERROR(SEARCH("Medium",B12)))</formula>
    </cfRule>
    <cfRule type="containsText" dxfId="656" priority="13" operator="containsText" text="High">
      <formula>NOT(ISERROR(SEARCH("High",B12)))</formula>
    </cfRule>
  </conditionalFormatting>
  <conditionalFormatting sqref="B31">
    <cfRule type="cellIs" dxfId="655" priority="21" operator="between">
      <formula>10%</formula>
      <formula>11.9%</formula>
    </cfRule>
    <cfRule type="cellIs" dxfId="654" priority="23" operator="lessThan">
      <formula>0.1</formula>
    </cfRule>
    <cfRule type="cellIs" dxfId="653" priority="24" operator="greaterThanOrEqual">
      <formula>0.12</formula>
    </cfRule>
  </conditionalFormatting>
  <conditionalFormatting sqref="B44">
    <cfRule type="cellIs" dxfId="652" priority="19" operator="between">
      <formula>0.1</formula>
      <formula>0.1199</formula>
    </cfRule>
    <cfRule type="cellIs" dxfId="651" priority="20" operator="lessThan">
      <formula>0.1</formula>
    </cfRule>
    <cfRule type="cellIs" dxfId="650" priority="22" operator="greaterThanOrEqual">
      <formula>0.12</formula>
    </cfRule>
  </conditionalFormatting>
  <conditionalFormatting sqref="B10">
    <cfRule type="containsText" dxfId="649" priority="14" operator="containsText" text="Full">
      <formula>NOT(ISERROR(SEARCH("Full",B10)))</formula>
    </cfRule>
    <cfRule type="containsText" dxfId="648" priority="15" operator="containsText" text="Heavy">
      <formula>NOT(ISERROR(SEARCH("Heavy",B10)))</formula>
    </cfRule>
    <cfRule type="containsText" dxfId="647" priority="16" operator="containsText" text="Medium">
      <formula>NOT(ISERROR(SEARCH("Medium",B10)))</formula>
    </cfRule>
    <cfRule type="containsText" dxfId="646" priority="17" operator="containsText" text="Light">
      <formula>NOT(ISERROR(SEARCH("Light",B10)))</formula>
    </cfRule>
    <cfRule type="containsText" dxfId="645" priority="18" operator="containsText" text="None">
      <formula>NOT(ISERROR(SEARCH("None",B10)))</formula>
    </cfRule>
  </conditionalFormatting>
  <conditionalFormatting sqref="B30">
    <cfRule type="cellIs" dxfId="644" priority="31" operator="lessThan">
      <formula>$B$8*100</formula>
    </cfRule>
    <cfRule type="cellIs" dxfId="643" priority="32" operator="greaterThanOrEqual">
      <formula>$B$8*100</formula>
    </cfRule>
  </conditionalFormatting>
  <conditionalFormatting sqref="B43">
    <cfRule type="cellIs" dxfId="642" priority="33" operator="lessThan">
      <formula>$B$8*100</formula>
    </cfRule>
    <cfRule type="cellIs" dxfId="641" priority="34" operator="greaterThan">
      <formula>$B$8*100</formula>
    </cfRule>
    <cfRule type="cellIs" dxfId="640" priority="35" operator="greaterThan">
      <formula>$B$8*100</formula>
    </cfRule>
  </conditionalFormatting>
  <conditionalFormatting sqref="B40">
    <cfRule type="cellIs" dxfId="639" priority="9" operator="equal">
      <formula>"YES"</formula>
    </cfRule>
    <cfRule type="cellIs" dxfId="638" priority="10" operator="equal">
      <formula>"NO"</formula>
    </cfRule>
  </conditionalFormatting>
  <conditionalFormatting sqref="E25:E28">
    <cfRule type="cellIs" dxfId="637" priority="5" operator="equal">
      <formula>"NO"</formula>
    </cfRule>
    <cfRule type="cellIs" dxfId="636" priority="6" operator="equal">
      <formula>"YES"</formula>
    </cfRule>
  </conditionalFormatting>
  <conditionalFormatting sqref="E31">
    <cfRule type="cellIs" dxfId="635" priority="2" operator="between">
      <formula>10%</formula>
      <formula>12%</formula>
    </cfRule>
    <cfRule type="cellIs" dxfId="634" priority="3" operator="lessThan">
      <formula>0.1</formula>
    </cfRule>
    <cfRule type="cellIs" dxfId="633" priority="4" operator="greaterThan">
      <formula>0.12</formula>
    </cfRule>
  </conditionalFormatting>
  <conditionalFormatting sqref="E30">
    <cfRule type="cellIs" dxfId="632" priority="7" operator="lessThan">
      <formula>$B$8*100</formula>
    </cfRule>
    <cfRule type="cellIs" dxfId="631" priority="8" operator="greaterThan">
      <formula>$B$8*100</formula>
    </cfRule>
  </conditionalFormatting>
  <conditionalFormatting sqref="B46:B47">
    <cfRule type="cellIs" dxfId="630" priority="1" operator="greaterThan">
      <formula>0</formula>
    </cfRule>
  </conditionalFormatting>
  <hyperlinks>
    <hyperlink ref="A34" r:id="rId1" display="https://www.zillow.com/homes/recently_sold/" xr:uid="{388C6894-F494-483C-80B9-9913E7693826}"/>
    <hyperlink ref="A23" r:id="rId2" xr:uid="{B31F1982-2EB0-4634-A602-902E93784F15}"/>
    <hyperlink ref="A27" r:id="rId3" display="www.mortgagecalculator.org" xr:uid="{6421F2F3-6E9E-47FE-815B-38A2F4DD6DD3}"/>
    <hyperlink ref="A12" r:id="rId4" xr:uid="{1FA034F0-3EA8-4E1E-9D1A-CC302E2B178D}"/>
  </hyperlinks>
  <pageMargins left="0.7" right="0.7" top="0.75" bottom="0.75" header="0.3" footer="0.3"/>
  <drawing r:id="rId5"/>
  <legacyDrawing r:id="rId6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83AE-3EBA-42E5-9206-61415FF09A5F}">
  <sheetPr>
    <tabColor rgb="FF92D050"/>
  </sheetPr>
  <dimension ref="A1:P47"/>
  <sheetViews>
    <sheetView topLeftCell="A19" workbookViewId="0">
      <selection activeCell="H33" sqref="H3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54900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49410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28500</v>
      </c>
      <c r="D15" s="2"/>
      <c r="E15" s="3"/>
    </row>
    <row r="16" spans="1:10" x14ac:dyDescent="0.25">
      <c r="A16" s="7" t="s">
        <v>20</v>
      </c>
      <c r="B16" s="17">
        <f>B15+B13</f>
        <v>77910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2726.8500000000004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75183.149999999994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939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779.1</v>
      </c>
      <c r="D24" s="7" t="s">
        <v>77</v>
      </c>
      <c r="E24" s="17">
        <f>B16*0.01</f>
        <v>779.1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657.53</v>
      </c>
      <c r="D27" s="7" t="s">
        <v>38</v>
      </c>
      <c r="E27" s="35">
        <f>B27</f>
        <v>657.53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892.28</v>
      </c>
      <c r="D28" s="7" t="s">
        <v>41</v>
      </c>
      <c r="E28" s="17">
        <f>E27+I27+I36</f>
        <v>892.28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46.720000000000027</v>
      </c>
      <c r="D30" s="7" t="s">
        <v>43</v>
      </c>
      <c r="E30" s="44">
        <f>E23-E27-I27-I36+I26+I35</f>
        <v>1.6200000000000045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46.95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46.95</v>
      </c>
    </row>
    <row r="34" spans="1:9" x14ac:dyDescent="0.25">
      <c r="A34" s="26" t="s">
        <v>49</v>
      </c>
      <c r="B34" s="8">
        <f>B16</f>
        <v>77910</v>
      </c>
      <c r="G34" s="27" t="s">
        <v>50</v>
      </c>
      <c r="H34" s="48">
        <v>0.05</v>
      </c>
      <c r="I34" s="49">
        <f>$B$23*H34</f>
        <v>46.95</v>
      </c>
    </row>
    <row r="35" spans="1:9" x14ac:dyDescent="0.25">
      <c r="A35" s="7" t="s">
        <v>51</v>
      </c>
      <c r="B35" s="17">
        <f>B34-B20</f>
        <v>2726.8500000000058</v>
      </c>
      <c r="G35" s="27" t="s">
        <v>52</v>
      </c>
      <c r="H35" s="48">
        <v>0.1</v>
      </c>
      <c r="I35" s="49">
        <f>$B$23*H35</f>
        <v>93.9</v>
      </c>
    </row>
    <row r="36" spans="1:9" ht="15.75" thickBot="1" x14ac:dyDescent="0.3">
      <c r="A36" s="7" t="s">
        <v>53</v>
      </c>
      <c r="B36" s="50">
        <f>B35/B17</f>
        <v>1.000000000000002</v>
      </c>
      <c r="G36" s="36" t="s">
        <v>39</v>
      </c>
      <c r="H36" s="37"/>
      <c r="I36" s="51">
        <f>SUM(I32:I35)</f>
        <v>234.75000000000003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53.254731249999999</v>
      </c>
      <c r="D41" s="58"/>
      <c r="E41" s="61"/>
    </row>
    <row r="42" spans="1:9" x14ac:dyDescent="0.25">
      <c r="A42" s="7" t="s">
        <v>58</v>
      </c>
      <c r="B42" s="17">
        <f>B27-B41</f>
        <v>604.27526875000001</v>
      </c>
      <c r="D42" s="58"/>
      <c r="E42" s="61"/>
    </row>
    <row r="43" spans="1:9" x14ac:dyDescent="0.25">
      <c r="A43" s="7" t="s">
        <v>59</v>
      </c>
      <c r="B43" s="43">
        <f>B23-B42-I27-I36</f>
        <v>99.974731249999962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0.43995701083667943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623.28</v>
      </c>
    </row>
    <row r="47" spans="1:9" ht="15.75" thickBot="1" x14ac:dyDescent="0.3">
      <c r="A47" s="63" t="s">
        <v>251</v>
      </c>
      <c r="B47" s="65">
        <f>B16*0.02</f>
        <v>1558.2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629" priority="29" operator="equal">
      <formula>"NO"</formula>
    </cfRule>
    <cfRule type="cellIs" dxfId="628" priority="30" operator="equal">
      <formula>"YES"</formula>
    </cfRule>
  </conditionalFormatting>
  <conditionalFormatting sqref="E40">
    <cfRule type="cellIs" dxfId="627" priority="27" operator="equal">
      <formula>"YES"</formula>
    </cfRule>
    <cfRule type="cellIs" dxfId="626" priority="28" operator="equal">
      <formula>"NO"</formula>
    </cfRule>
  </conditionalFormatting>
  <conditionalFormatting sqref="B25">
    <cfRule type="cellIs" dxfId="625" priority="25" operator="equal">
      <formula>"NO"</formula>
    </cfRule>
    <cfRule type="cellIs" dxfId="624" priority="26" operator="equal">
      <formula>"YES"</formula>
    </cfRule>
  </conditionalFormatting>
  <conditionalFormatting sqref="B12">
    <cfRule type="containsText" dxfId="623" priority="11" operator="containsText" text="Low">
      <formula>NOT(ISERROR(SEARCH("Low",B12)))</formula>
    </cfRule>
    <cfRule type="containsText" dxfId="622" priority="12" operator="containsText" text="Medium">
      <formula>NOT(ISERROR(SEARCH("Medium",B12)))</formula>
    </cfRule>
    <cfRule type="containsText" dxfId="621" priority="13" operator="containsText" text="High">
      <formula>NOT(ISERROR(SEARCH("High",B12)))</formula>
    </cfRule>
  </conditionalFormatting>
  <conditionalFormatting sqref="B31">
    <cfRule type="cellIs" dxfId="620" priority="21" operator="between">
      <formula>10%</formula>
      <formula>11.9%</formula>
    </cfRule>
    <cfRule type="cellIs" dxfId="619" priority="23" operator="lessThan">
      <formula>0.1</formula>
    </cfRule>
    <cfRule type="cellIs" dxfId="618" priority="24" operator="greaterThanOrEqual">
      <formula>0.12</formula>
    </cfRule>
  </conditionalFormatting>
  <conditionalFormatting sqref="B44">
    <cfRule type="cellIs" dxfId="617" priority="19" operator="between">
      <formula>0.1</formula>
      <formula>0.1199</formula>
    </cfRule>
    <cfRule type="cellIs" dxfId="616" priority="20" operator="lessThan">
      <formula>0.1</formula>
    </cfRule>
    <cfRule type="cellIs" dxfId="615" priority="22" operator="greaterThanOrEqual">
      <formula>0.12</formula>
    </cfRule>
  </conditionalFormatting>
  <conditionalFormatting sqref="B10">
    <cfRule type="containsText" dxfId="614" priority="14" operator="containsText" text="Full">
      <formula>NOT(ISERROR(SEARCH("Full",B10)))</formula>
    </cfRule>
    <cfRule type="containsText" dxfId="613" priority="15" operator="containsText" text="Heavy">
      <formula>NOT(ISERROR(SEARCH("Heavy",B10)))</formula>
    </cfRule>
    <cfRule type="containsText" dxfId="612" priority="16" operator="containsText" text="Medium">
      <formula>NOT(ISERROR(SEARCH("Medium",B10)))</formula>
    </cfRule>
    <cfRule type="containsText" dxfId="611" priority="17" operator="containsText" text="Light">
      <formula>NOT(ISERROR(SEARCH("Light",B10)))</formula>
    </cfRule>
    <cfRule type="containsText" dxfId="610" priority="18" operator="containsText" text="None">
      <formula>NOT(ISERROR(SEARCH("None",B10)))</formula>
    </cfRule>
  </conditionalFormatting>
  <conditionalFormatting sqref="B30">
    <cfRule type="cellIs" dxfId="609" priority="31" operator="lessThan">
      <formula>$B$8*100</formula>
    </cfRule>
    <cfRule type="cellIs" dxfId="608" priority="32" operator="greaterThanOrEqual">
      <formula>$B$8*100</formula>
    </cfRule>
  </conditionalFormatting>
  <conditionalFormatting sqref="B43">
    <cfRule type="cellIs" dxfId="607" priority="33" operator="lessThan">
      <formula>$B$8*100</formula>
    </cfRule>
    <cfRule type="cellIs" dxfId="606" priority="34" operator="greaterThan">
      <formula>$B$8*100</formula>
    </cfRule>
    <cfRule type="cellIs" dxfId="605" priority="35" operator="greaterThan">
      <formula>$B$8*100</formula>
    </cfRule>
  </conditionalFormatting>
  <conditionalFormatting sqref="B40">
    <cfRule type="cellIs" dxfId="604" priority="9" operator="equal">
      <formula>"YES"</formula>
    </cfRule>
    <cfRule type="cellIs" dxfId="603" priority="10" operator="equal">
      <formula>"NO"</formula>
    </cfRule>
  </conditionalFormatting>
  <conditionalFormatting sqref="E25:E28">
    <cfRule type="cellIs" dxfId="602" priority="5" operator="equal">
      <formula>"NO"</formula>
    </cfRule>
    <cfRule type="cellIs" dxfId="601" priority="6" operator="equal">
      <formula>"YES"</formula>
    </cfRule>
  </conditionalFormatting>
  <conditionalFormatting sqref="E31">
    <cfRule type="cellIs" dxfId="600" priority="2" operator="between">
      <formula>10%</formula>
      <formula>12%</formula>
    </cfRule>
    <cfRule type="cellIs" dxfId="599" priority="3" operator="lessThan">
      <formula>0.1</formula>
    </cfRule>
    <cfRule type="cellIs" dxfId="598" priority="4" operator="greaterThan">
      <formula>0.12</formula>
    </cfRule>
  </conditionalFormatting>
  <conditionalFormatting sqref="E30">
    <cfRule type="cellIs" dxfId="597" priority="7" operator="lessThan">
      <formula>$B$8*100</formula>
    </cfRule>
    <cfRule type="cellIs" dxfId="596" priority="8" operator="greaterThan">
      <formula>$B$8*100</formula>
    </cfRule>
  </conditionalFormatting>
  <conditionalFormatting sqref="B46:B47">
    <cfRule type="cellIs" dxfId="595" priority="1" operator="greaterThan">
      <formula>0</formula>
    </cfRule>
  </conditionalFormatting>
  <hyperlinks>
    <hyperlink ref="A34" r:id="rId1" display="https://www.zillow.com/homes/recently_sold/" xr:uid="{2BF3E0F1-1184-43F2-A172-DDBBCC043A6B}"/>
    <hyperlink ref="A23" r:id="rId2" xr:uid="{AEF484CC-82E1-4057-989D-9C01AF46AEC1}"/>
    <hyperlink ref="A27" r:id="rId3" display="www.mortgagecalculator.org" xr:uid="{7A0E9427-047A-4318-A8AA-8950A8EED7CE}"/>
    <hyperlink ref="A12" r:id="rId4" xr:uid="{1D86B3EE-61CF-46D5-A5C0-78EBAB12EB12}"/>
  </hyperlinks>
  <pageMargins left="0.7" right="0.7" top="0.75" bottom="0.75" header="0.3" footer="0.3"/>
  <drawing r:id="rId5"/>
  <legacyDrawing r:id="rId6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ED5F-E88F-4549-B948-8FB4CBA7785E}">
  <sheetPr>
    <tabColor rgb="FFFF0000"/>
  </sheetPr>
  <dimension ref="A1:P47"/>
  <sheetViews>
    <sheetView topLeftCell="A3" workbookViewId="0">
      <selection activeCell="A22" sqref="A22:B2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143200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2050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128880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30750</v>
      </c>
      <c r="D15" s="2"/>
      <c r="E15" s="3"/>
    </row>
    <row r="16" spans="1:10" x14ac:dyDescent="0.25">
      <c r="A16" s="7" t="s">
        <v>20</v>
      </c>
      <c r="B16" s="17">
        <f>B15+B13</f>
        <v>159630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5587.05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587.05000000000018</v>
      </c>
      <c r="D19" s="66"/>
      <c r="E19" s="67"/>
      <c r="P19" s="21"/>
    </row>
    <row r="20" spans="1:16" x14ac:dyDescent="0.25">
      <c r="A20" s="7" t="s">
        <v>23</v>
      </c>
      <c r="B20" s="17">
        <f>B16-B17</f>
        <v>154042.95000000001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1147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1596.3</v>
      </c>
      <c r="D24" s="7" t="s">
        <v>77</v>
      </c>
      <c r="E24" s="17">
        <f>B16*0.01</f>
        <v>1596.3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1184.17</v>
      </c>
      <c r="D27" s="7" t="s">
        <v>38</v>
      </c>
      <c r="E27" s="35">
        <f>B27</f>
        <v>1184.17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1470.92</v>
      </c>
      <c r="D28" s="7" t="s">
        <v>41</v>
      </c>
      <c r="E28" s="17">
        <f>E27+I27+I36</f>
        <v>1470.92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-323.92000000000007</v>
      </c>
      <c r="D30" s="7" t="s">
        <v>43</v>
      </c>
      <c r="E30" s="44">
        <f>E23-E27-I27-I36+I26+I35</f>
        <v>-306.22000000000008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-6.6213099395281487</v>
      </c>
      <c r="D31" s="46" t="s">
        <v>44</v>
      </c>
      <c r="E31" s="47">
        <f>(E30*12)/B19</f>
        <v>-6.2595008943020192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57.35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57.35</v>
      </c>
    </row>
    <row r="34" spans="1:9" x14ac:dyDescent="0.25">
      <c r="A34" s="26" t="s">
        <v>49</v>
      </c>
      <c r="B34" s="8">
        <f>B16</f>
        <v>159630</v>
      </c>
      <c r="G34" s="27" t="s">
        <v>50</v>
      </c>
      <c r="H34" s="48">
        <v>0.05</v>
      </c>
      <c r="I34" s="49">
        <f>$B$23*H34</f>
        <v>57.35</v>
      </c>
    </row>
    <row r="35" spans="1:9" x14ac:dyDescent="0.25">
      <c r="A35" s="7" t="s">
        <v>51</v>
      </c>
      <c r="B35" s="17">
        <f>B34-B20</f>
        <v>5587.0499999999884</v>
      </c>
      <c r="G35" s="27" t="s">
        <v>52</v>
      </c>
      <c r="H35" s="48">
        <v>0.1</v>
      </c>
      <c r="I35" s="49">
        <f>$B$23*H35</f>
        <v>114.7</v>
      </c>
    </row>
    <row r="36" spans="1:9" ht="15.75" thickBot="1" x14ac:dyDescent="0.3">
      <c r="A36" s="7" t="s">
        <v>53</v>
      </c>
      <c r="B36" s="50">
        <f>B35/B17</f>
        <v>0.99999999999999789</v>
      </c>
      <c r="G36" s="36" t="s">
        <v>39</v>
      </c>
      <c r="H36" s="37"/>
      <c r="I36" s="51">
        <f>SUM(I32:I35)</f>
        <v>286.75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109.11375625000001</v>
      </c>
      <c r="D41" s="58"/>
      <c r="E41" s="61"/>
    </row>
    <row r="42" spans="1:9" x14ac:dyDescent="0.25">
      <c r="A42" s="7" t="s">
        <v>58</v>
      </c>
      <c r="B42" s="17">
        <f>B27-B41</f>
        <v>1075.05624375</v>
      </c>
      <c r="D42" s="58"/>
      <c r="E42" s="61"/>
    </row>
    <row r="43" spans="1:9" x14ac:dyDescent="0.25">
      <c r="A43" s="7" t="s">
        <v>59</v>
      </c>
      <c r="B43" s="43">
        <f>B23-B42-I27-I36</f>
        <v>-214.80624375000002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-0.4613660026310844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1277.04</v>
      </c>
    </row>
    <row r="47" spans="1:9" ht="15.75" thickBot="1" x14ac:dyDescent="0.3">
      <c r="A47" s="63" t="s">
        <v>251</v>
      </c>
      <c r="B47" s="65">
        <f>B16*0.02</f>
        <v>3192.6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594" priority="29" operator="equal">
      <formula>"NO"</formula>
    </cfRule>
    <cfRule type="cellIs" dxfId="593" priority="30" operator="equal">
      <formula>"YES"</formula>
    </cfRule>
  </conditionalFormatting>
  <conditionalFormatting sqref="E40">
    <cfRule type="cellIs" dxfId="592" priority="27" operator="equal">
      <formula>"YES"</formula>
    </cfRule>
    <cfRule type="cellIs" dxfId="591" priority="28" operator="equal">
      <formula>"NO"</formula>
    </cfRule>
  </conditionalFormatting>
  <conditionalFormatting sqref="B25">
    <cfRule type="cellIs" dxfId="590" priority="25" operator="equal">
      <formula>"NO"</formula>
    </cfRule>
    <cfRule type="cellIs" dxfId="589" priority="26" operator="equal">
      <formula>"YES"</formula>
    </cfRule>
  </conditionalFormatting>
  <conditionalFormatting sqref="B12">
    <cfRule type="containsText" dxfId="588" priority="11" operator="containsText" text="Low">
      <formula>NOT(ISERROR(SEARCH("Low",B12)))</formula>
    </cfRule>
    <cfRule type="containsText" dxfId="587" priority="12" operator="containsText" text="Medium">
      <formula>NOT(ISERROR(SEARCH("Medium",B12)))</formula>
    </cfRule>
    <cfRule type="containsText" dxfId="586" priority="13" operator="containsText" text="High">
      <formula>NOT(ISERROR(SEARCH("High",B12)))</formula>
    </cfRule>
  </conditionalFormatting>
  <conditionalFormatting sqref="B31">
    <cfRule type="cellIs" dxfId="585" priority="21" operator="between">
      <formula>10%</formula>
      <formula>11.9%</formula>
    </cfRule>
    <cfRule type="cellIs" dxfId="584" priority="23" operator="lessThan">
      <formula>0.1</formula>
    </cfRule>
    <cfRule type="cellIs" dxfId="583" priority="24" operator="greaterThanOrEqual">
      <formula>0.12</formula>
    </cfRule>
  </conditionalFormatting>
  <conditionalFormatting sqref="B44">
    <cfRule type="cellIs" dxfId="582" priority="19" operator="between">
      <formula>0.1</formula>
      <formula>0.1199</formula>
    </cfRule>
    <cfRule type="cellIs" dxfId="581" priority="20" operator="lessThan">
      <formula>0.1</formula>
    </cfRule>
    <cfRule type="cellIs" dxfId="580" priority="22" operator="greaterThanOrEqual">
      <formula>0.12</formula>
    </cfRule>
  </conditionalFormatting>
  <conditionalFormatting sqref="B10">
    <cfRule type="containsText" dxfId="579" priority="14" operator="containsText" text="Full">
      <formula>NOT(ISERROR(SEARCH("Full",B10)))</formula>
    </cfRule>
    <cfRule type="containsText" dxfId="578" priority="15" operator="containsText" text="Heavy">
      <formula>NOT(ISERROR(SEARCH("Heavy",B10)))</formula>
    </cfRule>
    <cfRule type="containsText" dxfId="577" priority="16" operator="containsText" text="Medium">
      <formula>NOT(ISERROR(SEARCH("Medium",B10)))</formula>
    </cfRule>
    <cfRule type="containsText" dxfId="576" priority="17" operator="containsText" text="Light">
      <formula>NOT(ISERROR(SEARCH("Light",B10)))</formula>
    </cfRule>
    <cfRule type="containsText" dxfId="575" priority="18" operator="containsText" text="None">
      <formula>NOT(ISERROR(SEARCH("None",B10)))</formula>
    </cfRule>
  </conditionalFormatting>
  <conditionalFormatting sqref="B30">
    <cfRule type="cellIs" dxfId="574" priority="31" operator="lessThan">
      <formula>$B$8*100</formula>
    </cfRule>
    <cfRule type="cellIs" dxfId="573" priority="32" operator="greaterThanOrEqual">
      <formula>$B$8*100</formula>
    </cfRule>
  </conditionalFormatting>
  <conditionalFormatting sqref="B43">
    <cfRule type="cellIs" dxfId="572" priority="33" operator="lessThan">
      <formula>$B$8*100</formula>
    </cfRule>
    <cfRule type="cellIs" dxfId="571" priority="34" operator="greaterThan">
      <formula>$B$8*100</formula>
    </cfRule>
    <cfRule type="cellIs" dxfId="570" priority="35" operator="greaterThan">
      <formula>$B$8*100</formula>
    </cfRule>
  </conditionalFormatting>
  <conditionalFormatting sqref="B40">
    <cfRule type="cellIs" dxfId="569" priority="9" operator="equal">
      <formula>"YES"</formula>
    </cfRule>
    <cfRule type="cellIs" dxfId="568" priority="10" operator="equal">
      <formula>"NO"</formula>
    </cfRule>
  </conditionalFormatting>
  <conditionalFormatting sqref="E25:E28">
    <cfRule type="cellIs" dxfId="567" priority="5" operator="equal">
      <formula>"NO"</formula>
    </cfRule>
    <cfRule type="cellIs" dxfId="566" priority="6" operator="equal">
      <formula>"YES"</formula>
    </cfRule>
  </conditionalFormatting>
  <conditionalFormatting sqref="E31">
    <cfRule type="cellIs" dxfId="565" priority="2" operator="between">
      <formula>10%</formula>
      <formula>12%</formula>
    </cfRule>
    <cfRule type="cellIs" dxfId="564" priority="3" operator="lessThan">
      <formula>0.1</formula>
    </cfRule>
    <cfRule type="cellIs" dxfId="563" priority="4" operator="greaterThan">
      <formula>0.12</formula>
    </cfRule>
  </conditionalFormatting>
  <conditionalFormatting sqref="E30">
    <cfRule type="cellIs" dxfId="562" priority="7" operator="lessThan">
      <formula>$B$8*100</formula>
    </cfRule>
    <cfRule type="cellIs" dxfId="561" priority="8" operator="greaterThan">
      <formula>$B$8*100</formula>
    </cfRule>
  </conditionalFormatting>
  <conditionalFormatting sqref="B46:B47">
    <cfRule type="cellIs" dxfId="560" priority="1" operator="greaterThan">
      <formula>0</formula>
    </cfRule>
  </conditionalFormatting>
  <hyperlinks>
    <hyperlink ref="A34" r:id="rId1" display="https://www.zillow.com/homes/recently_sold/" xr:uid="{B1435D38-BD91-4751-848C-95B74365E71F}"/>
    <hyperlink ref="A23" r:id="rId2" xr:uid="{32752B40-9058-4B9E-855B-F8C7994E8C65}"/>
    <hyperlink ref="A27" r:id="rId3" display="www.mortgagecalculator.org" xr:uid="{8FA91138-ED7F-4F0A-9465-F14A95A408B6}"/>
    <hyperlink ref="A12" r:id="rId4" xr:uid="{47F69FF9-C165-4F24-9BF0-65F825732E4E}"/>
  </hyperlinks>
  <pageMargins left="0.7" right="0.7" top="0.75" bottom="0.75" header="0.3" footer="0.3"/>
  <drawing r:id="rId5"/>
  <legacyDrawing r:id="rId6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0819-B00B-4A90-AF45-E805F2130A77}">
  <sheetPr>
    <tabColor rgb="FF92D050"/>
  </sheetPr>
  <dimension ref="A1:P47"/>
  <sheetViews>
    <sheetView topLeftCell="A15" workbookViewId="0">
      <selection activeCell="H23" sqref="H2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69900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1193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311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62910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B14*B9*3/4</f>
        <v>13421.25</v>
      </c>
      <c r="D15" s="2"/>
      <c r="E15" s="3"/>
    </row>
    <row r="16" spans="1:10" x14ac:dyDescent="0.25">
      <c r="A16" s="7" t="s">
        <v>20</v>
      </c>
      <c r="B16" s="17">
        <f>B15+B13</f>
        <v>76331.25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2671.5937500000005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73659.65625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948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763.3125</v>
      </c>
      <c r="D24" s="7" t="s">
        <v>77</v>
      </c>
      <c r="E24" s="17">
        <f>B16*0.01</f>
        <v>763.3125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666.27</v>
      </c>
      <c r="D27" s="7" t="s">
        <v>38</v>
      </c>
      <c r="E27" s="35">
        <f>B27</f>
        <v>666.27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903.27</v>
      </c>
      <c r="D28" s="7" t="s">
        <v>41</v>
      </c>
      <c r="E28" s="17">
        <f>E27+I27+I36</f>
        <v>903.27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44.730000000000018</v>
      </c>
      <c r="D30" s="7" t="s">
        <v>43</v>
      </c>
      <c r="E30" s="44">
        <f>E23-E27-I27-I36+I26+I35</f>
        <v>-8.4699999999999989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47.400000000000006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47.400000000000006</v>
      </c>
    </row>
    <row r="34" spans="1:9" x14ac:dyDescent="0.25">
      <c r="A34" s="26" t="s">
        <v>49</v>
      </c>
      <c r="B34" s="8">
        <f>B16</f>
        <v>76331.25</v>
      </c>
      <c r="G34" s="27" t="s">
        <v>50</v>
      </c>
      <c r="H34" s="48">
        <v>0.05</v>
      </c>
      <c r="I34" s="49">
        <f>$B$23*H34</f>
        <v>47.400000000000006</v>
      </c>
    </row>
    <row r="35" spans="1:9" x14ac:dyDescent="0.25">
      <c r="A35" s="7" t="s">
        <v>51</v>
      </c>
      <c r="B35" s="17">
        <f>B34-B20</f>
        <v>2671.59375</v>
      </c>
      <c r="G35" s="27" t="s">
        <v>52</v>
      </c>
      <c r="H35" s="48">
        <v>0.1</v>
      </c>
      <c r="I35" s="49">
        <f>$B$23*H35</f>
        <v>94.800000000000011</v>
      </c>
    </row>
    <row r="36" spans="1:9" ht="15.75" thickBot="1" x14ac:dyDescent="0.3">
      <c r="A36" s="7" t="s">
        <v>53</v>
      </c>
      <c r="B36" s="50">
        <f>B35/B17</f>
        <v>0.99999999999999978</v>
      </c>
      <c r="G36" s="36" t="s">
        <v>39</v>
      </c>
      <c r="H36" s="37"/>
      <c r="I36" s="51">
        <f>SUM(I32:I35)</f>
        <v>237.00000000000003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52.175589843750004</v>
      </c>
      <c r="D41" s="58"/>
      <c r="E41" s="61"/>
    </row>
    <row r="42" spans="1:9" x14ac:dyDescent="0.25">
      <c r="A42" s="7" t="s">
        <v>58</v>
      </c>
      <c r="B42" s="17">
        <f>B27-B41</f>
        <v>614.09441015624998</v>
      </c>
      <c r="D42" s="58"/>
      <c r="E42" s="61"/>
    </row>
    <row r="43" spans="1:9" x14ac:dyDescent="0.25">
      <c r="A43" s="7" t="s">
        <v>59</v>
      </c>
      <c r="B43" s="43">
        <f>B23-B42-I27-I36</f>
        <v>96.905589843749993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0.43527092325507932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610.65</v>
      </c>
    </row>
    <row r="47" spans="1:9" ht="15.75" thickBot="1" x14ac:dyDescent="0.3">
      <c r="A47" s="63" t="s">
        <v>251</v>
      </c>
      <c r="B47" s="65">
        <f>B16*0.02</f>
        <v>1526.625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559" priority="29" operator="equal">
      <formula>"NO"</formula>
    </cfRule>
    <cfRule type="cellIs" dxfId="558" priority="30" operator="equal">
      <formula>"YES"</formula>
    </cfRule>
  </conditionalFormatting>
  <conditionalFormatting sqref="E40">
    <cfRule type="cellIs" dxfId="557" priority="27" operator="equal">
      <formula>"YES"</formula>
    </cfRule>
    <cfRule type="cellIs" dxfId="556" priority="28" operator="equal">
      <formula>"NO"</formula>
    </cfRule>
  </conditionalFormatting>
  <conditionalFormatting sqref="B25">
    <cfRule type="cellIs" dxfId="555" priority="25" operator="equal">
      <formula>"NO"</formula>
    </cfRule>
    <cfRule type="cellIs" dxfId="554" priority="26" operator="equal">
      <formula>"YES"</formula>
    </cfRule>
  </conditionalFormatting>
  <conditionalFormatting sqref="B12">
    <cfRule type="containsText" dxfId="553" priority="11" operator="containsText" text="Low">
      <formula>NOT(ISERROR(SEARCH("Low",B12)))</formula>
    </cfRule>
    <cfRule type="containsText" dxfId="552" priority="12" operator="containsText" text="Medium">
      <formula>NOT(ISERROR(SEARCH("Medium",B12)))</formula>
    </cfRule>
    <cfRule type="containsText" dxfId="551" priority="13" operator="containsText" text="High">
      <formula>NOT(ISERROR(SEARCH("High",B12)))</formula>
    </cfRule>
  </conditionalFormatting>
  <conditionalFormatting sqref="B31">
    <cfRule type="cellIs" dxfId="550" priority="21" operator="between">
      <formula>10%</formula>
      <formula>11.9%</formula>
    </cfRule>
    <cfRule type="cellIs" dxfId="549" priority="23" operator="lessThan">
      <formula>0.1</formula>
    </cfRule>
    <cfRule type="cellIs" dxfId="548" priority="24" operator="greaterThanOrEqual">
      <formula>0.12</formula>
    </cfRule>
  </conditionalFormatting>
  <conditionalFormatting sqref="B44">
    <cfRule type="cellIs" dxfId="547" priority="19" operator="between">
      <formula>0.1</formula>
      <formula>0.1199</formula>
    </cfRule>
    <cfRule type="cellIs" dxfId="546" priority="20" operator="lessThan">
      <formula>0.1</formula>
    </cfRule>
    <cfRule type="cellIs" dxfId="545" priority="22" operator="greaterThanOrEqual">
      <formula>0.12</formula>
    </cfRule>
  </conditionalFormatting>
  <conditionalFormatting sqref="B10">
    <cfRule type="containsText" dxfId="544" priority="14" operator="containsText" text="Full">
      <formula>NOT(ISERROR(SEARCH("Full",B10)))</formula>
    </cfRule>
    <cfRule type="containsText" dxfId="543" priority="15" operator="containsText" text="Heavy">
      <formula>NOT(ISERROR(SEARCH("Heavy",B10)))</formula>
    </cfRule>
    <cfRule type="containsText" dxfId="542" priority="16" operator="containsText" text="Medium">
      <formula>NOT(ISERROR(SEARCH("Medium",B10)))</formula>
    </cfRule>
    <cfRule type="containsText" dxfId="541" priority="17" operator="containsText" text="Light">
      <formula>NOT(ISERROR(SEARCH("Light",B10)))</formula>
    </cfRule>
    <cfRule type="containsText" dxfId="540" priority="18" operator="containsText" text="None">
      <formula>NOT(ISERROR(SEARCH("None",B10)))</formula>
    </cfRule>
  </conditionalFormatting>
  <conditionalFormatting sqref="B30">
    <cfRule type="cellIs" dxfId="539" priority="31" operator="lessThan">
      <formula>$B$8*100</formula>
    </cfRule>
    <cfRule type="cellIs" dxfId="538" priority="32" operator="greaterThanOrEqual">
      <formula>$B$8*100</formula>
    </cfRule>
  </conditionalFormatting>
  <conditionalFormatting sqref="B43">
    <cfRule type="cellIs" dxfId="537" priority="33" operator="lessThan">
      <formula>$B$8*100</formula>
    </cfRule>
    <cfRule type="cellIs" dxfId="536" priority="34" operator="greaterThan">
      <formula>$B$8*100</formula>
    </cfRule>
    <cfRule type="cellIs" dxfId="535" priority="35" operator="greaterThan">
      <formula>$B$8*100</formula>
    </cfRule>
  </conditionalFormatting>
  <conditionalFormatting sqref="B40">
    <cfRule type="cellIs" dxfId="534" priority="9" operator="equal">
      <formula>"YES"</formula>
    </cfRule>
    <cfRule type="cellIs" dxfId="533" priority="10" operator="equal">
      <formula>"NO"</formula>
    </cfRule>
  </conditionalFormatting>
  <conditionalFormatting sqref="E25:E28">
    <cfRule type="cellIs" dxfId="532" priority="5" operator="equal">
      <formula>"NO"</formula>
    </cfRule>
    <cfRule type="cellIs" dxfId="531" priority="6" operator="equal">
      <formula>"YES"</formula>
    </cfRule>
  </conditionalFormatting>
  <conditionalFormatting sqref="E31">
    <cfRule type="cellIs" dxfId="530" priority="2" operator="between">
      <formula>10%</formula>
      <formula>12%</formula>
    </cfRule>
    <cfRule type="cellIs" dxfId="529" priority="3" operator="lessThan">
      <formula>0.1</formula>
    </cfRule>
    <cfRule type="cellIs" dxfId="528" priority="4" operator="greaterThan">
      <formula>0.12</formula>
    </cfRule>
  </conditionalFormatting>
  <conditionalFormatting sqref="E30">
    <cfRule type="cellIs" dxfId="527" priority="7" operator="lessThan">
      <formula>$B$8*100</formula>
    </cfRule>
    <cfRule type="cellIs" dxfId="526" priority="8" operator="greaterThan">
      <formula>$B$8*100</formula>
    </cfRule>
  </conditionalFormatting>
  <conditionalFormatting sqref="B46:B47">
    <cfRule type="cellIs" dxfId="525" priority="1" operator="greaterThan">
      <formula>0</formula>
    </cfRule>
  </conditionalFormatting>
  <hyperlinks>
    <hyperlink ref="A34" r:id="rId1" display="https://www.zillow.com/homes/recently_sold/" xr:uid="{5A14519E-0875-4283-8D37-049229DE0DE2}"/>
    <hyperlink ref="A23" r:id="rId2" xr:uid="{39786168-24C2-4EBF-A1D4-527CD8BD6C09}"/>
    <hyperlink ref="A27" r:id="rId3" display="www.mortgagecalculator.org" xr:uid="{B58F3F94-5D33-414B-939E-D1A25E90B8AF}"/>
    <hyperlink ref="A12" r:id="rId4" xr:uid="{34B5A71C-7FC7-459B-9F1C-F36F1217D16C}"/>
  </hyperlinks>
  <pageMargins left="0.7" right="0.7" top="0.75" bottom="0.75" header="0.3" footer="0.3"/>
  <drawing r:id="rId5"/>
  <legacyDrawing r:id="rId6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0BB62-2B4A-445B-9D78-2240D77F1991}">
  <sheetPr>
    <tabColor rgb="FF92D050"/>
  </sheetPr>
  <dimension ref="A1:P47"/>
  <sheetViews>
    <sheetView topLeftCell="A5" workbookViewId="0">
      <selection activeCell="B5" sqref="B5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44900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1094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141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40410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27350</v>
      </c>
      <c r="D15" s="2"/>
      <c r="E15" s="3"/>
    </row>
    <row r="16" spans="1:10" x14ac:dyDescent="0.25">
      <c r="A16" s="7" t="s">
        <v>20</v>
      </c>
      <c r="B16" s="17">
        <f>B15+B13</f>
        <v>67760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2371.6000000000004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65388.4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1020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677.6</v>
      </c>
      <c r="D24" s="7" t="s">
        <v>77</v>
      </c>
      <c r="E24" s="17">
        <f>B16*0.01</f>
        <v>677.6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656.61</v>
      </c>
      <c r="D27" s="7" t="s">
        <v>38</v>
      </c>
      <c r="E27" s="35">
        <f>B27</f>
        <v>656.61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911.61</v>
      </c>
      <c r="D28" s="7" t="s">
        <v>41</v>
      </c>
      <c r="E28" s="17">
        <f>E27+I27+I36</f>
        <v>911.61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108.38999999999999</v>
      </c>
      <c r="D30" s="7" t="s">
        <v>43</v>
      </c>
      <c r="E30" s="44">
        <f>E23-E27-I27-I36+I26+I35</f>
        <v>-9.6100000000000136</v>
      </c>
      <c r="G30" s="28"/>
      <c r="H30" s="28"/>
      <c r="I30" s="28"/>
    </row>
    <row r="31" spans="1:16" ht="16.5" thickBot="1" x14ac:dyDescent="0.3">
      <c r="A31" s="7" t="s">
        <v>44</v>
      </c>
      <c r="B31" s="45" t="s">
        <v>303</v>
      </c>
      <c r="D31" s="46" t="s">
        <v>44</v>
      </c>
      <c r="E31" s="47" t="s">
        <v>303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51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51</v>
      </c>
    </row>
    <row r="34" spans="1:9" x14ac:dyDescent="0.25">
      <c r="A34" s="26" t="s">
        <v>49</v>
      </c>
      <c r="B34" s="8">
        <f>B16</f>
        <v>67760</v>
      </c>
      <c r="G34" s="27" t="s">
        <v>50</v>
      </c>
      <c r="H34" s="48">
        <v>0.05</v>
      </c>
      <c r="I34" s="49">
        <f>$B$23*H34</f>
        <v>51</v>
      </c>
    </row>
    <row r="35" spans="1:9" x14ac:dyDescent="0.25">
      <c r="A35" s="7" t="s">
        <v>51</v>
      </c>
      <c r="B35" s="17">
        <f>B34-B20</f>
        <v>2371.5999999999985</v>
      </c>
      <c r="G35" s="27" t="s">
        <v>52</v>
      </c>
      <c r="H35" s="48">
        <v>0.1</v>
      </c>
      <c r="I35" s="49">
        <f>$B$23*H35</f>
        <v>102</v>
      </c>
    </row>
    <row r="36" spans="1:9" ht="15.75" thickBot="1" x14ac:dyDescent="0.3">
      <c r="A36" s="7" t="s">
        <v>53</v>
      </c>
      <c r="B36" s="50">
        <f>B35/B17</f>
        <v>0.99999999999999922</v>
      </c>
      <c r="G36" s="36" t="s">
        <v>39</v>
      </c>
      <c r="H36" s="37"/>
      <c r="I36" s="51">
        <f>SUM(I32:I35)</f>
        <v>255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46.316783333333341</v>
      </c>
      <c r="D41" s="58"/>
      <c r="E41" s="61"/>
    </row>
    <row r="42" spans="1:9" x14ac:dyDescent="0.25">
      <c r="A42" s="7" t="s">
        <v>58</v>
      </c>
      <c r="B42" s="17">
        <f>B27-B41</f>
        <v>610.29321666666669</v>
      </c>
      <c r="D42" s="58"/>
      <c r="E42" s="61"/>
    </row>
    <row r="43" spans="1:9" x14ac:dyDescent="0.25">
      <c r="A43" s="7" t="s">
        <v>59</v>
      </c>
      <c r="B43" s="43">
        <f>B23-B42-I27-I36</f>
        <v>154.70678333333331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0.78279701467363783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542.08000000000004</v>
      </c>
    </row>
    <row r="47" spans="1:9" ht="15.75" thickBot="1" x14ac:dyDescent="0.3">
      <c r="A47" s="63" t="s">
        <v>251</v>
      </c>
      <c r="B47" s="65">
        <f>B16*0.02</f>
        <v>1355.2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524" priority="29" operator="equal">
      <formula>"NO"</formula>
    </cfRule>
    <cfRule type="cellIs" dxfId="523" priority="30" operator="equal">
      <formula>"YES"</formula>
    </cfRule>
  </conditionalFormatting>
  <conditionalFormatting sqref="E40">
    <cfRule type="cellIs" dxfId="522" priority="27" operator="equal">
      <formula>"YES"</formula>
    </cfRule>
    <cfRule type="cellIs" dxfId="521" priority="28" operator="equal">
      <formula>"NO"</formula>
    </cfRule>
  </conditionalFormatting>
  <conditionalFormatting sqref="B25">
    <cfRule type="cellIs" dxfId="520" priority="25" operator="equal">
      <formula>"NO"</formula>
    </cfRule>
    <cfRule type="cellIs" dxfId="519" priority="26" operator="equal">
      <formula>"YES"</formula>
    </cfRule>
  </conditionalFormatting>
  <conditionalFormatting sqref="B12">
    <cfRule type="containsText" dxfId="518" priority="11" operator="containsText" text="Low">
      <formula>NOT(ISERROR(SEARCH("Low",B12)))</formula>
    </cfRule>
    <cfRule type="containsText" dxfId="517" priority="12" operator="containsText" text="Medium">
      <formula>NOT(ISERROR(SEARCH("Medium",B12)))</formula>
    </cfRule>
    <cfRule type="containsText" dxfId="516" priority="13" operator="containsText" text="High">
      <formula>NOT(ISERROR(SEARCH("High",B12)))</formula>
    </cfRule>
  </conditionalFormatting>
  <conditionalFormatting sqref="B31">
    <cfRule type="cellIs" dxfId="515" priority="21" operator="between">
      <formula>10%</formula>
      <formula>11.9%</formula>
    </cfRule>
    <cfRule type="cellIs" dxfId="514" priority="23" operator="lessThan">
      <formula>0.1</formula>
    </cfRule>
    <cfRule type="cellIs" dxfId="513" priority="24" operator="greaterThanOrEqual">
      <formula>0.12</formula>
    </cfRule>
  </conditionalFormatting>
  <conditionalFormatting sqref="B44">
    <cfRule type="cellIs" dxfId="512" priority="19" operator="between">
      <formula>0.1</formula>
      <formula>0.1199</formula>
    </cfRule>
    <cfRule type="cellIs" dxfId="511" priority="20" operator="lessThan">
      <formula>0.1</formula>
    </cfRule>
    <cfRule type="cellIs" dxfId="510" priority="22" operator="greaterThanOrEqual">
      <formula>0.12</formula>
    </cfRule>
  </conditionalFormatting>
  <conditionalFormatting sqref="B10">
    <cfRule type="containsText" dxfId="509" priority="14" operator="containsText" text="Full">
      <formula>NOT(ISERROR(SEARCH("Full",B10)))</formula>
    </cfRule>
    <cfRule type="containsText" dxfId="508" priority="15" operator="containsText" text="Heavy">
      <formula>NOT(ISERROR(SEARCH("Heavy",B10)))</formula>
    </cfRule>
    <cfRule type="containsText" dxfId="507" priority="16" operator="containsText" text="Medium">
      <formula>NOT(ISERROR(SEARCH("Medium",B10)))</formula>
    </cfRule>
    <cfRule type="containsText" dxfId="506" priority="17" operator="containsText" text="Light">
      <formula>NOT(ISERROR(SEARCH("Light",B10)))</formula>
    </cfRule>
    <cfRule type="containsText" dxfId="505" priority="18" operator="containsText" text="None">
      <formula>NOT(ISERROR(SEARCH("None",B10)))</formula>
    </cfRule>
  </conditionalFormatting>
  <conditionalFormatting sqref="B30">
    <cfRule type="cellIs" dxfId="504" priority="31" operator="lessThan">
      <formula>$B$8*100</formula>
    </cfRule>
    <cfRule type="cellIs" dxfId="503" priority="32" operator="greaterThanOrEqual">
      <formula>$B$8*100</formula>
    </cfRule>
  </conditionalFormatting>
  <conditionalFormatting sqref="B43">
    <cfRule type="cellIs" dxfId="502" priority="33" operator="lessThan">
      <formula>$B$8*100</formula>
    </cfRule>
    <cfRule type="cellIs" dxfId="501" priority="34" operator="greaterThan">
      <formula>$B$8*100</formula>
    </cfRule>
    <cfRule type="cellIs" dxfId="500" priority="35" operator="greaterThan">
      <formula>$B$8*100</formula>
    </cfRule>
  </conditionalFormatting>
  <conditionalFormatting sqref="B40">
    <cfRule type="cellIs" dxfId="499" priority="9" operator="equal">
      <formula>"YES"</formula>
    </cfRule>
    <cfRule type="cellIs" dxfId="498" priority="10" operator="equal">
      <formula>"NO"</formula>
    </cfRule>
  </conditionalFormatting>
  <conditionalFormatting sqref="E25:E28">
    <cfRule type="cellIs" dxfId="497" priority="5" operator="equal">
      <formula>"NO"</formula>
    </cfRule>
    <cfRule type="cellIs" dxfId="496" priority="6" operator="equal">
      <formula>"YES"</formula>
    </cfRule>
  </conditionalFormatting>
  <conditionalFormatting sqref="E31">
    <cfRule type="cellIs" dxfId="495" priority="2" operator="between">
      <formula>10%</formula>
      <formula>12%</formula>
    </cfRule>
    <cfRule type="cellIs" dxfId="494" priority="3" operator="lessThan">
      <formula>0.1</formula>
    </cfRule>
    <cfRule type="cellIs" dxfId="493" priority="4" operator="greaterThan">
      <formula>0.12</formula>
    </cfRule>
  </conditionalFormatting>
  <conditionalFormatting sqref="E30">
    <cfRule type="cellIs" dxfId="492" priority="7" operator="lessThan">
      <formula>$B$8*100</formula>
    </cfRule>
    <cfRule type="cellIs" dxfId="491" priority="8" operator="greaterThan">
      <formula>$B$8*100</formula>
    </cfRule>
  </conditionalFormatting>
  <conditionalFormatting sqref="B46:B47">
    <cfRule type="cellIs" dxfId="490" priority="1" operator="greaterThan">
      <formula>0</formula>
    </cfRule>
  </conditionalFormatting>
  <hyperlinks>
    <hyperlink ref="A34" r:id="rId1" display="https://www.zillow.com/homes/recently_sold/" xr:uid="{D6EAD911-E942-4580-B6C8-418B4FA09039}"/>
    <hyperlink ref="A23" r:id="rId2" xr:uid="{8339079F-EF8D-4380-8A5C-8A45CEFAC32E}"/>
    <hyperlink ref="A27" r:id="rId3" display="www.mortgagecalculator.org" xr:uid="{D51D38DD-F8E8-455B-A50E-41A30F1259D3}"/>
    <hyperlink ref="A12" r:id="rId4" xr:uid="{1AB1E146-92E8-45AE-AE1D-81480B1A260C}"/>
  </hyperlinks>
  <pageMargins left="0.7" right="0.7" top="0.75" bottom="0.75" header="0.3" footer="0.3"/>
  <drawing r:id="rId5"/>
  <legacyDrawing r:id="rId6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E1F8-ACFF-41F3-B614-E7BBA13251EE}">
  <sheetPr>
    <tabColor rgb="FFFF0000"/>
  </sheetPr>
  <dimension ref="A1:P47"/>
  <sheetViews>
    <sheetView topLeftCell="A4" workbookViewId="0">
      <selection activeCell="H32" sqref="H32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325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129000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1949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115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116100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29235</v>
      </c>
      <c r="D15" s="2"/>
      <c r="E15" s="3"/>
    </row>
    <row r="16" spans="1:10" x14ac:dyDescent="0.25">
      <c r="A16" s="7" t="s">
        <v>20</v>
      </c>
      <c r="B16" s="17">
        <f>B15+B13</f>
        <v>145335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5086.7250000000004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86.725000000000364</v>
      </c>
      <c r="D19" s="66"/>
      <c r="E19" s="67"/>
      <c r="P19" s="21"/>
    </row>
    <row r="20" spans="1:16" x14ac:dyDescent="0.25">
      <c r="A20" s="7" t="s">
        <v>23</v>
      </c>
      <c r="B20" s="17">
        <f>B16-B17</f>
        <v>140248.27499999999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1079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1453.3500000000001</v>
      </c>
      <c r="D24" s="7" t="s">
        <v>77</v>
      </c>
      <c r="E24" s="17">
        <f>B16*0.01</f>
        <v>1453.3500000000001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1045.79</v>
      </c>
      <c r="D27" s="7" t="s">
        <v>38</v>
      </c>
      <c r="E27" s="35">
        <f>B27</f>
        <v>1045.79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1315.54</v>
      </c>
      <c r="D28" s="7" t="s">
        <v>41</v>
      </c>
      <c r="E28" s="17">
        <f>E27+I27+I36</f>
        <v>1315.54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-236.53999999999996</v>
      </c>
      <c r="D30" s="7" t="s">
        <v>43</v>
      </c>
      <c r="E30" s="44">
        <f>E23-E27-I27-I36+I26+I35</f>
        <v>-157.63999999999996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-32.72966272701052</v>
      </c>
      <c r="D31" s="46" t="s">
        <v>44</v>
      </c>
      <c r="E31" s="47">
        <f>(E30*12)/B19</f>
        <v>-21.81239550302671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53.95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53.95</v>
      </c>
    </row>
    <row r="34" spans="1:9" x14ac:dyDescent="0.25">
      <c r="A34" s="26" t="s">
        <v>49</v>
      </c>
      <c r="B34" s="8">
        <f>B16</f>
        <v>145335</v>
      </c>
      <c r="G34" s="27" t="s">
        <v>50</v>
      </c>
      <c r="H34" s="48">
        <v>0.05</v>
      </c>
      <c r="I34" s="49">
        <f>$B$23*H34</f>
        <v>53.95</v>
      </c>
    </row>
    <row r="35" spans="1:9" x14ac:dyDescent="0.25">
      <c r="A35" s="7" t="s">
        <v>51</v>
      </c>
      <c r="B35" s="17">
        <f>B34-B20</f>
        <v>5086.7250000000058</v>
      </c>
      <c r="G35" s="27" t="s">
        <v>52</v>
      </c>
      <c r="H35" s="48">
        <v>0.1</v>
      </c>
      <c r="I35" s="49">
        <f>$B$23*H35</f>
        <v>107.9</v>
      </c>
    </row>
    <row r="36" spans="1:9" ht="15.75" thickBot="1" x14ac:dyDescent="0.3">
      <c r="A36" s="7" t="s">
        <v>53</v>
      </c>
      <c r="B36" s="50">
        <f>B35/B17</f>
        <v>1.0000000000000011</v>
      </c>
      <c r="G36" s="36" t="s">
        <v>39</v>
      </c>
      <c r="H36" s="37"/>
      <c r="I36" s="51">
        <f>SUM(I32:I35)</f>
        <v>269.75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99.342528125000001</v>
      </c>
      <c r="D41" s="58"/>
      <c r="E41" s="61"/>
    </row>
    <row r="42" spans="1:9" x14ac:dyDescent="0.25">
      <c r="A42" s="7" t="s">
        <v>58</v>
      </c>
      <c r="B42" s="17">
        <f>B27-B41</f>
        <v>946.44747187500002</v>
      </c>
      <c r="D42" s="58"/>
      <c r="E42" s="61"/>
    </row>
    <row r="43" spans="1:9" x14ac:dyDescent="0.25">
      <c r="A43" s="7" t="s">
        <v>59</v>
      </c>
      <c r="B43" s="43">
        <f>B23-B42-I27-I36</f>
        <v>-137.19747187500002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-0.32366004895094586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1162.68</v>
      </c>
    </row>
    <row r="47" spans="1:9" ht="15.75" thickBot="1" x14ac:dyDescent="0.3">
      <c r="A47" s="63" t="s">
        <v>251</v>
      </c>
      <c r="B47" s="65">
        <f>B16*0.02</f>
        <v>2906.7000000000003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489" priority="29" operator="equal">
      <formula>"NO"</formula>
    </cfRule>
    <cfRule type="cellIs" dxfId="488" priority="30" operator="equal">
      <formula>"YES"</formula>
    </cfRule>
  </conditionalFormatting>
  <conditionalFormatting sqref="E40">
    <cfRule type="cellIs" dxfId="487" priority="27" operator="equal">
      <formula>"YES"</formula>
    </cfRule>
    <cfRule type="cellIs" dxfId="486" priority="28" operator="equal">
      <formula>"NO"</formula>
    </cfRule>
  </conditionalFormatting>
  <conditionalFormatting sqref="B25">
    <cfRule type="cellIs" dxfId="485" priority="25" operator="equal">
      <formula>"NO"</formula>
    </cfRule>
    <cfRule type="cellIs" dxfId="484" priority="26" operator="equal">
      <formula>"YES"</formula>
    </cfRule>
  </conditionalFormatting>
  <conditionalFormatting sqref="B12">
    <cfRule type="containsText" dxfId="483" priority="11" operator="containsText" text="Low">
      <formula>NOT(ISERROR(SEARCH("Low",B12)))</formula>
    </cfRule>
    <cfRule type="containsText" dxfId="482" priority="12" operator="containsText" text="Medium">
      <formula>NOT(ISERROR(SEARCH("Medium",B12)))</formula>
    </cfRule>
    <cfRule type="containsText" dxfId="481" priority="13" operator="containsText" text="High">
      <formula>NOT(ISERROR(SEARCH("High",B12)))</formula>
    </cfRule>
  </conditionalFormatting>
  <conditionalFormatting sqref="B31">
    <cfRule type="cellIs" dxfId="480" priority="21" operator="between">
      <formula>10%</formula>
      <formula>11.9%</formula>
    </cfRule>
    <cfRule type="cellIs" dxfId="479" priority="23" operator="lessThan">
      <formula>0.1</formula>
    </cfRule>
    <cfRule type="cellIs" dxfId="478" priority="24" operator="greaterThanOrEqual">
      <formula>0.12</formula>
    </cfRule>
  </conditionalFormatting>
  <conditionalFormatting sqref="B44">
    <cfRule type="cellIs" dxfId="477" priority="19" operator="between">
      <formula>0.1</formula>
      <formula>0.1199</formula>
    </cfRule>
    <cfRule type="cellIs" dxfId="476" priority="20" operator="lessThan">
      <formula>0.1</formula>
    </cfRule>
    <cfRule type="cellIs" dxfId="475" priority="22" operator="greaterThanOrEqual">
      <formula>0.12</formula>
    </cfRule>
  </conditionalFormatting>
  <conditionalFormatting sqref="B10">
    <cfRule type="containsText" dxfId="474" priority="14" operator="containsText" text="Full">
      <formula>NOT(ISERROR(SEARCH("Full",B10)))</formula>
    </cfRule>
    <cfRule type="containsText" dxfId="473" priority="15" operator="containsText" text="Heavy">
      <formula>NOT(ISERROR(SEARCH("Heavy",B10)))</formula>
    </cfRule>
    <cfRule type="containsText" dxfId="472" priority="16" operator="containsText" text="Medium">
      <formula>NOT(ISERROR(SEARCH("Medium",B10)))</formula>
    </cfRule>
    <cfRule type="containsText" dxfId="471" priority="17" operator="containsText" text="Light">
      <formula>NOT(ISERROR(SEARCH("Light",B10)))</formula>
    </cfRule>
    <cfRule type="containsText" dxfId="470" priority="18" operator="containsText" text="None">
      <formula>NOT(ISERROR(SEARCH("None",B10)))</formula>
    </cfRule>
  </conditionalFormatting>
  <conditionalFormatting sqref="B30">
    <cfRule type="cellIs" dxfId="469" priority="31" operator="lessThan">
      <formula>$B$8*100</formula>
    </cfRule>
    <cfRule type="cellIs" dxfId="468" priority="32" operator="greaterThanOrEqual">
      <formula>$B$8*100</formula>
    </cfRule>
  </conditionalFormatting>
  <conditionalFormatting sqref="B43">
    <cfRule type="cellIs" dxfId="467" priority="33" operator="lessThan">
      <formula>$B$8*100</formula>
    </cfRule>
    <cfRule type="cellIs" dxfId="466" priority="34" operator="greaterThan">
      <formula>$B$8*100</formula>
    </cfRule>
    <cfRule type="cellIs" dxfId="465" priority="35" operator="greaterThan">
      <formula>$B$8*100</formula>
    </cfRule>
  </conditionalFormatting>
  <conditionalFormatting sqref="B40">
    <cfRule type="cellIs" dxfId="464" priority="9" operator="equal">
      <formula>"YES"</formula>
    </cfRule>
    <cfRule type="cellIs" dxfId="463" priority="10" operator="equal">
      <formula>"NO"</formula>
    </cfRule>
  </conditionalFormatting>
  <conditionalFormatting sqref="E25:E28">
    <cfRule type="cellIs" dxfId="462" priority="5" operator="equal">
      <formula>"NO"</formula>
    </cfRule>
    <cfRule type="cellIs" dxfId="461" priority="6" operator="equal">
      <formula>"YES"</formula>
    </cfRule>
  </conditionalFormatting>
  <conditionalFormatting sqref="E31">
    <cfRule type="cellIs" dxfId="460" priority="2" operator="between">
      <formula>10%</formula>
      <formula>12%</formula>
    </cfRule>
    <cfRule type="cellIs" dxfId="459" priority="3" operator="lessThan">
      <formula>0.1</formula>
    </cfRule>
    <cfRule type="cellIs" dxfId="458" priority="4" operator="greaterThan">
      <formula>0.12</formula>
    </cfRule>
  </conditionalFormatting>
  <conditionalFormatting sqref="E30">
    <cfRule type="cellIs" dxfId="457" priority="7" operator="lessThan">
      <formula>$B$8*100</formula>
    </cfRule>
    <cfRule type="cellIs" dxfId="456" priority="8" operator="greaterThan">
      <formula>$B$8*100</formula>
    </cfRule>
  </conditionalFormatting>
  <conditionalFormatting sqref="B46:B47">
    <cfRule type="cellIs" dxfId="455" priority="1" operator="greaterThan">
      <formula>0</formula>
    </cfRule>
  </conditionalFormatting>
  <hyperlinks>
    <hyperlink ref="A34" r:id="rId1" display="https://www.zillow.com/homes/recently_sold/" xr:uid="{D05DA3F5-8917-4078-8675-5AB24D3490DD}"/>
    <hyperlink ref="A23" r:id="rId2" xr:uid="{1A863D70-1AC3-41B3-9FCA-11A3FEB6BDC7}"/>
    <hyperlink ref="A27" r:id="rId3" display="www.mortgagecalculator.org" xr:uid="{1384975A-0C07-4D43-AB10-4FCBCA4F1A17}"/>
    <hyperlink ref="A12" r:id="rId4" xr:uid="{969A685A-0130-4E1A-AE96-F13CCF1F20D7}"/>
  </hyperlinks>
  <pageMargins left="0.7" right="0.7" top="0.75" bottom="0.75" header="0.3" footer="0.3"/>
  <drawing r:id="rId5"/>
  <legacyDrawing r:id="rId6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E4E9-3207-434E-91FA-FB80C47A8A66}">
  <sheetPr>
    <tabColor rgb="FF92D050"/>
  </sheetPr>
  <dimension ref="A1:P47"/>
  <sheetViews>
    <sheetView topLeftCell="A21" workbookViewId="0">
      <selection activeCell="B36" sqref="B3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1128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115000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115000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5750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750</v>
      </c>
      <c r="D19" s="66"/>
      <c r="E19" s="67"/>
      <c r="P19" s="21"/>
    </row>
    <row r="20" spans="1:16" x14ac:dyDescent="0.25">
      <c r="A20" s="7" t="s">
        <v>23</v>
      </c>
      <c r="B20" s="17">
        <f>B16-B17</f>
        <v>109250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1070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1150</v>
      </c>
      <c r="D24" s="7" t="s">
        <v>77</v>
      </c>
      <c r="E24" s="17">
        <f>B16*0.01</f>
        <v>1150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820.55</v>
      </c>
      <c r="D27" s="7" t="s">
        <v>38</v>
      </c>
      <c r="E27" s="35">
        <f>B27</f>
        <v>820.55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1023.8499999999999</v>
      </c>
      <c r="D28" s="7" t="s">
        <v>41</v>
      </c>
      <c r="E28" s="17">
        <f>E27+I27+I36</f>
        <v>1023.8499999999999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46.150000000000091</v>
      </c>
      <c r="D30" s="7" t="s">
        <v>43</v>
      </c>
      <c r="E30" s="44">
        <f>E23-E27-I27-I36+I26+I35</f>
        <v>-116.84999999999997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0.7384000000000015</v>
      </c>
      <c r="D31" s="46" t="s">
        <v>44</v>
      </c>
      <c r="E31" s="47">
        <f>(E30*12)/B19</f>
        <v>-1.8695999999999995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32.1</v>
      </c>
    </row>
    <row r="33" spans="1:9" ht="15.75" x14ac:dyDescent="0.25">
      <c r="A33" s="75" t="s">
        <v>47</v>
      </c>
      <c r="B33" s="76"/>
      <c r="G33" s="27" t="s">
        <v>48</v>
      </c>
      <c r="H33" s="48">
        <v>0.03</v>
      </c>
      <c r="I33" s="49">
        <f>$B$23*H33</f>
        <v>32.1</v>
      </c>
    </row>
    <row r="34" spans="1:9" x14ac:dyDescent="0.25">
      <c r="A34" s="26" t="s">
        <v>49</v>
      </c>
      <c r="B34" s="8">
        <f>B16</f>
        <v>115000</v>
      </c>
      <c r="G34" s="27" t="s">
        <v>50</v>
      </c>
      <c r="H34" s="48">
        <v>0.03</v>
      </c>
      <c r="I34" s="49">
        <f>$B$23*H34</f>
        <v>32.1</v>
      </c>
    </row>
    <row r="35" spans="1:9" x14ac:dyDescent="0.25">
      <c r="A35" s="7" t="s">
        <v>51</v>
      </c>
      <c r="B35" s="17">
        <f>B34-B20</f>
        <v>5750</v>
      </c>
      <c r="G35" s="27" t="s">
        <v>52</v>
      </c>
      <c r="H35" s="48">
        <v>0.1</v>
      </c>
      <c r="I35" s="49">
        <f>$B$23*H35</f>
        <v>107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203.3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77.385416666666671</v>
      </c>
      <c r="D41" s="58"/>
      <c r="E41" s="61"/>
    </row>
    <row r="42" spans="1:9" x14ac:dyDescent="0.25">
      <c r="A42" s="7" t="s">
        <v>58</v>
      </c>
      <c r="B42" s="17">
        <f>B27-B41</f>
        <v>743.16458333333333</v>
      </c>
      <c r="D42" s="58"/>
      <c r="E42" s="61"/>
    </row>
    <row r="43" spans="1:9" x14ac:dyDescent="0.25">
      <c r="A43" s="7" t="s">
        <v>59</v>
      </c>
      <c r="B43" s="43">
        <f>B23-B42-I27-I36</f>
        <v>123.53541666666666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0.25781304347826084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920</v>
      </c>
    </row>
    <row r="47" spans="1:9" ht="15.75" thickBot="1" x14ac:dyDescent="0.3">
      <c r="A47" s="63" t="s">
        <v>251</v>
      </c>
      <c r="B47" s="65">
        <f>B16*0.02</f>
        <v>2300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454" priority="29" operator="equal">
      <formula>"NO"</formula>
    </cfRule>
    <cfRule type="cellIs" dxfId="453" priority="30" operator="equal">
      <formula>"YES"</formula>
    </cfRule>
  </conditionalFormatting>
  <conditionalFormatting sqref="E40">
    <cfRule type="cellIs" dxfId="452" priority="27" operator="equal">
      <formula>"YES"</formula>
    </cfRule>
    <cfRule type="cellIs" dxfId="451" priority="28" operator="equal">
      <formula>"NO"</formula>
    </cfRule>
  </conditionalFormatting>
  <conditionalFormatting sqref="B25">
    <cfRule type="cellIs" dxfId="450" priority="25" operator="equal">
      <formula>"NO"</formula>
    </cfRule>
    <cfRule type="cellIs" dxfId="449" priority="26" operator="equal">
      <formula>"YES"</formula>
    </cfRule>
  </conditionalFormatting>
  <conditionalFormatting sqref="B12">
    <cfRule type="containsText" dxfId="448" priority="11" operator="containsText" text="Low">
      <formula>NOT(ISERROR(SEARCH("Low",B12)))</formula>
    </cfRule>
    <cfRule type="containsText" dxfId="447" priority="12" operator="containsText" text="Medium">
      <formula>NOT(ISERROR(SEARCH("Medium",B12)))</formula>
    </cfRule>
    <cfRule type="containsText" dxfId="446" priority="13" operator="containsText" text="High">
      <formula>NOT(ISERROR(SEARCH("High",B12)))</formula>
    </cfRule>
  </conditionalFormatting>
  <conditionalFormatting sqref="B31">
    <cfRule type="cellIs" dxfId="445" priority="21" operator="between">
      <formula>10%</formula>
      <formula>11.9%</formula>
    </cfRule>
    <cfRule type="cellIs" dxfId="444" priority="23" operator="lessThan">
      <formula>0.1</formula>
    </cfRule>
    <cfRule type="cellIs" dxfId="443" priority="24" operator="greaterThanOrEqual">
      <formula>0.12</formula>
    </cfRule>
  </conditionalFormatting>
  <conditionalFormatting sqref="B44">
    <cfRule type="cellIs" dxfId="442" priority="19" operator="between">
      <formula>0.1</formula>
      <formula>0.1199</formula>
    </cfRule>
    <cfRule type="cellIs" dxfId="441" priority="20" operator="lessThan">
      <formula>0.1</formula>
    </cfRule>
    <cfRule type="cellIs" dxfId="440" priority="22" operator="greaterThanOrEqual">
      <formula>0.12</formula>
    </cfRule>
  </conditionalFormatting>
  <conditionalFormatting sqref="B10">
    <cfRule type="containsText" dxfId="439" priority="14" operator="containsText" text="Full">
      <formula>NOT(ISERROR(SEARCH("Full",B10)))</formula>
    </cfRule>
    <cfRule type="containsText" dxfId="438" priority="15" operator="containsText" text="Heavy">
      <formula>NOT(ISERROR(SEARCH("Heavy",B10)))</formula>
    </cfRule>
    <cfRule type="containsText" dxfId="437" priority="16" operator="containsText" text="Medium">
      <formula>NOT(ISERROR(SEARCH("Medium",B10)))</formula>
    </cfRule>
    <cfRule type="containsText" dxfId="436" priority="17" operator="containsText" text="Light">
      <formula>NOT(ISERROR(SEARCH("Light",B10)))</formula>
    </cfRule>
    <cfRule type="containsText" dxfId="435" priority="18" operator="containsText" text="None">
      <formula>NOT(ISERROR(SEARCH("None",B10)))</formula>
    </cfRule>
  </conditionalFormatting>
  <conditionalFormatting sqref="B30">
    <cfRule type="cellIs" dxfId="434" priority="31" operator="lessThan">
      <formula>$B$8*100</formula>
    </cfRule>
    <cfRule type="cellIs" dxfId="433" priority="32" operator="greaterThanOrEqual">
      <formula>$B$8*100</formula>
    </cfRule>
  </conditionalFormatting>
  <conditionalFormatting sqref="B43">
    <cfRule type="cellIs" dxfId="432" priority="33" operator="lessThan">
      <formula>$B$8*100</formula>
    </cfRule>
    <cfRule type="cellIs" dxfId="431" priority="34" operator="greaterThan">
      <formula>$B$8*100</formula>
    </cfRule>
    <cfRule type="cellIs" dxfId="430" priority="35" operator="greaterThan">
      <formula>$B$8*100</formula>
    </cfRule>
  </conditionalFormatting>
  <conditionalFormatting sqref="B40">
    <cfRule type="cellIs" dxfId="429" priority="9" operator="equal">
      <formula>"YES"</formula>
    </cfRule>
    <cfRule type="cellIs" dxfId="428" priority="10" operator="equal">
      <formula>"NO"</formula>
    </cfRule>
  </conditionalFormatting>
  <conditionalFormatting sqref="E25:E28">
    <cfRule type="cellIs" dxfId="427" priority="5" operator="equal">
      <formula>"NO"</formula>
    </cfRule>
    <cfRule type="cellIs" dxfId="426" priority="6" operator="equal">
      <formula>"YES"</formula>
    </cfRule>
  </conditionalFormatting>
  <conditionalFormatting sqref="E31">
    <cfRule type="cellIs" dxfId="425" priority="2" operator="between">
      <formula>10%</formula>
      <formula>12%</formula>
    </cfRule>
    <cfRule type="cellIs" dxfId="424" priority="3" operator="lessThan">
      <formula>0.1</formula>
    </cfRule>
    <cfRule type="cellIs" dxfId="423" priority="4" operator="greaterThan">
      <formula>0.12</formula>
    </cfRule>
  </conditionalFormatting>
  <conditionalFormatting sqref="E30">
    <cfRule type="cellIs" dxfId="422" priority="7" operator="lessThan">
      <formula>$B$8*100</formula>
    </cfRule>
    <cfRule type="cellIs" dxfId="421" priority="8" operator="greaterThan">
      <formula>$B$8*100</formula>
    </cfRule>
  </conditionalFormatting>
  <conditionalFormatting sqref="B46:B47">
    <cfRule type="cellIs" dxfId="420" priority="1" operator="greaterThan">
      <formula>0</formula>
    </cfRule>
  </conditionalFormatting>
  <hyperlinks>
    <hyperlink ref="A34" r:id="rId1" display="https://www.zillow.com/homes/recently_sold/" xr:uid="{8E0C6505-CF1B-4C43-AD1A-A359E4D403D9}"/>
    <hyperlink ref="A23" r:id="rId2" xr:uid="{C5BB7C81-CFA0-4BEE-84B1-16C9C86893A3}"/>
    <hyperlink ref="A27" r:id="rId3" display="www.mortgagecalculator.org" xr:uid="{E9C66E8B-639E-46FB-A232-A141ED532E54}"/>
    <hyperlink ref="A12" r:id="rId4" xr:uid="{A565AE57-6635-4B01-A211-1D6DA85A4264}"/>
  </hyperlinks>
  <pageMargins left="0.7" right="0.7" top="0.75" bottom="0.75" header="0.3" footer="0.3"/>
  <drawing r:id="rId5"/>
  <legacyDrawing r:id="rId6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81572-EB13-4AF9-A597-1E5B6DF6CF0F}">
  <sheetPr>
    <tabColor rgb="FF92D050"/>
  </sheetPr>
  <dimension ref="A1:P47"/>
  <sheetViews>
    <sheetView topLeftCell="A15" workbookViewId="0">
      <selection activeCell="A34" sqref="A34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327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105000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1132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</f>
        <v>105000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105000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5250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250</v>
      </c>
      <c r="D19" s="66"/>
      <c r="E19" s="67"/>
      <c r="P19" s="21"/>
    </row>
    <row r="20" spans="1:16" x14ac:dyDescent="0.25">
      <c r="A20" s="7" t="s">
        <v>23</v>
      </c>
      <c r="B20" s="17">
        <f>B16-B17</f>
        <v>99750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1070</v>
      </c>
      <c r="D23" s="23" t="s">
        <v>28</v>
      </c>
      <c r="E23" s="8">
        <f>400*2</f>
        <v>800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1050</v>
      </c>
      <c r="D24" s="7" t="s">
        <v>77</v>
      </c>
      <c r="E24" s="17">
        <f>B16*0.01</f>
        <v>1050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791.23</v>
      </c>
      <c r="D27" s="7" t="s">
        <v>38</v>
      </c>
      <c r="E27" s="35">
        <f>B27</f>
        <v>791.23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994.53</v>
      </c>
      <c r="D28" s="7" t="s">
        <v>41</v>
      </c>
      <c r="E28" s="17">
        <f>E27+I27+I36</f>
        <v>994.53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75.470000000000027</v>
      </c>
      <c r="D30" s="7" t="s">
        <v>43</v>
      </c>
      <c r="E30" s="44">
        <f>E23-E27-I27-I36+I26+I35</f>
        <v>-87.53000000000003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3.6225600000000013</v>
      </c>
      <c r="D31" s="46" t="s">
        <v>44</v>
      </c>
      <c r="E31" s="47">
        <f>(E30*12)/B19</f>
        <v>-4.2014400000000016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0.03</v>
      </c>
      <c r="I32" s="49">
        <f>$B$23*H32</f>
        <v>32.1</v>
      </c>
    </row>
    <row r="33" spans="1:9" ht="15.75" x14ac:dyDescent="0.25">
      <c r="A33" s="75" t="s">
        <v>47</v>
      </c>
      <c r="B33" s="76"/>
      <c r="G33" s="27" t="s">
        <v>48</v>
      </c>
      <c r="H33" s="48">
        <v>0.03</v>
      </c>
      <c r="I33" s="49">
        <f>$B$23*H33</f>
        <v>32.1</v>
      </c>
    </row>
    <row r="34" spans="1:9" x14ac:dyDescent="0.25">
      <c r="A34" s="26" t="s">
        <v>49</v>
      </c>
      <c r="B34" s="8">
        <f>B16</f>
        <v>105000</v>
      </c>
      <c r="G34" s="27" t="s">
        <v>50</v>
      </c>
      <c r="H34" s="48">
        <v>0.03</v>
      </c>
      <c r="I34" s="49">
        <f>$B$23*H34</f>
        <v>32.1</v>
      </c>
    </row>
    <row r="35" spans="1:9" x14ac:dyDescent="0.25">
      <c r="A35" s="7" t="s">
        <v>51</v>
      </c>
      <c r="B35" s="17">
        <f>B34-B20</f>
        <v>5250</v>
      </c>
      <c r="G35" s="27" t="s">
        <v>52</v>
      </c>
      <c r="H35" s="48">
        <v>0.1</v>
      </c>
      <c r="I35" s="49">
        <f>$B$23*H35</f>
        <v>107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203.3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70.656250000000014</v>
      </c>
      <c r="D41" s="58"/>
      <c r="E41" s="61"/>
    </row>
    <row r="42" spans="1:9" x14ac:dyDescent="0.25">
      <c r="A42" s="7" t="s">
        <v>58</v>
      </c>
      <c r="B42" s="17">
        <f>B27-B41</f>
        <v>720.57375000000002</v>
      </c>
      <c r="D42" s="58"/>
      <c r="E42" s="61"/>
    </row>
    <row r="43" spans="1:9" x14ac:dyDescent="0.25">
      <c r="A43" s="7" t="s">
        <v>59</v>
      </c>
      <c r="B43" s="43">
        <f>B23-B42-I27-I36</f>
        <v>146.12624999999997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0.3340028571428571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840</v>
      </c>
    </row>
    <row r="47" spans="1:9" ht="15.75" thickBot="1" x14ac:dyDescent="0.3">
      <c r="A47" s="63" t="s">
        <v>251</v>
      </c>
      <c r="B47" s="65">
        <f>B16*0.02</f>
        <v>2100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419" priority="29" operator="equal">
      <formula>"NO"</formula>
    </cfRule>
    <cfRule type="cellIs" dxfId="418" priority="30" operator="equal">
      <formula>"YES"</formula>
    </cfRule>
  </conditionalFormatting>
  <conditionalFormatting sqref="E40">
    <cfRule type="cellIs" dxfId="417" priority="27" operator="equal">
      <formula>"YES"</formula>
    </cfRule>
    <cfRule type="cellIs" dxfId="416" priority="28" operator="equal">
      <formula>"NO"</formula>
    </cfRule>
  </conditionalFormatting>
  <conditionalFormatting sqref="B25">
    <cfRule type="cellIs" dxfId="415" priority="25" operator="equal">
      <formula>"NO"</formula>
    </cfRule>
    <cfRule type="cellIs" dxfId="414" priority="26" operator="equal">
      <formula>"YES"</formula>
    </cfRule>
  </conditionalFormatting>
  <conditionalFormatting sqref="B12">
    <cfRule type="containsText" dxfId="413" priority="11" operator="containsText" text="Low">
      <formula>NOT(ISERROR(SEARCH("Low",B12)))</formula>
    </cfRule>
    <cfRule type="containsText" dxfId="412" priority="12" operator="containsText" text="Medium">
      <formula>NOT(ISERROR(SEARCH("Medium",B12)))</formula>
    </cfRule>
    <cfRule type="containsText" dxfId="411" priority="13" operator="containsText" text="High">
      <formula>NOT(ISERROR(SEARCH("High",B12)))</formula>
    </cfRule>
  </conditionalFormatting>
  <conditionalFormatting sqref="B31">
    <cfRule type="cellIs" dxfId="410" priority="21" operator="between">
      <formula>10%</formula>
      <formula>11.9%</formula>
    </cfRule>
    <cfRule type="cellIs" dxfId="409" priority="23" operator="lessThan">
      <formula>0.1</formula>
    </cfRule>
    <cfRule type="cellIs" dxfId="408" priority="24" operator="greaterThanOrEqual">
      <formula>0.12</formula>
    </cfRule>
  </conditionalFormatting>
  <conditionalFormatting sqref="B44">
    <cfRule type="cellIs" dxfId="407" priority="19" operator="between">
      <formula>0.1</formula>
      <formula>0.1199</formula>
    </cfRule>
    <cfRule type="cellIs" dxfId="406" priority="20" operator="lessThan">
      <formula>0.1</formula>
    </cfRule>
    <cfRule type="cellIs" dxfId="405" priority="22" operator="greaterThanOrEqual">
      <formula>0.12</formula>
    </cfRule>
  </conditionalFormatting>
  <conditionalFormatting sqref="B10">
    <cfRule type="containsText" dxfId="404" priority="14" operator="containsText" text="Full">
      <formula>NOT(ISERROR(SEARCH("Full",B10)))</formula>
    </cfRule>
    <cfRule type="containsText" dxfId="403" priority="15" operator="containsText" text="Heavy">
      <formula>NOT(ISERROR(SEARCH("Heavy",B10)))</formula>
    </cfRule>
    <cfRule type="containsText" dxfId="402" priority="16" operator="containsText" text="Medium">
      <formula>NOT(ISERROR(SEARCH("Medium",B10)))</formula>
    </cfRule>
    <cfRule type="containsText" dxfId="401" priority="17" operator="containsText" text="Light">
      <formula>NOT(ISERROR(SEARCH("Light",B10)))</formula>
    </cfRule>
    <cfRule type="containsText" dxfId="400" priority="18" operator="containsText" text="None">
      <formula>NOT(ISERROR(SEARCH("None",B10)))</formula>
    </cfRule>
  </conditionalFormatting>
  <conditionalFormatting sqref="B30">
    <cfRule type="cellIs" dxfId="399" priority="31" operator="lessThan">
      <formula>$B$8*100</formula>
    </cfRule>
    <cfRule type="cellIs" dxfId="398" priority="32" operator="greaterThanOrEqual">
      <formula>$B$8*100</formula>
    </cfRule>
  </conditionalFormatting>
  <conditionalFormatting sqref="B43">
    <cfRule type="cellIs" dxfId="397" priority="33" operator="lessThan">
      <formula>$B$8*100</formula>
    </cfRule>
    <cfRule type="cellIs" dxfId="396" priority="34" operator="greaterThan">
      <formula>$B$8*100</formula>
    </cfRule>
    <cfRule type="cellIs" dxfId="395" priority="35" operator="greaterThan">
      <formula>$B$8*100</formula>
    </cfRule>
  </conditionalFormatting>
  <conditionalFormatting sqref="B40">
    <cfRule type="cellIs" dxfId="394" priority="9" operator="equal">
      <formula>"YES"</formula>
    </cfRule>
    <cfRule type="cellIs" dxfId="393" priority="10" operator="equal">
      <formula>"NO"</formula>
    </cfRule>
  </conditionalFormatting>
  <conditionalFormatting sqref="E25:E28">
    <cfRule type="cellIs" dxfId="392" priority="5" operator="equal">
      <formula>"NO"</formula>
    </cfRule>
    <cfRule type="cellIs" dxfId="391" priority="6" operator="equal">
      <formula>"YES"</formula>
    </cfRule>
  </conditionalFormatting>
  <conditionalFormatting sqref="E31">
    <cfRule type="cellIs" dxfId="390" priority="2" operator="between">
      <formula>10%</formula>
      <formula>12%</formula>
    </cfRule>
    <cfRule type="cellIs" dxfId="389" priority="3" operator="lessThan">
      <formula>0.1</formula>
    </cfRule>
    <cfRule type="cellIs" dxfId="388" priority="4" operator="greaterThan">
      <formula>0.12</formula>
    </cfRule>
  </conditionalFormatting>
  <conditionalFormatting sqref="E30">
    <cfRule type="cellIs" dxfId="387" priority="7" operator="lessThan">
      <formula>$B$8*100</formula>
    </cfRule>
    <cfRule type="cellIs" dxfId="386" priority="8" operator="greaterThan">
      <formula>$B$8*100</formula>
    </cfRule>
  </conditionalFormatting>
  <conditionalFormatting sqref="B46:B47">
    <cfRule type="cellIs" dxfId="385" priority="1" operator="greaterThan">
      <formula>0</formula>
    </cfRule>
  </conditionalFormatting>
  <hyperlinks>
    <hyperlink ref="A34" r:id="rId1" display="https://www.zillow.com/homes/recently_sold/" xr:uid="{8B0BAC1A-4FDB-4CB6-B021-C61B001C62BB}"/>
    <hyperlink ref="A23" r:id="rId2" xr:uid="{F57E43BA-B321-4CBC-A81A-69D65D5E672E}"/>
    <hyperlink ref="A27" r:id="rId3" display="www.mortgagecalculator.org" xr:uid="{1F030A91-A063-4FCD-8D65-CBB97292C07C}"/>
    <hyperlink ref="A12" r:id="rId4" xr:uid="{E233A47E-A1F2-4926-AB04-B4BCA7CCDB6A}"/>
  </hyperlinks>
  <pageMargins left="0.7" right="0.7" top="0.75" bottom="0.75" header="0.3" footer="0.3"/>
  <drawing r:id="rId5"/>
  <legacyDrawing r:id="rId6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62060-8323-459A-A48D-19DA137F1439}">
  <sheetPr>
    <tabColor rgb="FFFF0000"/>
  </sheetPr>
  <dimension ref="A1:P47"/>
  <sheetViews>
    <sheetView topLeftCell="A13" workbookViewId="0">
      <selection activeCell="B31" sqref="B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328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113000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1050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96050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96050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4802.5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-197.5</v>
      </c>
      <c r="D19" s="66"/>
      <c r="E19" s="67"/>
      <c r="P19" s="21"/>
    </row>
    <row r="20" spans="1:16" x14ac:dyDescent="0.25">
      <c r="A20" s="7" t="s">
        <v>23</v>
      </c>
      <c r="B20" s="17">
        <f>B16-B17</f>
        <v>91247.5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909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960.5</v>
      </c>
      <c r="D24" s="7" t="s">
        <v>77</v>
      </c>
      <c r="E24" s="17">
        <f>B16*0.01</f>
        <v>960.5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883.4</v>
      </c>
      <c r="D27" s="7" t="s">
        <v>38</v>
      </c>
      <c r="E27" s="35">
        <f>B27</f>
        <v>883.4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1110.6500000000001</v>
      </c>
      <c r="D28" s="7" t="s">
        <v>41</v>
      </c>
      <c r="E28" s="17">
        <f>E27+I27+I36</f>
        <v>1110.6500000000001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-201.65000000000009</v>
      </c>
      <c r="D30" s="7" t="s">
        <v>43</v>
      </c>
      <c r="E30" s="44">
        <f>E23-E27-I27-I36+I26+I35</f>
        <v>30.25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12.252151898734184</v>
      </c>
      <c r="D31" s="46" t="s">
        <v>44</v>
      </c>
      <c r="E31" s="47">
        <f>(E30*12)/B19</f>
        <v>-1.8379746835443038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45.45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45.45</v>
      </c>
    </row>
    <row r="34" spans="1:9" x14ac:dyDescent="0.25">
      <c r="A34" s="26" t="s">
        <v>49</v>
      </c>
      <c r="B34" s="8">
        <f>B16</f>
        <v>96050</v>
      </c>
      <c r="G34" s="27" t="s">
        <v>50</v>
      </c>
      <c r="H34" s="48">
        <v>0.05</v>
      </c>
      <c r="I34" s="49">
        <f>$B$23*H34</f>
        <v>45.45</v>
      </c>
    </row>
    <row r="35" spans="1:9" x14ac:dyDescent="0.25">
      <c r="A35" s="7" t="s">
        <v>51</v>
      </c>
      <c r="B35" s="17">
        <f>B34-B20</f>
        <v>4802.5</v>
      </c>
      <c r="G35" s="27" t="s">
        <v>52</v>
      </c>
      <c r="H35" s="48">
        <v>0.1</v>
      </c>
      <c r="I35" s="49">
        <f>$B$23*H35</f>
        <v>90.9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227.25000000000003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64.633645833333347</v>
      </c>
      <c r="D41" s="58"/>
      <c r="E41" s="61"/>
    </row>
    <row r="42" spans="1:9" x14ac:dyDescent="0.25">
      <c r="A42" s="7" t="s">
        <v>58</v>
      </c>
      <c r="B42" s="17">
        <f>B27-B41</f>
        <v>818.76635416666659</v>
      </c>
      <c r="D42" s="58"/>
      <c r="E42" s="61"/>
    </row>
    <row r="43" spans="1:9" x14ac:dyDescent="0.25">
      <c r="A43" s="7" t="s">
        <v>59</v>
      </c>
      <c r="B43" s="43">
        <f>B23-B42-I27-I36</f>
        <v>-137.01635416666662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-0.34236257157730338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768.4</v>
      </c>
    </row>
    <row r="47" spans="1:9" ht="15.75" thickBot="1" x14ac:dyDescent="0.3">
      <c r="A47" s="63" t="s">
        <v>251</v>
      </c>
      <c r="B47" s="65">
        <f>B16*0.02</f>
        <v>1921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384" priority="29" operator="equal">
      <formula>"NO"</formula>
    </cfRule>
    <cfRule type="cellIs" dxfId="383" priority="30" operator="equal">
      <formula>"YES"</formula>
    </cfRule>
  </conditionalFormatting>
  <conditionalFormatting sqref="E40">
    <cfRule type="cellIs" dxfId="382" priority="27" operator="equal">
      <formula>"YES"</formula>
    </cfRule>
    <cfRule type="cellIs" dxfId="381" priority="28" operator="equal">
      <formula>"NO"</formula>
    </cfRule>
  </conditionalFormatting>
  <conditionalFormatting sqref="B25">
    <cfRule type="cellIs" dxfId="380" priority="25" operator="equal">
      <formula>"NO"</formula>
    </cfRule>
    <cfRule type="cellIs" dxfId="379" priority="26" operator="equal">
      <formula>"YES"</formula>
    </cfRule>
  </conditionalFormatting>
  <conditionalFormatting sqref="B12">
    <cfRule type="containsText" dxfId="378" priority="11" operator="containsText" text="Low">
      <formula>NOT(ISERROR(SEARCH("Low",B12)))</formula>
    </cfRule>
    <cfRule type="containsText" dxfId="377" priority="12" operator="containsText" text="Medium">
      <formula>NOT(ISERROR(SEARCH("Medium",B12)))</formula>
    </cfRule>
    <cfRule type="containsText" dxfId="376" priority="13" operator="containsText" text="High">
      <formula>NOT(ISERROR(SEARCH("High",B12)))</formula>
    </cfRule>
  </conditionalFormatting>
  <conditionalFormatting sqref="B31">
    <cfRule type="cellIs" dxfId="375" priority="21" operator="between">
      <formula>10%</formula>
      <formula>11.9%</formula>
    </cfRule>
    <cfRule type="cellIs" dxfId="374" priority="23" operator="lessThan">
      <formula>0.1</formula>
    </cfRule>
    <cfRule type="cellIs" dxfId="373" priority="24" operator="greaterThanOrEqual">
      <formula>0.12</formula>
    </cfRule>
  </conditionalFormatting>
  <conditionalFormatting sqref="B44">
    <cfRule type="cellIs" dxfId="372" priority="19" operator="between">
      <formula>0.1</formula>
      <formula>0.1199</formula>
    </cfRule>
    <cfRule type="cellIs" dxfId="371" priority="20" operator="lessThan">
      <formula>0.1</formula>
    </cfRule>
    <cfRule type="cellIs" dxfId="370" priority="22" operator="greaterThanOrEqual">
      <formula>0.12</formula>
    </cfRule>
  </conditionalFormatting>
  <conditionalFormatting sqref="B10">
    <cfRule type="containsText" dxfId="369" priority="14" operator="containsText" text="Full">
      <formula>NOT(ISERROR(SEARCH("Full",B10)))</formula>
    </cfRule>
    <cfRule type="containsText" dxfId="368" priority="15" operator="containsText" text="Heavy">
      <formula>NOT(ISERROR(SEARCH("Heavy",B10)))</formula>
    </cfRule>
    <cfRule type="containsText" dxfId="367" priority="16" operator="containsText" text="Medium">
      <formula>NOT(ISERROR(SEARCH("Medium",B10)))</formula>
    </cfRule>
    <cfRule type="containsText" dxfId="366" priority="17" operator="containsText" text="Light">
      <formula>NOT(ISERROR(SEARCH("Light",B10)))</formula>
    </cfRule>
    <cfRule type="containsText" dxfId="365" priority="18" operator="containsText" text="None">
      <formula>NOT(ISERROR(SEARCH("None",B10)))</formula>
    </cfRule>
  </conditionalFormatting>
  <conditionalFormatting sqref="B30">
    <cfRule type="cellIs" dxfId="364" priority="31" operator="lessThan">
      <formula>$B$8*100</formula>
    </cfRule>
    <cfRule type="cellIs" dxfId="363" priority="32" operator="greaterThanOrEqual">
      <formula>$B$8*100</formula>
    </cfRule>
  </conditionalFormatting>
  <conditionalFormatting sqref="B43">
    <cfRule type="cellIs" dxfId="362" priority="33" operator="lessThan">
      <formula>$B$8*100</formula>
    </cfRule>
    <cfRule type="cellIs" dxfId="361" priority="34" operator="greaterThan">
      <formula>$B$8*100</formula>
    </cfRule>
    <cfRule type="cellIs" dxfId="360" priority="35" operator="greaterThan">
      <formula>$B$8*100</formula>
    </cfRule>
  </conditionalFormatting>
  <conditionalFormatting sqref="B40">
    <cfRule type="cellIs" dxfId="359" priority="9" operator="equal">
      <formula>"YES"</formula>
    </cfRule>
    <cfRule type="cellIs" dxfId="358" priority="10" operator="equal">
      <formula>"NO"</formula>
    </cfRule>
  </conditionalFormatting>
  <conditionalFormatting sqref="E25:E28">
    <cfRule type="cellIs" dxfId="357" priority="5" operator="equal">
      <formula>"NO"</formula>
    </cfRule>
    <cfRule type="cellIs" dxfId="356" priority="6" operator="equal">
      <formula>"YES"</formula>
    </cfRule>
  </conditionalFormatting>
  <conditionalFormatting sqref="E31">
    <cfRule type="cellIs" dxfId="355" priority="2" operator="between">
      <formula>10%</formula>
      <formula>12%</formula>
    </cfRule>
    <cfRule type="cellIs" dxfId="354" priority="3" operator="lessThan">
      <formula>0.1</formula>
    </cfRule>
    <cfRule type="cellIs" dxfId="353" priority="4" operator="greaterThan">
      <formula>0.12</formula>
    </cfRule>
  </conditionalFormatting>
  <conditionalFormatting sqref="E30">
    <cfRule type="cellIs" dxfId="352" priority="7" operator="lessThan">
      <formula>$B$8*100</formula>
    </cfRule>
    <cfRule type="cellIs" dxfId="351" priority="8" operator="greaterThan">
      <formula>$B$8*100</formula>
    </cfRule>
  </conditionalFormatting>
  <conditionalFormatting sqref="B46:B47">
    <cfRule type="cellIs" dxfId="350" priority="1" operator="greaterThan">
      <formula>0</formula>
    </cfRule>
  </conditionalFormatting>
  <hyperlinks>
    <hyperlink ref="A34" r:id="rId1" display="https://www.zillow.com/homes/recently_sold/" xr:uid="{CFD749E2-B6A8-4446-B90B-2AD735EBDE15}"/>
    <hyperlink ref="A23" r:id="rId2" xr:uid="{A39A95DF-547F-4018-B5C3-24A36A994DCF}"/>
    <hyperlink ref="A27" r:id="rId3" display="www.mortgagecalculator.org" xr:uid="{6EADAE36-EC1F-4F83-89F5-76820B2C940A}"/>
    <hyperlink ref="A12" r:id="rId4" xr:uid="{3766B3A8-5043-4205-B283-0537A5801187}"/>
  </hyperlinks>
  <pageMargins left="0.7" right="0.7" top="0.75" bottom="0.75" header="0.3" footer="0.3"/>
  <drawing r:id="rId5"/>
  <legacyDrawing r:id="rId6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0B25-93BB-4A54-AD70-45C5996284C2}">
  <sheetPr>
    <tabColor rgb="FFFF0000"/>
  </sheetPr>
  <dimension ref="A1:P47"/>
  <sheetViews>
    <sheetView topLeftCell="A11" workbookViewId="0">
      <selection activeCell="B31" sqref="B31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329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82000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912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70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69700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25</v>
      </c>
      <c r="D14" s="2"/>
      <c r="E14" s="3"/>
    </row>
    <row r="15" spans="1:10" x14ac:dyDescent="0.25">
      <c r="A15" s="7" t="s">
        <v>19</v>
      </c>
      <c r="B15" s="17">
        <f>B14*B9</f>
        <v>22800</v>
      </c>
      <c r="D15" s="2"/>
      <c r="E15" s="3"/>
    </row>
    <row r="16" spans="1:10" x14ac:dyDescent="0.25">
      <c r="A16" s="7" t="s">
        <v>20</v>
      </c>
      <c r="B16" s="17">
        <f>B15+B13</f>
        <v>92500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3237.5000000000005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89262.5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990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925</v>
      </c>
      <c r="D24" s="7" t="s">
        <v>77</v>
      </c>
      <c r="E24" s="17">
        <f>B16*0.01</f>
        <v>925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854.69</v>
      </c>
      <c r="D27" s="7" t="s">
        <v>38</v>
      </c>
      <c r="E27" s="35">
        <f>B27</f>
        <v>854.69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1102.19</v>
      </c>
      <c r="D28" s="7" t="s">
        <v>41</v>
      </c>
      <c r="E28" s="17">
        <f>E27+I27+I36</f>
        <v>1102.19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-112.19000000000005</v>
      </c>
      <c r="D30" s="7" t="s">
        <v>43</v>
      </c>
      <c r="E30" s="44">
        <f>E23-E27-I27-I36+I26+I35</f>
        <v>46.809999999999945</v>
      </c>
      <c r="G30" s="28"/>
      <c r="H30" s="28"/>
      <c r="I30" s="28"/>
    </row>
    <row r="31" spans="1:16" ht="16.5" thickBot="1" x14ac:dyDescent="0.3">
      <c r="A31" s="7" t="s">
        <v>44</v>
      </c>
      <c r="B31" s="45" t="e">
        <f>(B30*12)/(B19)</f>
        <v>#DIV/0!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49.5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49.5</v>
      </c>
    </row>
    <row r="34" spans="1:9" x14ac:dyDescent="0.25">
      <c r="A34" s="26" t="s">
        <v>49</v>
      </c>
      <c r="B34" s="8">
        <f>B16</f>
        <v>92500</v>
      </c>
      <c r="G34" s="27" t="s">
        <v>50</v>
      </c>
      <c r="H34" s="48">
        <v>0.05</v>
      </c>
      <c r="I34" s="49">
        <f>$B$23*H34</f>
        <v>49.5</v>
      </c>
    </row>
    <row r="35" spans="1:9" x14ac:dyDescent="0.25">
      <c r="A35" s="7" t="s">
        <v>51</v>
      </c>
      <c r="B35" s="17">
        <f>B34-B20</f>
        <v>3237.5</v>
      </c>
      <c r="G35" s="27" t="s">
        <v>52</v>
      </c>
      <c r="H35" s="48">
        <v>0.1</v>
      </c>
      <c r="I35" s="49">
        <f>$B$23*H35</f>
        <v>99</v>
      </c>
    </row>
    <row r="36" spans="1:9" ht="15.75" thickBot="1" x14ac:dyDescent="0.3">
      <c r="A36" s="7" t="s">
        <v>53</v>
      </c>
      <c r="B36" s="50">
        <f>B35/B17</f>
        <v>0.99999999999999989</v>
      </c>
      <c r="G36" s="36" t="s">
        <v>39</v>
      </c>
      <c r="H36" s="37"/>
      <c r="I36" s="51">
        <f>SUM(I32:I35)</f>
        <v>247.5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63.227604166666673</v>
      </c>
      <c r="D41" s="58"/>
      <c r="E41" s="61"/>
    </row>
    <row r="42" spans="1:9" x14ac:dyDescent="0.25">
      <c r="A42" s="7" t="s">
        <v>58</v>
      </c>
      <c r="B42" s="17">
        <f>B27-B41</f>
        <v>791.4623958333334</v>
      </c>
      <c r="D42" s="58"/>
      <c r="E42" s="61"/>
    </row>
    <row r="43" spans="1:9" x14ac:dyDescent="0.25">
      <c r="A43" s="7" t="s">
        <v>59</v>
      </c>
      <c r="B43" s="43">
        <f>B23-B42-I27-I36</f>
        <v>-48.962395833333403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-0.18148223938223962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740</v>
      </c>
    </row>
    <row r="47" spans="1:9" ht="15.75" thickBot="1" x14ac:dyDescent="0.3">
      <c r="A47" s="63" t="s">
        <v>251</v>
      </c>
      <c r="B47" s="65">
        <f>B16*0.02</f>
        <v>1850</v>
      </c>
    </row>
  </sheetData>
  <mergeCells count="13">
    <mergeCell ref="G31:I31"/>
    <mergeCell ref="A33:B33"/>
    <mergeCell ref="A38:B38"/>
    <mergeCell ref="D38:E38"/>
    <mergeCell ref="A45:B45"/>
    <mergeCell ref="A22:B22"/>
    <mergeCell ref="D22:E22"/>
    <mergeCell ref="G22:I22"/>
    <mergeCell ref="A1:B1"/>
    <mergeCell ref="A2:B3"/>
    <mergeCell ref="D2:E2"/>
    <mergeCell ref="G2:J13"/>
    <mergeCell ref="A4:B4"/>
  </mergeCells>
  <conditionalFormatting sqref="B26">
    <cfRule type="cellIs" dxfId="349" priority="29" operator="equal">
      <formula>"NO"</formula>
    </cfRule>
    <cfRule type="cellIs" dxfId="348" priority="30" operator="equal">
      <formula>"YES"</formula>
    </cfRule>
  </conditionalFormatting>
  <conditionalFormatting sqref="E40">
    <cfRule type="cellIs" dxfId="347" priority="27" operator="equal">
      <formula>"YES"</formula>
    </cfRule>
    <cfRule type="cellIs" dxfId="346" priority="28" operator="equal">
      <formula>"NO"</formula>
    </cfRule>
  </conditionalFormatting>
  <conditionalFormatting sqref="B25">
    <cfRule type="cellIs" dxfId="345" priority="25" operator="equal">
      <formula>"NO"</formula>
    </cfRule>
    <cfRule type="cellIs" dxfId="344" priority="26" operator="equal">
      <formula>"YES"</formula>
    </cfRule>
  </conditionalFormatting>
  <conditionalFormatting sqref="B12">
    <cfRule type="containsText" dxfId="343" priority="11" operator="containsText" text="Low">
      <formula>NOT(ISERROR(SEARCH("Low",B12)))</formula>
    </cfRule>
    <cfRule type="containsText" dxfId="342" priority="12" operator="containsText" text="Medium">
      <formula>NOT(ISERROR(SEARCH("Medium",B12)))</formula>
    </cfRule>
    <cfRule type="containsText" dxfId="341" priority="13" operator="containsText" text="High">
      <formula>NOT(ISERROR(SEARCH("High",B12)))</formula>
    </cfRule>
  </conditionalFormatting>
  <conditionalFormatting sqref="B31">
    <cfRule type="cellIs" dxfId="340" priority="21" operator="between">
      <formula>10%</formula>
      <formula>11.9%</formula>
    </cfRule>
    <cfRule type="cellIs" dxfId="339" priority="23" operator="lessThan">
      <formula>0.1</formula>
    </cfRule>
    <cfRule type="cellIs" dxfId="338" priority="24" operator="greaterThanOrEqual">
      <formula>0.12</formula>
    </cfRule>
  </conditionalFormatting>
  <conditionalFormatting sqref="B44">
    <cfRule type="cellIs" dxfId="337" priority="19" operator="between">
      <formula>0.1</formula>
      <formula>0.1199</formula>
    </cfRule>
    <cfRule type="cellIs" dxfId="336" priority="20" operator="lessThan">
      <formula>0.1</formula>
    </cfRule>
    <cfRule type="cellIs" dxfId="335" priority="22" operator="greaterThanOrEqual">
      <formula>0.12</formula>
    </cfRule>
  </conditionalFormatting>
  <conditionalFormatting sqref="B10">
    <cfRule type="containsText" dxfId="334" priority="14" operator="containsText" text="Full">
      <formula>NOT(ISERROR(SEARCH("Full",B10)))</formula>
    </cfRule>
    <cfRule type="containsText" dxfId="333" priority="15" operator="containsText" text="Heavy">
      <formula>NOT(ISERROR(SEARCH("Heavy",B10)))</formula>
    </cfRule>
    <cfRule type="containsText" dxfId="332" priority="16" operator="containsText" text="Medium">
      <formula>NOT(ISERROR(SEARCH("Medium",B10)))</formula>
    </cfRule>
    <cfRule type="containsText" dxfId="331" priority="17" operator="containsText" text="Light">
      <formula>NOT(ISERROR(SEARCH("Light",B10)))</formula>
    </cfRule>
    <cfRule type="containsText" dxfId="330" priority="18" operator="containsText" text="None">
      <formula>NOT(ISERROR(SEARCH("None",B10)))</formula>
    </cfRule>
  </conditionalFormatting>
  <conditionalFormatting sqref="B30">
    <cfRule type="cellIs" dxfId="329" priority="31" operator="lessThan">
      <formula>$B$8*100</formula>
    </cfRule>
    <cfRule type="cellIs" dxfId="328" priority="32" operator="greaterThanOrEqual">
      <formula>$B$8*100</formula>
    </cfRule>
  </conditionalFormatting>
  <conditionalFormatting sqref="B43">
    <cfRule type="cellIs" dxfId="327" priority="33" operator="lessThan">
      <formula>$B$8*100</formula>
    </cfRule>
    <cfRule type="cellIs" dxfId="326" priority="34" operator="greaterThan">
      <formula>$B$8*100</formula>
    </cfRule>
    <cfRule type="cellIs" dxfId="325" priority="35" operator="greaterThan">
      <formula>$B$8*100</formula>
    </cfRule>
  </conditionalFormatting>
  <conditionalFormatting sqref="B40">
    <cfRule type="cellIs" dxfId="324" priority="9" operator="equal">
      <formula>"YES"</formula>
    </cfRule>
    <cfRule type="cellIs" dxfId="323" priority="10" operator="equal">
      <formula>"NO"</formula>
    </cfRule>
  </conditionalFormatting>
  <conditionalFormatting sqref="E25:E28">
    <cfRule type="cellIs" dxfId="322" priority="5" operator="equal">
      <formula>"NO"</formula>
    </cfRule>
    <cfRule type="cellIs" dxfId="321" priority="6" operator="equal">
      <formula>"YES"</formula>
    </cfRule>
  </conditionalFormatting>
  <conditionalFormatting sqref="E31">
    <cfRule type="cellIs" dxfId="320" priority="2" operator="between">
      <formula>10%</formula>
      <formula>12%</formula>
    </cfRule>
    <cfRule type="cellIs" dxfId="319" priority="3" operator="lessThan">
      <formula>0.1</formula>
    </cfRule>
    <cfRule type="cellIs" dxfId="318" priority="4" operator="greaterThan">
      <formula>0.12</formula>
    </cfRule>
  </conditionalFormatting>
  <conditionalFormatting sqref="E30">
    <cfRule type="cellIs" dxfId="317" priority="7" operator="lessThan">
      <formula>$B$8*100</formula>
    </cfRule>
    <cfRule type="cellIs" dxfId="316" priority="8" operator="greaterThan">
      <formula>$B$8*100</formula>
    </cfRule>
  </conditionalFormatting>
  <conditionalFormatting sqref="B46:B47">
    <cfRule type="cellIs" dxfId="315" priority="1" operator="greaterThan">
      <formula>0</formula>
    </cfRule>
  </conditionalFormatting>
  <hyperlinks>
    <hyperlink ref="A34" r:id="rId1" display="https://www.zillow.com/homes/recently_sold/" xr:uid="{FA0BF87A-A28E-4D1A-9493-EFACC4B6789F}"/>
    <hyperlink ref="A23" r:id="rId2" xr:uid="{B254AD98-A12C-4E10-AB55-63E762278227}"/>
    <hyperlink ref="A27" r:id="rId3" display="www.mortgagecalculator.org" xr:uid="{E576BC17-FA25-458E-A20C-E8119B47BC29}"/>
    <hyperlink ref="A12" r:id="rId4" xr:uid="{61191B03-F5F0-41E7-BF38-208EC686E39B}"/>
  </hyperlinks>
  <pageMargins left="0.7" right="0.7" top="0.75" bottom="0.75" header="0.3" footer="0.3"/>
  <drawing r:id="rId5"/>
  <legacyDrawing r:id="rId6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B80DD-30EA-4D9F-B9D4-C11FB1340B3A}">
  <sheetPr>
    <tabColor rgb="FFFF0000"/>
  </sheetPr>
  <dimension ref="A1:P47"/>
  <sheetViews>
    <sheetView workbookViewId="0">
      <selection activeCell="B17" sqref="B17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330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92500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1091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83250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16365</v>
      </c>
      <c r="D15" s="2"/>
      <c r="E15" s="3"/>
    </row>
    <row r="16" spans="1:10" x14ac:dyDescent="0.25">
      <c r="A16" s="7" t="s">
        <v>20</v>
      </c>
      <c r="B16" s="17">
        <f>B15+B13</f>
        <v>99615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3486.5250000000005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96128.475000000006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969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996.15</v>
      </c>
      <c r="D24" s="7" t="s">
        <v>77</v>
      </c>
      <c r="E24" s="17">
        <f>B16*0.01</f>
        <v>996.15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YES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741.74</v>
      </c>
      <c r="D27" s="7" t="s">
        <v>38</v>
      </c>
      <c r="E27" s="35">
        <f>B27</f>
        <v>741.74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983.99</v>
      </c>
      <c r="D28" s="7" t="s">
        <v>41</v>
      </c>
      <c r="E28" s="17">
        <f>E27+I27+I36</f>
        <v>983.99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-14.990000000000009</v>
      </c>
      <c r="D30" s="7" t="s">
        <v>43</v>
      </c>
      <c r="E30" s="44">
        <f>E23-E27-I27-I36+I26+I35</f>
        <v>162.90999999999997</v>
      </c>
      <c r="G30" s="28"/>
      <c r="H30" s="28"/>
      <c r="I30" s="28"/>
    </row>
    <row r="31" spans="1:16" ht="16.5" thickBot="1" x14ac:dyDescent="0.3">
      <c r="A31" s="7" t="s">
        <v>44</v>
      </c>
      <c r="B31" s="45" t="e">
        <f>(B30*12)/(B19)</f>
        <v>#DIV/0!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48.45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48.45</v>
      </c>
    </row>
    <row r="34" spans="1:9" x14ac:dyDescent="0.25">
      <c r="A34" s="26" t="s">
        <v>49</v>
      </c>
      <c r="B34" s="8">
        <f>B16</f>
        <v>99615</v>
      </c>
      <c r="G34" s="27" t="s">
        <v>50</v>
      </c>
      <c r="H34" s="48">
        <v>0.05</v>
      </c>
      <c r="I34" s="49">
        <f>$B$23*H34</f>
        <v>48.45</v>
      </c>
    </row>
    <row r="35" spans="1:9" x14ac:dyDescent="0.25">
      <c r="A35" s="7" t="s">
        <v>51</v>
      </c>
      <c r="B35" s="17">
        <f>B34-B20</f>
        <v>3486.5249999999942</v>
      </c>
      <c r="G35" s="27" t="s">
        <v>52</v>
      </c>
      <c r="H35" s="48">
        <v>0.1</v>
      </c>
      <c r="I35" s="49">
        <f>$B$23*H35</f>
        <v>96.9</v>
      </c>
    </row>
    <row r="36" spans="1:9" ht="15.75" thickBot="1" x14ac:dyDescent="0.3">
      <c r="A36" s="7" t="s">
        <v>53</v>
      </c>
      <c r="B36" s="50">
        <f>B35/B17</f>
        <v>0.99999999999999822</v>
      </c>
      <c r="G36" s="36" t="s">
        <v>39</v>
      </c>
      <c r="H36" s="37"/>
      <c r="I36" s="51">
        <f>SUM(I32:I35)</f>
        <v>242.25000000000003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68.091003125</v>
      </c>
      <c r="D41" s="58"/>
      <c r="E41" s="61"/>
    </row>
    <row r="42" spans="1:9" x14ac:dyDescent="0.25">
      <c r="A42" s="7" t="s">
        <v>58</v>
      </c>
      <c r="B42" s="17">
        <f>B27-B41</f>
        <v>673.64899687499997</v>
      </c>
      <c r="D42" s="58"/>
      <c r="E42" s="61"/>
    </row>
    <row r="43" spans="1:9" x14ac:dyDescent="0.25">
      <c r="A43" s="7" t="s">
        <v>59</v>
      </c>
      <c r="B43" s="43">
        <f>B23-B42-I27-I36</f>
        <v>53.101003125000005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0.18276422440682341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796.92000000000007</v>
      </c>
    </row>
    <row r="47" spans="1:9" ht="15.75" thickBot="1" x14ac:dyDescent="0.3">
      <c r="A47" s="63" t="s">
        <v>251</v>
      </c>
      <c r="B47" s="65">
        <f>B16*0.02</f>
        <v>1992.3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314" priority="29" operator="equal">
      <formula>"NO"</formula>
    </cfRule>
    <cfRule type="cellIs" dxfId="313" priority="30" operator="equal">
      <formula>"YES"</formula>
    </cfRule>
  </conditionalFormatting>
  <conditionalFormatting sqref="E40">
    <cfRule type="cellIs" dxfId="312" priority="27" operator="equal">
      <formula>"YES"</formula>
    </cfRule>
    <cfRule type="cellIs" dxfId="311" priority="28" operator="equal">
      <formula>"NO"</formula>
    </cfRule>
  </conditionalFormatting>
  <conditionalFormatting sqref="B25">
    <cfRule type="cellIs" dxfId="310" priority="25" operator="equal">
      <formula>"NO"</formula>
    </cfRule>
    <cfRule type="cellIs" dxfId="309" priority="26" operator="equal">
      <formula>"YES"</formula>
    </cfRule>
  </conditionalFormatting>
  <conditionalFormatting sqref="B12">
    <cfRule type="containsText" dxfId="308" priority="11" operator="containsText" text="Low">
      <formula>NOT(ISERROR(SEARCH("Low",B12)))</formula>
    </cfRule>
    <cfRule type="containsText" dxfId="307" priority="12" operator="containsText" text="Medium">
      <formula>NOT(ISERROR(SEARCH("Medium",B12)))</formula>
    </cfRule>
    <cfRule type="containsText" dxfId="306" priority="13" operator="containsText" text="High">
      <formula>NOT(ISERROR(SEARCH("High",B12)))</formula>
    </cfRule>
  </conditionalFormatting>
  <conditionalFormatting sqref="B31">
    <cfRule type="cellIs" dxfId="305" priority="21" operator="between">
      <formula>10%</formula>
      <formula>11.9%</formula>
    </cfRule>
    <cfRule type="cellIs" dxfId="304" priority="23" operator="lessThan">
      <formula>0.1</formula>
    </cfRule>
    <cfRule type="cellIs" dxfId="303" priority="24" operator="greaterThanOrEqual">
      <formula>0.12</formula>
    </cfRule>
  </conditionalFormatting>
  <conditionalFormatting sqref="B44">
    <cfRule type="cellIs" dxfId="302" priority="19" operator="between">
      <formula>0.1</formula>
      <formula>0.1199</formula>
    </cfRule>
    <cfRule type="cellIs" dxfId="301" priority="20" operator="lessThan">
      <formula>0.1</formula>
    </cfRule>
    <cfRule type="cellIs" dxfId="300" priority="22" operator="greaterThanOrEqual">
      <formula>0.12</formula>
    </cfRule>
  </conditionalFormatting>
  <conditionalFormatting sqref="B10">
    <cfRule type="containsText" dxfId="299" priority="14" operator="containsText" text="Full">
      <formula>NOT(ISERROR(SEARCH("Full",B10)))</formula>
    </cfRule>
    <cfRule type="containsText" dxfId="298" priority="15" operator="containsText" text="Heavy">
      <formula>NOT(ISERROR(SEARCH("Heavy",B10)))</formula>
    </cfRule>
    <cfRule type="containsText" dxfId="297" priority="16" operator="containsText" text="Medium">
      <formula>NOT(ISERROR(SEARCH("Medium",B10)))</formula>
    </cfRule>
    <cfRule type="containsText" dxfId="296" priority="17" operator="containsText" text="Light">
      <formula>NOT(ISERROR(SEARCH("Light",B10)))</formula>
    </cfRule>
    <cfRule type="containsText" dxfId="295" priority="18" operator="containsText" text="None">
      <formula>NOT(ISERROR(SEARCH("None",B10)))</formula>
    </cfRule>
  </conditionalFormatting>
  <conditionalFormatting sqref="B30">
    <cfRule type="cellIs" dxfId="294" priority="31" operator="lessThan">
      <formula>$B$8*100</formula>
    </cfRule>
    <cfRule type="cellIs" dxfId="293" priority="32" operator="greaterThanOrEqual">
      <formula>$B$8*100</formula>
    </cfRule>
  </conditionalFormatting>
  <conditionalFormatting sqref="B43">
    <cfRule type="cellIs" dxfId="292" priority="33" operator="lessThan">
      <formula>$B$8*100</formula>
    </cfRule>
    <cfRule type="cellIs" dxfId="291" priority="34" operator="greaterThan">
      <formula>$B$8*100</formula>
    </cfRule>
    <cfRule type="cellIs" dxfId="290" priority="35" operator="greaterThan">
      <formula>$B$8*100</formula>
    </cfRule>
  </conditionalFormatting>
  <conditionalFormatting sqref="B40">
    <cfRule type="cellIs" dxfId="289" priority="9" operator="equal">
      <formula>"YES"</formula>
    </cfRule>
    <cfRule type="cellIs" dxfId="288" priority="10" operator="equal">
      <formula>"NO"</formula>
    </cfRule>
  </conditionalFormatting>
  <conditionalFormatting sqref="E25:E28">
    <cfRule type="cellIs" dxfId="287" priority="5" operator="equal">
      <formula>"NO"</formula>
    </cfRule>
    <cfRule type="cellIs" dxfId="286" priority="6" operator="equal">
      <formula>"YES"</formula>
    </cfRule>
  </conditionalFormatting>
  <conditionalFormatting sqref="E31">
    <cfRule type="cellIs" dxfId="285" priority="2" operator="between">
      <formula>10%</formula>
      <formula>12%</formula>
    </cfRule>
    <cfRule type="cellIs" dxfId="284" priority="3" operator="lessThan">
      <formula>0.1</formula>
    </cfRule>
    <cfRule type="cellIs" dxfId="283" priority="4" operator="greaterThan">
      <formula>0.12</formula>
    </cfRule>
  </conditionalFormatting>
  <conditionalFormatting sqref="E30">
    <cfRule type="cellIs" dxfId="282" priority="7" operator="lessThan">
      <formula>$B$8*100</formula>
    </cfRule>
    <cfRule type="cellIs" dxfId="281" priority="8" operator="greaterThan">
      <formula>$B$8*100</formula>
    </cfRule>
  </conditionalFormatting>
  <conditionalFormatting sqref="B46:B47">
    <cfRule type="cellIs" dxfId="280" priority="1" operator="greaterThan">
      <formula>0</formula>
    </cfRule>
  </conditionalFormatting>
  <hyperlinks>
    <hyperlink ref="A34" r:id="rId1" display="https://www.zillow.com/homes/recently_sold/" xr:uid="{53C4B2AF-1586-40B7-9958-4EF5DD961104}"/>
    <hyperlink ref="A23" r:id="rId2" xr:uid="{298A8887-FE8B-4E8B-9E62-C0B7FDD798CB}"/>
    <hyperlink ref="A27" r:id="rId3" display="www.mortgagecalculator.org" xr:uid="{3486AF5F-389C-4E8D-B3CA-B9F3A2E27832}"/>
    <hyperlink ref="A12" r:id="rId4" xr:uid="{A2830AB4-9C66-4CA4-9475-DEC6F077E486}"/>
  </hyperlinks>
  <pageMargins left="0.7" right="0.7" top="0.75" bottom="0.75" header="0.3" footer="0.3"/>
  <drawing r:id="rId5"/>
  <legacyDrawing r:id="rId6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3353-2B45-4A13-B463-EDCB5050DB6A}">
  <sheetPr>
    <tabColor rgb="FFFF0000"/>
  </sheetPr>
  <dimension ref="A1:P47"/>
  <sheetViews>
    <sheetView workbookViewId="0">
      <selection activeCell="B16" sqref="B16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331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124900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1251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100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106165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18765</v>
      </c>
      <c r="D15" s="2"/>
      <c r="E15" s="3"/>
    </row>
    <row r="16" spans="1:10" x14ac:dyDescent="0.25">
      <c r="A16" s="7" t="s">
        <v>20</v>
      </c>
      <c r="B16" s="17">
        <f>B15+B13</f>
        <v>124930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4372.55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v>0</v>
      </c>
      <c r="D19" s="66"/>
      <c r="E19" s="67"/>
      <c r="P19" s="21"/>
    </row>
    <row r="20" spans="1:16" x14ac:dyDescent="0.25">
      <c r="A20" s="7" t="s">
        <v>23</v>
      </c>
      <c r="B20" s="17">
        <f>B16-B17</f>
        <v>120557.45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995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1249.3</v>
      </c>
      <c r="D24" s="7" t="s">
        <v>77</v>
      </c>
      <c r="E24" s="17">
        <f>B16*0.01</f>
        <v>1249.3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951.75</v>
      </c>
      <c r="D27" s="7" t="s">
        <v>38</v>
      </c>
      <c r="E27" s="35">
        <f>B27</f>
        <v>951.75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1200.5</v>
      </c>
      <c r="D28" s="7" t="s">
        <v>41</v>
      </c>
      <c r="E28" s="17">
        <f>E27+I27+I36</f>
        <v>1200.5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-205.5</v>
      </c>
      <c r="D30" s="7" t="s">
        <v>43</v>
      </c>
      <c r="E30" s="44">
        <f>E23-E27-I27-I36+I26+I35</f>
        <v>-51</v>
      </c>
      <c r="G30" s="28"/>
      <c r="H30" s="28"/>
      <c r="I30" s="28"/>
    </row>
    <row r="31" spans="1:16" ht="16.5" thickBot="1" x14ac:dyDescent="0.3">
      <c r="A31" s="7" t="s">
        <v>44</v>
      </c>
      <c r="B31" s="45" t="e">
        <f>(B30*12)/(B19)</f>
        <v>#DIV/0!</v>
      </c>
      <c r="D31" s="46" t="s">
        <v>44</v>
      </c>
      <c r="E31" s="47" t="e">
        <f>(E30*12)/B19</f>
        <v>#DIV/0!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49.75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49.75</v>
      </c>
    </row>
    <row r="34" spans="1:9" x14ac:dyDescent="0.25">
      <c r="A34" s="26" t="s">
        <v>49</v>
      </c>
      <c r="B34" s="8">
        <f>B16</f>
        <v>124930</v>
      </c>
      <c r="G34" s="27" t="s">
        <v>50</v>
      </c>
      <c r="H34" s="48">
        <v>0.05</v>
      </c>
      <c r="I34" s="49">
        <f>$B$23*H34</f>
        <v>49.75</v>
      </c>
    </row>
    <row r="35" spans="1:9" x14ac:dyDescent="0.25">
      <c r="A35" s="7" t="s">
        <v>51</v>
      </c>
      <c r="B35" s="17">
        <f>B34-B20</f>
        <v>4372.5500000000029</v>
      </c>
      <c r="G35" s="27" t="s">
        <v>52</v>
      </c>
      <c r="H35" s="48">
        <v>0.1</v>
      </c>
      <c r="I35" s="49">
        <f>$B$23*H35</f>
        <v>99.5</v>
      </c>
    </row>
    <row r="36" spans="1:9" ht="15.75" thickBot="1" x14ac:dyDescent="0.3">
      <c r="A36" s="7" t="s">
        <v>53</v>
      </c>
      <c r="B36" s="50">
        <f>B35/B17</f>
        <v>1.0000000000000007</v>
      </c>
      <c r="G36" s="36" t="s">
        <v>39</v>
      </c>
      <c r="H36" s="37"/>
      <c r="I36" s="51">
        <f>SUM(I32:I35)</f>
        <v>248.75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85.394860416666674</v>
      </c>
      <c r="D41" s="58"/>
      <c r="E41" s="61"/>
    </row>
    <row r="42" spans="1:9" x14ac:dyDescent="0.25">
      <c r="A42" s="7" t="s">
        <v>58</v>
      </c>
      <c r="B42" s="17">
        <f>B27-B41</f>
        <v>866.35513958333331</v>
      </c>
      <c r="D42" s="58"/>
      <c r="E42" s="61"/>
    </row>
    <row r="43" spans="1:9" x14ac:dyDescent="0.25">
      <c r="A43" s="7" t="s">
        <v>59</v>
      </c>
      <c r="B43" s="43">
        <f>B23-B42-I27-I36</f>
        <v>-120.10513958333331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-0.32961582486192259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999.44</v>
      </c>
    </row>
    <row r="47" spans="1:9" ht="15.75" thickBot="1" x14ac:dyDescent="0.3">
      <c r="A47" s="63" t="s">
        <v>251</v>
      </c>
      <c r="B47" s="65">
        <f>B16*0.02</f>
        <v>2498.6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79" priority="29" operator="equal">
      <formula>"NO"</formula>
    </cfRule>
    <cfRule type="cellIs" dxfId="278" priority="30" operator="equal">
      <formula>"YES"</formula>
    </cfRule>
  </conditionalFormatting>
  <conditionalFormatting sqref="E40">
    <cfRule type="cellIs" dxfId="277" priority="27" operator="equal">
      <formula>"YES"</formula>
    </cfRule>
    <cfRule type="cellIs" dxfId="276" priority="28" operator="equal">
      <formula>"NO"</formula>
    </cfRule>
  </conditionalFormatting>
  <conditionalFormatting sqref="B25">
    <cfRule type="cellIs" dxfId="275" priority="25" operator="equal">
      <formula>"NO"</formula>
    </cfRule>
    <cfRule type="cellIs" dxfId="274" priority="26" operator="equal">
      <formula>"YES"</formula>
    </cfRule>
  </conditionalFormatting>
  <conditionalFormatting sqref="B12">
    <cfRule type="containsText" dxfId="273" priority="11" operator="containsText" text="Low">
      <formula>NOT(ISERROR(SEARCH("Low",B12)))</formula>
    </cfRule>
    <cfRule type="containsText" dxfId="272" priority="12" operator="containsText" text="Medium">
      <formula>NOT(ISERROR(SEARCH("Medium",B12)))</formula>
    </cfRule>
    <cfRule type="containsText" dxfId="271" priority="13" operator="containsText" text="High">
      <formula>NOT(ISERROR(SEARCH("High",B12)))</formula>
    </cfRule>
  </conditionalFormatting>
  <conditionalFormatting sqref="B31">
    <cfRule type="cellIs" dxfId="270" priority="21" operator="between">
      <formula>10%</formula>
      <formula>11.9%</formula>
    </cfRule>
    <cfRule type="cellIs" dxfId="269" priority="23" operator="lessThan">
      <formula>0.1</formula>
    </cfRule>
    <cfRule type="cellIs" dxfId="268" priority="24" operator="greaterThanOrEqual">
      <formula>0.12</formula>
    </cfRule>
  </conditionalFormatting>
  <conditionalFormatting sqref="B44">
    <cfRule type="cellIs" dxfId="267" priority="19" operator="between">
      <formula>0.1</formula>
      <formula>0.1199</formula>
    </cfRule>
    <cfRule type="cellIs" dxfId="266" priority="20" operator="lessThan">
      <formula>0.1</formula>
    </cfRule>
    <cfRule type="cellIs" dxfId="265" priority="22" operator="greaterThanOrEqual">
      <formula>0.12</formula>
    </cfRule>
  </conditionalFormatting>
  <conditionalFormatting sqref="B10">
    <cfRule type="containsText" dxfId="264" priority="14" operator="containsText" text="Full">
      <formula>NOT(ISERROR(SEARCH("Full",B10)))</formula>
    </cfRule>
    <cfRule type="containsText" dxfId="263" priority="15" operator="containsText" text="Heavy">
      <formula>NOT(ISERROR(SEARCH("Heavy",B10)))</formula>
    </cfRule>
    <cfRule type="containsText" dxfId="262" priority="16" operator="containsText" text="Medium">
      <formula>NOT(ISERROR(SEARCH("Medium",B10)))</formula>
    </cfRule>
    <cfRule type="containsText" dxfId="261" priority="17" operator="containsText" text="Light">
      <formula>NOT(ISERROR(SEARCH("Light",B10)))</formula>
    </cfRule>
    <cfRule type="containsText" dxfId="260" priority="18" operator="containsText" text="None">
      <formula>NOT(ISERROR(SEARCH("None",B10)))</formula>
    </cfRule>
  </conditionalFormatting>
  <conditionalFormatting sqref="B30">
    <cfRule type="cellIs" dxfId="259" priority="31" operator="lessThan">
      <formula>$B$8*100</formula>
    </cfRule>
    <cfRule type="cellIs" dxfId="258" priority="32" operator="greaterThanOrEqual">
      <formula>$B$8*100</formula>
    </cfRule>
  </conditionalFormatting>
  <conditionalFormatting sqref="B43">
    <cfRule type="cellIs" dxfId="257" priority="33" operator="lessThan">
      <formula>$B$8*100</formula>
    </cfRule>
    <cfRule type="cellIs" dxfId="256" priority="34" operator="greaterThan">
      <formula>$B$8*100</formula>
    </cfRule>
    <cfRule type="cellIs" dxfId="255" priority="35" operator="greaterThan">
      <formula>$B$8*100</formula>
    </cfRule>
  </conditionalFormatting>
  <conditionalFormatting sqref="B40">
    <cfRule type="cellIs" dxfId="254" priority="9" operator="equal">
      <formula>"YES"</formula>
    </cfRule>
    <cfRule type="cellIs" dxfId="253" priority="10" operator="equal">
      <formula>"NO"</formula>
    </cfRule>
  </conditionalFormatting>
  <conditionalFormatting sqref="E25:E28">
    <cfRule type="cellIs" dxfId="252" priority="5" operator="equal">
      <formula>"NO"</formula>
    </cfRule>
    <cfRule type="cellIs" dxfId="251" priority="6" operator="equal">
      <formula>"YES"</formula>
    </cfRule>
  </conditionalFormatting>
  <conditionalFormatting sqref="E31">
    <cfRule type="cellIs" dxfId="250" priority="2" operator="between">
      <formula>10%</formula>
      <formula>12%</formula>
    </cfRule>
    <cfRule type="cellIs" dxfId="249" priority="3" operator="lessThan">
      <formula>0.1</formula>
    </cfRule>
    <cfRule type="cellIs" dxfId="248" priority="4" operator="greaterThan">
      <formula>0.12</formula>
    </cfRule>
  </conditionalFormatting>
  <conditionalFormatting sqref="E30">
    <cfRule type="cellIs" dxfId="247" priority="7" operator="lessThan">
      <formula>$B$8*100</formula>
    </cfRule>
    <cfRule type="cellIs" dxfId="246" priority="8" operator="greaterThan">
      <formula>$B$8*100</formula>
    </cfRule>
  </conditionalFormatting>
  <conditionalFormatting sqref="B46:B47">
    <cfRule type="cellIs" dxfId="245" priority="1" operator="greaterThan">
      <formula>0</formula>
    </cfRule>
  </conditionalFormatting>
  <hyperlinks>
    <hyperlink ref="A34" r:id="rId1" display="https://www.zillow.com/homes/recently_sold/" xr:uid="{774309F7-E825-4281-B07A-83D750BC9773}"/>
    <hyperlink ref="A23" r:id="rId2" xr:uid="{EEE16E15-1A37-4721-B7EE-91B917271652}"/>
    <hyperlink ref="A27" r:id="rId3" display="www.mortgagecalculator.org" xr:uid="{EF51F90B-8831-4ED1-94CD-86AD867C47C2}"/>
    <hyperlink ref="A12" r:id="rId4" xr:uid="{E522B06A-2CA4-4B03-B258-47D26AFC21DC}"/>
  </hyperlinks>
  <pageMargins left="0.7" right="0.7" top="0.75" bottom="0.75" header="0.3" footer="0.3"/>
  <drawing r:id="rId5"/>
  <legacyDrawing r:id="rId6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1C22-D0C4-46F4-ADC3-5E1647F84A2C}">
  <sheetPr>
    <tabColor rgb="FFFF0000"/>
  </sheetPr>
  <dimension ref="A1:P47"/>
  <sheetViews>
    <sheetView workbookViewId="0">
      <selection activeCell="B30" sqref="B3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332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154900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4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2480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155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B7*0.9</f>
        <v>139410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37200</v>
      </c>
      <c r="D15" s="2"/>
      <c r="E15" s="3"/>
    </row>
    <row r="16" spans="1:10" x14ac:dyDescent="0.25">
      <c r="A16" s="7" t="s">
        <v>20</v>
      </c>
      <c r="B16" s="17">
        <f>B15+B13</f>
        <v>176610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6181.35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254</v>
      </c>
      <c r="B19" s="17">
        <f>B17+B18</f>
        <v>8681.35</v>
      </c>
      <c r="D19" s="66"/>
      <c r="E19" s="67"/>
      <c r="P19" s="21"/>
    </row>
    <row r="20" spans="1:16" x14ac:dyDescent="0.25">
      <c r="A20" s="7" t="s">
        <v>23</v>
      </c>
      <c r="B20" s="17">
        <f>B16-B17</f>
        <v>170428.65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f>500*4</f>
        <v>2000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1766.1000000000001</v>
      </c>
      <c r="D24" s="7" t="s">
        <v>77</v>
      </c>
      <c r="E24" s="17">
        <f>B16*0.01</f>
        <v>1766.1000000000001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YES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>
        <v>140</v>
      </c>
    </row>
    <row r="27" spans="1:16" ht="15.75" thickBot="1" x14ac:dyDescent="0.3">
      <c r="A27" s="26" t="s">
        <v>37</v>
      </c>
      <c r="B27" s="8">
        <v>1169.3499999999999</v>
      </c>
      <c r="D27" s="7" t="s">
        <v>38</v>
      </c>
      <c r="E27" s="35">
        <f>B27</f>
        <v>1169.3499999999999</v>
      </c>
      <c r="G27" s="36" t="s">
        <v>39</v>
      </c>
      <c r="H27" s="37"/>
      <c r="I27" s="38">
        <f>SUM(I23:I26)</f>
        <v>140</v>
      </c>
    </row>
    <row r="28" spans="1:16" x14ac:dyDescent="0.25">
      <c r="A28" s="7" t="s">
        <v>40</v>
      </c>
      <c r="B28" s="17">
        <f>B27+I27+I36</f>
        <v>1809.35</v>
      </c>
      <c r="D28" s="7" t="s">
        <v>41</v>
      </c>
      <c r="E28" s="17">
        <f>E27+I27+I36</f>
        <v>1809.35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190.65000000000009</v>
      </c>
      <c r="D30" s="7" t="s">
        <v>43</v>
      </c>
      <c r="E30" s="44">
        <f>E23-E27-I27-I36+I26+I35</f>
        <v>-419.34999999999991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0.26353044169397627</v>
      </c>
      <c r="D31" s="46" t="s">
        <v>44</v>
      </c>
      <c r="E31" s="47">
        <f>(E30*12)/B19</f>
        <v>-0.57965638984720103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100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100</v>
      </c>
    </row>
    <row r="34" spans="1:9" x14ac:dyDescent="0.25">
      <c r="A34" s="26" t="s">
        <v>49</v>
      </c>
      <c r="B34" s="8">
        <f>B16</f>
        <v>176610</v>
      </c>
      <c r="G34" s="27" t="s">
        <v>50</v>
      </c>
      <c r="H34" s="48">
        <v>0.05</v>
      </c>
      <c r="I34" s="49">
        <f>$B$23*H34</f>
        <v>100</v>
      </c>
    </row>
    <row r="35" spans="1:9" x14ac:dyDescent="0.25">
      <c r="A35" s="7" t="s">
        <v>51</v>
      </c>
      <c r="B35" s="17">
        <f>B34-B20</f>
        <v>6181.3500000000058</v>
      </c>
      <c r="G35" s="27" t="s">
        <v>52</v>
      </c>
      <c r="H35" s="48">
        <v>0.1</v>
      </c>
      <c r="I35" s="49">
        <f>$B$23*H35</f>
        <v>200</v>
      </c>
    </row>
    <row r="36" spans="1:9" ht="15.75" thickBot="1" x14ac:dyDescent="0.3">
      <c r="A36" s="7" t="s">
        <v>53</v>
      </c>
      <c r="B36" s="50">
        <f>B35/B17</f>
        <v>1.0000000000000009</v>
      </c>
      <c r="G36" s="36" t="s">
        <v>39</v>
      </c>
      <c r="H36" s="37"/>
      <c r="I36" s="51">
        <f>SUM(I32:I35)</f>
        <v>500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120.72029375</v>
      </c>
      <c r="D41" s="58"/>
      <c r="E41" s="61"/>
    </row>
    <row r="42" spans="1:9" x14ac:dyDescent="0.25">
      <c r="A42" s="7" t="s">
        <v>58</v>
      </c>
      <c r="B42" s="17">
        <f>B27-B41</f>
        <v>1048.6297062499998</v>
      </c>
      <c r="D42" s="58"/>
      <c r="E42" s="61"/>
    </row>
    <row r="43" spans="1:9" x14ac:dyDescent="0.25">
      <c r="A43" s="7" t="s">
        <v>59</v>
      </c>
      <c r="B43" s="43">
        <f>B23-B42-I27-I36</f>
        <v>311.3702937500002</v>
      </c>
      <c r="D43" s="58"/>
      <c r="E43" s="61"/>
    </row>
    <row r="44" spans="1:9" ht="15.75" thickBot="1" x14ac:dyDescent="0.3">
      <c r="A44" s="46" t="s">
        <v>44</v>
      </c>
      <c r="B44" s="47">
        <f>(B43*12)/B17</f>
        <v>0.60447046761629775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1412.8799999999999</v>
      </c>
    </row>
    <row r="47" spans="1:9" ht="15.75" thickBot="1" x14ac:dyDescent="0.3">
      <c r="A47" s="63" t="s">
        <v>251</v>
      </c>
      <c r="B47" s="65">
        <f>B16*0.02</f>
        <v>3532.2000000000003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44" priority="29" operator="equal">
      <formula>"NO"</formula>
    </cfRule>
    <cfRule type="cellIs" dxfId="243" priority="30" operator="equal">
      <formula>"YES"</formula>
    </cfRule>
  </conditionalFormatting>
  <conditionalFormatting sqref="E40">
    <cfRule type="cellIs" dxfId="242" priority="27" operator="equal">
      <formula>"YES"</formula>
    </cfRule>
    <cfRule type="cellIs" dxfId="241" priority="28" operator="equal">
      <formula>"NO"</formula>
    </cfRule>
  </conditionalFormatting>
  <conditionalFormatting sqref="B25">
    <cfRule type="cellIs" dxfId="240" priority="25" operator="equal">
      <formula>"NO"</formula>
    </cfRule>
    <cfRule type="cellIs" dxfId="239" priority="26" operator="equal">
      <formula>"YES"</formula>
    </cfRule>
  </conditionalFormatting>
  <conditionalFormatting sqref="B12">
    <cfRule type="containsText" dxfId="238" priority="11" operator="containsText" text="Low">
      <formula>NOT(ISERROR(SEARCH("Low",B12)))</formula>
    </cfRule>
    <cfRule type="containsText" dxfId="237" priority="12" operator="containsText" text="Medium">
      <formula>NOT(ISERROR(SEARCH("Medium",B12)))</formula>
    </cfRule>
    <cfRule type="containsText" dxfId="236" priority="13" operator="containsText" text="High">
      <formula>NOT(ISERROR(SEARCH("High",B12)))</formula>
    </cfRule>
  </conditionalFormatting>
  <conditionalFormatting sqref="B31">
    <cfRule type="cellIs" dxfId="235" priority="21" operator="between">
      <formula>10%</formula>
      <formula>11.9%</formula>
    </cfRule>
    <cfRule type="cellIs" dxfId="234" priority="23" operator="lessThan">
      <formula>0.1</formula>
    </cfRule>
    <cfRule type="cellIs" dxfId="233" priority="24" operator="greaterThanOrEqual">
      <formula>0.12</formula>
    </cfRule>
  </conditionalFormatting>
  <conditionalFormatting sqref="B44">
    <cfRule type="cellIs" dxfId="232" priority="19" operator="between">
      <formula>0.1</formula>
      <formula>0.1199</formula>
    </cfRule>
    <cfRule type="cellIs" dxfId="231" priority="20" operator="lessThan">
      <formula>0.1</formula>
    </cfRule>
    <cfRule type="cellIs" dxfId="230" priority="22" operator="greaterThanOrEqual">
      <formula>0.12</formula>
    </cfRule>
  </conditionalFormatting>
  <conditionalFormatting sqref="B10">
    <cfRule type="containsText" dxfId="229" priority="14" operator="containsText" text="Full">
      <formula>NOT(ISERROR(SEARCH("Full",B10)))</formula>
    </cfRule>
    <cfRule type="containsText" dxfId="228" priority="15" operator="containsText" text="Heavy">
      <formula>NOT(ISERROR(SEARCH("Heavy",B10)))</formula>
    </cfRule>
    <cfRule type="containsText" dxfId="227" priority="16" operator="containsText" text="Medium">
      <formula>NOT(ISERROR(SEARCH("Medium",B10)))</formula>
    </cfRule>
    <cfRule type="containsText" dxfId="226" priority="17" operator="containsText" text="Light">
      <formula>NOT(ISERROR(SEARCH("Light",B10)))</formula>
    </cfRule>
    <cfRule type="containsText" dxfId="225" priority="18" operator="containsText" text="None">
      <formula>NOT(ISERROR(SEARCH("None",B10)))</formula>
    </cfRule>
  </conditionalFormatting>
  <conditionalFormatting sqref="B30">
    <cfRule type="cellIs" dxfId="224" priority="31" operator="lessThan">
      <formula>$B$8*100</formula>
    </cfRule>
    <cfRule type="cellIs" dxfId="223" priority="32" operator="greaterThanOrEqual">
      <formula>$B$8*100</formula>
    </cfRule>
  </conditionalFormatting>
  <conditionalFormatting sqref="B43">
    <cfRule type="cellIs" dxfId="222" priority="33" operator="lessThan">
      <formula>$B$8*100</formula>
    </cfRule>
    <cfRule type="cellIs" dxfId="221" priority="34" operator="greaterThan">
      <formula>$B$8*100</formula>
    </cfRule>
    <cfRule type="cellIs" dxfId="220" priority="35" operator="greaterThan">
      <formula>$B$8*100</formula>
    </cfRule>
  </conditionalFormatting>
  <conditionalFormatting sqref="B40">
    <cfRule type="cellIs" dxfId="219" priority="9" operator="equal">
      <formula>"YES"</formula>
    </cfRule>
    <cfRule type="cellIs" dxfId="218" priority="10" operator="equal">
      <formula>"NO"</formula>
    </cfRule>
  </conditionalFormatting>
  <conditionalFormatting sqref="E25:E28">
    <cfRule type="cellIs" dxfId="217" priority="5" operator="equal">
      <formula>"NO"</formula>
    </cfRule>
    <cfRule type="cellIs" dxfId="216" priority="6" operator="equal">
      <formula>"YES"</formula>
    </cfRule>
  </conditionalFormatting>
  <conditionalFormatting sqref="E31">
    <cfRule type="cellIs" dxfId="215" priority="2" operator="between">
      <formula>10%</formula>
      <formula>12%</formula>
    </cfRule>
    <cfRule type="cellIs" dxfId="214" priority="3" operator="lessThan">
      <formula>0.1</formula>
    </cfRule>
    <cfRule type="cellIs" dxfId="213" priority="4" operator="greaterThan">
      <formula>0.12</formula>
    </cfRule>
  </conditionalFormatting>
  <conditionalFormatting sqref="E30">
    <cfRule type="cellIs" dxfId="212" priority="7" operator="lessThan">
      <formula>$B$8*100</formula>
    </cfRule>
    <cfRule type="cellIs" dxfId="211" priority="8" operator="greaterThan">
      <formula>$B$8*100</formula>
    </cfRule>
  </conditionalFormatting>
  <conditionalFormatting sqref="B46:B47">
    <cfRule type="cellIs" dxfId="210" priority="1" operator="greaterThan">
      <formula>0</formula>
    </cfRule>
  </conditionalFormatting>
  <hyperlinks>
    <hyperlink ref="A34" r:id="rId1" display="https://www.zillow.com/homes/recently_sold/" xr:uid="{54FDB968-7CCC-484E-AE43-97331746FA3C}"/>
    <hyperlink ref="A23" r:id="rId2" xr:uid="{F0BE456D-C72D-4C23-B054-23E4F639A132}"/>
    <hyperlink ref="A27" r:id="rId3" display="www.mortgagecalculator.org" xr:uid="{7924FE7D-4FC2-49F3-B055-EBF6621DFE0A}"/>
    <hyperlink ref="A12" r:id="rId4" xr:uid="{DC4E0D76-ADD4-4DF8-A25D-F92F963D5295}"/>
  </hyperlinks>
  <pageMargins left="0.7" right="0.7" top="0.75" bottom="0.75" header="0.3" footer="0.3"/>
  <drawing r:id="rId5"/>
  <legacyDrawing r:id="rId6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27F83-88E4-4FAA-88C0-864025C09B08}">
  <sheetPr>
    <tabColor rgb="FFFF0000"/>
  </sheetPr>
  <dimension ref="A1:P47"/>
  <sheetViews>
    <sheetView topLeftCell="A16" workbookViewId="0">
      <selection activeCell="C29" sqref="C29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333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94900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1820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102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80665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35</v>
      </c>
      <c r="D14" s="2"/>
      <c r="E14" s="3"/>
    </row>
    <row r="15" spans="1:10" x14ac:dyDescent="0.25">
      <c r="A15" s="7" t="s">
        <v>19</v>
      </c>
      <c r="B15" s="17">
        <f>B14*B9</f>
        <v>63700</v>
      </c>
      <c r="D15" s="2"/>
      <c r="E15" s="3"/>
    </row>
    <row r="16" spans="1:10" x14ac:dyDescent="0.25">
      <c r="A16" s="7" t="s">
        <v>20</v>
      </c>
      <c r="B16" s="17">
        <f>B15+B13</f>
        <v>144365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5052.7750000000005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254</v>
      </c>
      <c r="B19" s="17">
        <f>B17+B18</f>
        <v>7552.7750000000005</v>
      </c>
      <c r="D19" s="66"/>
      <c r="E19" s="67"/>
      <c r="P19" s="21"/>
    </row>
    <row r="20" spans="1:16" x14ac:dyDescent="0.25">
      <c r="A20" s="7" t="s">
        <v>23</v>
      </c>
      <c r="B20" s="17">
        <f>B16-B17</f>
        <v>139312.22500000001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f>686*2</f>
        <v>1372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1443.65</v>
      </c>
      <c r="D24" s="7" t="s">
        <v>77</v>
      </c>
      <c r="E24" s="17">
        <f>B16*0.01</f>
        <v>1443.65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1149.25</v>
      </c>
      <c r="D27" s="7" t="s">
        <v>38</v>
      </c>
      <c r="E27" s="35">
        <f>B27</f>
        <v>1149.25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1492.25</v>
      </c>
      <c r="D28" s="7" t="s">
        <v>41</v>
      </c>
      <c r="E28" s="17">
        <f>E27+I27+I36</f>
        <v>1492.25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-120.25</v>
      </c>
      <c r="D30" s="7" t="s">
        <v>43</v>
      </c>
      <c r="E30" s="44">
        <f>E23-E27-I27-I36+I26+I35</f>
        <v>-305.04999999999995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-0.19105560539007185</v>
      </c>
      <c r="D31" s="46" t="s">
        <v>44</v>
      </c>
      <c r="E31" s="47">
        <f>(E30*12)/B19</f>
        <v>-0.48466954198953355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68.600000000000009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68.600000000000009</v>
      </c>
    </row>
    <row r="34" spans="1:9" x14ac:dyDescent="0.25">
      <c r="A34" s="26" t="s">
        <v>49</v>
      </c>
      <c r="B34" s="8">
        <f>B16</f>
        <v>144365</v>
      </c>
      <c r="G34" s="27" t="s">
        <v>50</v>
      </c>
      <c r="H34" s="48">
        <v>0.05</v>
      </c>
      <c r="I34" s="49">
        <f>$B$23*H34</f>
        <v>68.600000000000009</v>
      </c>
    </row>
    <row r="35" spans="1:9" x14ac:dyDescent="0.25">
      <c r="A35" s="7" t="s">
        <v>51</v>
      </c>
      <c r="B35" s="17">
        <f>B34-B20</f>
        <v>5052.7749999999942</v>
      </c>
      <c r="G35" s="27" t="s">
        <v>52</v>
      </c>
      <c r="H35" s="48">
        <v>0.1</v>
      </c>
      <c r="I35" s="49">
        <f>$B$23*H35</f>
        <v>137.20000000000002</v>
      </c>
    </row>
    <row r="36" spans="1:9" ht="15.75" thickBot="1" x14ac:dyDescent="0.3">
      <c r="A36" s="7" t="s">
        <v>53</v>
      </c>
      <c r="B36" s="50">
        <f>B35/B17</f>
        <v>0.99999999999999878</v>
      </c>
      <c r="G36" s="36" t="s">
        <v>39</v>
      </c>
      <c r="H36" s="37"/>
      <c r="I36" s="51">
        <f>SUM(I32:I35)</f>
        <v>343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0.96500000000000008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98.679492708333342</v>
      </c>
      <c r="D41" s="58"/>
      <c r="E41" s="61"/>
    </row>
    <row r="42" spans="1:9" x14ac:dyDescent="0.25">
      <c r="A42" s="7" t="s">
        <v>58</v>
      </c>
      <c r="B42" s="17">
        <f>B27-B41</f>
        <v>1050.5705072916667</v>
      </c>
      <c r="D42" s="58"/>
      <c r="E42" s="61"/>
    </row>
    <row r="43" spans="1:9" x14ac:dyDescent="0.25">
      <c r="A43" s="7" t="s">
        <v>59</v>
      </c>
      <c r="B43" s="43">
        <f>B23-B42-I27-I36</f>
        <v>-21.570507291666672</v>
      </c>
      <c r="D43" s="58"/>
      <c r="E43" s="61"/>
    </row>
    <row r="44" spans="1:9" ht="15.75" thickBot="1" x14ac:dyDescent="0.3">
      <c r="A44" s="46" t="s">
        <v>44</v>
      </c>
      <c r="B44" s="47">
        <f>(B43*12)/B17</f>
        <v>-5.1228500675371463E-2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1154.92</v>
      </c>
    </row>
    <row r="47" spans="1:9" ht="15.75" thickBot="1" x14ac:dyDescent="0.3">
      <c r="A47" s="63" t="s">
        <v>251</v>
      </c>
      <c r="B47" s="65">
        <f>B16*0.02</f>
        <v>2887.3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209" priority="29" operator="equal">
      <formula>"NO"</formula>
    </cfRule>
    <cfRule type="cellIs" dxfId="208" priority="30" operator="equal">
      <formula>"YES"</formula>
    </cfRule>
  </conditionalFormatting>
  <conditionalFormatting sqref="E40">
    <cfRule type="cellIs" dxfId="207" priority="27" operator="equal">
      <formula>"YES"</formula>
    </cfRule>
    <cfRule type="cellIs" dxfId="206" priority="28" operator="equal">
      <formula>"NO"</formula>
    </cfRule>
  </conditionalFormatting>
  <conditionalFormatting sqref="B25">
    <cfRule type="cellIs" dxfId="205" priority="25" operator="equal">
      <formula>"NO"</formula>
    </cfRule>
    <cfRule type="cellIs" dxfId="204" priority="26" operator="equal">
      <formula>"YES"</formula>
    </cfRule>
  </conditionalFormatting>
  <conditionalFormatting sqref="B12">
    <cfRule type="containsText" dxfId="203" priority="11" operator="containsText" text="Low">
      <formula>NOT(ISERROR(SEARCH("Low",B12)))</formula>
    </cfRule>
    <cfRule type="containsText" dxfId="202" priority="12" operator="containsText" text="Medium">
      <formula>NOT(ISERROR(SEARCH("Medium",B12)))</formula>
    </cfRule>
    <cfRule type="containsText" dxfId="201" priority="13" operator="containsText" text="High">
      <formula>NOT(ISERROR(SEARCH("High",B12)))</formula>
    </cfRule>
  </conditionalFormatting>
  <conditionalFormatting sqref="B31">
    <cfRule type="cellIs" dxfId="200" priority="21" operator="between">
      <formula>10%</formula>
      <formula>11.9%</formula>
    </cfRule>
    <cfRule type="cellIs" dxfId="199" priority="23" operator="lessThan">
      <formula>0.1</formula>
    </cfRule>
    <cfRule type="cellIs" dxfId="198" priority="24" operator="greaterThanOrEqual">
      <formula>0.12</formula>
    </cfRule>
  </conditionalFormatting>
  <conditionalFormatting sqref="B44">
    <cfRule type="cellIs" dxfId="197" priority="19" operator="between">
      <formula>0.1</formula>
      <formula>0.1199</formula>
    </cfRule>
    <cfRule type="cellIs" dxfId="196" priority="20" operator="lessThan">
      <formula>0.1</formula>
    </cfRule>
    <cfRule type="cellIs" dxfId="195" priority="22" operator="greaterThanOrEqual">
      <formula>0.12</formula>
    </cfRule>
  </conditionalFormatting>
  <conditionalFormatting sqref="B10">
    <cfRule type="containsText" dxfId="194" priority="14" operator="containsText" text="Full">
      <formula>NOT(ISERROR(SEARCH("Full",B10)))</formula>
    </cfRule>
    <cfRule type="containsText" dxfId="193" priority="15" operator="containsText" text="Heavy">
      <formula>NOT(ISERROR(SEARCH("Heavy",B10)))</formula>
    </cfRule>
    <cfRule type="containsText" dxfId="192" priority="16" operator="containsText" text="Medium">
      <formula>NOT(ISERROR(SEARCH("Medium",B10)))</formula>
    </cfRule>
    <cfRule type="containsText" dxfId="191" priority="17" operator="containsText" text="Light">
      <formula>NOT(ISERROR(SEARCH("Light",B10)))</formula>
    </cfRule>
    <cfRule type="containsText" dxfId="190" priority="18" operator="containsText" text="None">
      <formula>NOT(ISERROR(SEARCH("None",B10)))</formula>
    </cfRule>
  </conditionalFormatting>
  <conditionalFormatting sqref="B30">
    <cfRule type="cellIs" dxfId="189" priority="31" operator="lessThan">
      <formula>$B$8*100</formula>
    </cfRule>
    <cfRule type="cellIs" dxfId="188" priority="32" operator="greaterThanOrEqual">
      <formula>$B$8*100</formula>
    </cfRule>
  </conditionalFormatting>
  <conditionalFormatting sqref="B43">
    <cfRule type="cellIs" dxfId="187" priority="33" operator="lessThan">
      <formula>$B$8*100</formula>
    </cfRule>
    <cfRule type="cellIs" dxfId="186" priority="34" operator="greaterThan">
      <formula>$B$8*100</formula>
    </cfRule>
    <cfRule type="cellIs" dxfId="185" priority="35" operator="greaterThan">
      <formula>$B$8*100</formula>
    </cfRule>
  </conditionalFormatting>
  <conditionalFormatting sqref="B40">
    <cfRule type="cellIs" dxfId="184" priority="9" operator="equal">
      <formula>"YES"</formula>
    </cfRule>
    <cfRule type="cellIs" dxfId="183" priority="10" operator="equal">
      <formula>"NO"</formula>
    </cfRule>
  </conditionalFormatting>
  <conditionalFormatting sqref="E25:E28">
    <cfRule type="cellIs" dxfId="182" priority="5" operator="equal">
      <formula>"NO"</formula>
    </cfRule>
    <cfRule type="cellIs" dxfId="181" priority="6" operator="equal">
      <formula>"YES"</formula>
    </cfRule>
  </conditionalFormatting>
  <conditionalFormatting sqref="E31">
    <cfRule type="cellIs" dxfId="180" priority="2" operator="between">
      <formula>10%</formula>
      <formula>12%</formula>
    </cfRule>
    <cfRule type="cellIs" dxfId="179" priority="3" operator="lessThan">
      <formula>0.1</formula>
    </cfRule>
    <cfRule type="cellIs" dxfId="178" priority="4" operator="greaterThan">
      <formula>0.12</formula>
    </cfRule>
  </conditionalFormatting>
  <conditionalFormatting sqref="E30">
    <cfRule type="cellIs" dxfId="177" priority="7" operator="lessThan">
      <formula>$B$8*100</formula>
    </cfRule>
    <cfRule type="cellIs" dxfId="176" priority="8" operator="greaterThan">
      <formula>$B$8*100</formula>
    </cfRule>
  </conditionalFormatting>
  <conditionalFormatting sqref="B46:B47">
    <cfRule type="cellIs" dxfId="175" priority="1" operator="greaterThan">
      <formula>0</formula>
    </cfRule>
  </conditionalFormatting>
  <hyperlinks>
    <hyperlink ref="A34" r:id="rId1" display="https://www.zillow.com/homes/recently_sold/" xr:uid="{52DD274C-00E0-4670-B0A4-DDFA2506BD1B}"/>
    <hyperlink ref="A23" r:id="rId2" xr:uid="{53ABBA2E-7FA7-44A7-B1C6-8C8719FDDCA3}"/>
    <hyperlink ref="A27" r:id="rId3" display="www.mortgagecalculator.org" xr:uid="{B98A7EF1-B86D-4A31-8CCE-501DD7083AC3}"/>
    <hyperlink ref="A12" r:id="rId4" xr:uid="{92889356-4AFD-441D-A37F-60907597A1C9}"/>
  </hyperlinks>
  <pageMargins left="0.7" right="0.7" top="0.75" bottom="0.75" header="0.3" footer="0.3"/>
  <drawing r:id="rId5"/>
  <legacyDrawing r:id="rId6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3E17-F8D0-4392-9F0F-AF9E3D970627}">
  <sheetPr>
    <tabColor rgb="FFFF0000"/>
  </sheetPr>
  <dimension ref="A1:P47"/>
  <sheetViews>
    <sheetView topLeftCell="A17" workbookViewId="0">
      <selection activeCell="B28" sqref="B28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334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149900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1764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71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127415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15</v>
      </c>
      <c r="D14" s="2"/>
      <c r="E14" s="3"/>
    </row>
    <row r="15" spans="1:10" x14ac:dyDescent="0.25">
      <c r="A15" s="7" t="s">
        <v>19</v>
      </c>
      <c r="B15" s="17">
        <f>B14*B9</f>
        <v>26460</v>
      </c>
      <c r="D15" s="2"/>
      <c r="E15" s="3"/>
    </row>
    <row r="16" spans="1:10" x14ac:dyDescent="0.25">
      <c r="A16" s="7" t="s">
        <v>20</v>
      </c>
      <c r="B16" s="17">
        <f>B15+B13</f>
        <v>153875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5385.6250000000009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385.62500000000091</v>
      </c>
      <c r="D19" s="66"/>
      <c r="E19" s="67"/>
      <c r="P19" s="21"/>
    </row>
    <row r="20" spans="1:16" x14ac:dyDescent="0.25">
      <c r="A20" s="7" t="s">
        <v>23</v>
      </c>
      <c r="B20" s="17">
        <f>B16-B17</f>
        <v>148489.375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f>683*2</f>
        <v>1366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1538.75</v>
      </c>
      <c r="D24" s="7" t="s">
        <v>77</v>
      </c>
      <c r="E24" s="17">
        <f>B16*0.01</f>
        <v>1538.75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1221.96</v>
      </c>
      <c r="D27" s="7" t="s">
        <v>38</v>
      </c>
      <c r="E27" s="35">
        <f>B27</f>
        <v>1221.96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1563.46</v>
      </c>
      <c r="D28" s="7" t="s">
        <v>41</v>
      </c>
      <c r="E28" s="17">
        <f>E27+I27+I36</f>
        <v>1563.46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-197.46000000000004</v>
      </c>
      <c r="D30" s="7" t="s">
        <v>43</v>
      </c>
      <c r="E30" s="44">
        <f>E23-E27-I27-I36+I26+I35</f>
        <v>-376.86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-6.1446223662884796</v>
      </c>
      <c r="D31" s="46" t="s">
        <v>44</v>
      </c>
      <c r="E31" s="47">
        <f>(E30*12)/B19</f>
        <v>-11.727247974068042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68.3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68.3</v>
      </c>
    </row>
    <row r="34" spans="1:9" x14ac:dyDescent="0.25">
      <c r="A34" s="26" t="s">
        <v>49</v>
      </c>
      <c r="B34" s="8">
        <f>B16</f>
        <v>153875</v>
      </c>
      <c r="G34" s="27" t="s">
        <v>50</v>
      </c>
      <c r="H34" s="48">
        <v>0.05</v>
      </c>
      <c r="I34" s="49">
        <f>$B$23*H34</f>
        <v>68.3</v>
      </c>
    </row>
    <row r="35" spans="1:9" x14ac:dyDescent="0.25">
      <c r="A35" s="7" t="s">
        <v>51</v>
      </c>
      <c r="B35" s="17">
        <f>B34-B20</f>
        <v>5385.625</v>
      </c>
      <c r="G35" s="27" t="s">
        <v>52</v>
      </c>
      <c r="H35" s="48">
        <v>0.1</v>
      </c>
      <c r="I35" s="49">
        <f>$B$23*H35</f>
        <v>136.6</v>
      </c>
    </row>
    <row r="36" spans="1:9" ht="15.75" thickBot="1" x14ac:dyDescent="0.3">
      <c r="A36" s="7" t="s">
        <v>53</v>
      </c>
      <c r="B36" s="50">
        <f>B35/B17</f>
        <v>0.99999999999999978</v>
      </c>
      <c r="G36" s="36" t="s">
        <v>39</v>
      </c>
      <c r="H36" s="37"/>
      <c r="I36" s="51">
        <f>SUM(I32:I35)</f>
        <v>341.5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0.96499999999999997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105.17997395833333</v>
      </c>
      <c r="D41" s="58"/>
      <c r="E41" s="61"/>
    </row>
    <row r="42" spans="1:9" x14ac:dyDescent="0.25">
      <c r="A42" s="7" t="s">
        <v>58</v>
      </c>
      <c r="B42" s="17">
        <f>B27-B41</f>
        <v>1116.7800260416666</v>
      </c>
      <c r="D42" s="58"/>
      <c r="E42" s="61"/>
    </row>
    <row r="43" spans="1:9" x14ac:dyDescent="0.25">
      <c r="A43" s="7" t="s">
        <v>59</v>
      </c>
      <c r="B43" s="43">
        <f>B23-B42-I27-I36</f>
        <v>-92.280026041666588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-0.20561407682488084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1231</v>
      </c>
    </row>
    <row r="47" spans="1:9" ht="15.75" thickBot="1" x14ac:dyDescent="0.3">
      <c r="A47" s="63" t="s">
        <v>251</v>
      </c>
      <c r="B47" s="65">
        <f>B16*0.02</f>
        <v>3077.5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74" priority="29" operator="equal">
      <formula>"NO"</formula>
    </cfRule>
    <cfRule type="cellIs" dxfId="173" priority="30" operator="equal">
      <formula>"YES"</formula>
    </cfRule>
  </conditionalFormatting>
  <conditionalFormatting sqref="E40">
    <cfRule type="cellIs" dxfId="172" priority="27" operator="equal">
      <formula>"YES"</formula>
    </cfRule>
    <cfRule type="cellIs" dxfId="171" priority="28" operator="equal">
      <formula>"NO"</formula>
    </cfRule>
  </conditionalFormatting>
  <conditionalFormatting sqref="B25">
    <cfRule type="cellIs" dxfId="170" priority="25" operator="equal">
      <formula>"NO"</formula>
    </cfRule>
    <cfRule type="cellIs" dxfId="169" priority="26" operator="equal">
      <formula>"YES"</formula>
    </cfRule>
  </conditionalFormatting>
  <conditionalFormatting sqref="B12">
    <cfRule type="containsText" dxfId="168" priority="11" operator="containsText" text="Low">
      <formula>NOT(ISERROR(SEARCH("Low",B12)))</formula>
    </cfRule>
    <cfRule type="containsText" dxfId="167" priority="12" operator="containsText" text="Medium">
      <formula>NOT(ISERROR(SEARCH("Medium",B12)))</formula>
    </cfRule>
    <cfRule type="containsText" dxfId="166" priority="13" operator="containsText" text="High">
      <formula>NOT(ISERROR(SEARCH("High",B12)))</formula>
    </cfRule>
  </conditionalFormatting>
  <conditionalFormatting sqref="B31">
    <cfRule type="cellIs" dxfId="165" priority="21" operator="between">
      <formula>10%</formula>
      <formula>11.9%</formula>
    </cfRule>
    <cfRule type="cellIs" dxfId="164" priority="23" operator="lessThan">
      <formula>0.1</formula>
    </cfRule>
    <cfRule type="cellIs" dxfId="163" priority="24" operator="greaterThanOrEqual">
      <formula>0.12</formula>
    </cfRule>
  </conditionalFormatting>
  <conditionalFormatting sqref="B44">
    <cfRule type="cellIs" dxfId="162" priority="19" operator="between">
      <formula>0.1</formula>
      <formula>0.1199</formula>
    </cfRule>
    <cfRule type="cellIs" dxfId="161" priority="20" operator="lessThan">
      <formula>0.1</formula>
    </cfRule>
    <cfRule type="cellIs" dxfId="160" priority="22" operator="greaterThanOrEqual">
      <formula>0.12</formula>
    </cfRule>
  </conditionalFormatting>
  <conditionalFormatting sqref="B10">
    <cfRule type="containsText" dxfId="159" priority="14" operator="containsText" text="Full">
      <formula>NOT(ISERROR(SEARCH("Full",B10)))</formula>
    </cfRule>
    <cfRule type="containsText" dxfId="158" priority="15" operator="containsText" text="Heavy">
      <formula>NOT(ISERROR(SEARCH("Heavy",B10)))</formula>
    </cfRule>
    <cfRule type="containsText" dxfId="157" priority="16" operator="containsText" text="Medium">
      <formula>NOT(ISERROR(SEARCH("Medium",B10)))</formula>
    </cfRule>
    <cfRule type="containsText" dxfId="156" priority="17" operator="containsText" text="Light">
      <formula>NOT(ISERROR(SEARCH("Light",B10)))</formula>
    </cfRule>
    <cfRule type="containsText" dxfId="155" priority="18" operator="containsText" text="None">
      <formula>NOT(ISERROR(SEARCH("None",B10)))</formula>
    </cfRule>
  </conditionalFormatting>
  <conditionalFormatting sqref="B30">
    <cfRule type="cellIs" dxfId="154" priority="31" operator="lessThan">
      <formula>$B$8*100</formula>
    </cfRule>
    <cfRule type="cellIs" dxfId="153" priority="32" operator="greaterThanOrEqual">
      <formula>$B$8*100</formula>
    </cfRule>
  </conditionalFormatting>
  <conditionalFormatting sqref="B43">
    <cfRule type="cellIs" dxfId="152" priority="33" operator="lessThan">
      <formula>$B$8*100</formula>
    </cfRule>
    <cfRule type="cellIs" dxfId="151" priority="34" operator="greaterThan">
      <formula>$B$8*100</formula>
    </cfRule>
    <cfRule type="cellIs" dxfId="150" priority="35" operator="greaterThan">
      <formula>$B$8*100</formula>
    </cfRule>
  </conditionalFormatting>
  <conditionalFormatting sqref="B40">
    <cfRule type="cellIs" dxfId="149" priority="9" operator="equal">
      <formula>"YES"</formula>
    </cfRule>
    <cfRule type="cellIs" dxfId="148" priority="10" operator="equal">
      <formula>"NO"</formula>
    </cfRule>
  </conditionalFormatting>
  <conditionalFormatting sqref="E25:E28">
    <cfRule type="cellIs" dxfId="147" priority="5" operator="equal">
      <formula>"NO"</formula>
    </cfRule>
    <cfRule type="cellIs" dxfId="146" priority="6" operator="equal">
      <formula>"YES"</formula>
    </cfRule>
  </conditionalFormatting>
  <conditionalFormatting sqref="E31">
    <cfRule type="cellIs" dxfId="145" priority="2" operator="between">
      <formula>10%</formula>
      <formula>12%</formula>
    </cfRule>
    <cfRule type="cellIs" dxfId="144" priority="3" operator="lessThan">
      <formula>0.1</formula>
    </cfRule>
    <cfRule type="cellIs" dxfId="143" priority="4" operator="greaterThan">
      <formula>0.12</formula>
    </cfRule>
  </conditionalFormatting>
  <conditionalFormatting sqref="E30">
    <cfRule type="cellIs" dxfId="142" priority="7" operator="lessThan">
      <formula>$B$8*100</formula>
    </cfRule>
    <cfRule type="cellIs" dxfId="141" priority="8" operator="greaterThan">
      <formula>$B$8*100</formula>
    </cfRule>
  </conditionalFormatting>
  <conditionalFormatting sqref="B46:B47">
    <cfRule type="cellIs" dxfId="140" priority="1" operator="greaterThan">
      <formula>0</formula>
    </cfRule>
  </conditionalFormatting>
  <hyperlinks>
    <hyperlink ref="A34" r:id="rId1" display="https://www.zillow.com/homes/recently_sold/" xr:uid="{13A037A4-6FBC-4FD3-A77C-6CF04C538F1D}"/>
    <hyperlink ref="A23" r:id="rId2" xr:uid="{4F757FF7-3C63-40D6-978D-2977972C397B}"/>
    <hyperlink ref="A27" r:id="rId3" display="www.mortgagecalculator.org" xr:uid="{BC1132CE-F466-4AFA-A2B2-35AB340AFC4A}"/>
    <hyperlink ref="A12" r:id="rId4" xr:uid="{57D031F4-E638-421D-BFF2-0B4FF408631F}"/>
  </hyperlinks>
  <pageMargins left="0.7" right="0.7" top="0.75" bottom="0.75" header="0.3" footer="0.3"/>
  <drawing r:id="rId5"/>
  <legacyDrawing r:id="rId6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837E-25D9-4D8C-8645-C76605A74908}">
  <dimension ref="A1:P47"/>
  <sheetViews>
    <sheetView tabSelected="1" workbookViewId="0">
      <selection activeCell="B40" sqref="B40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152915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152915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7645.75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2645.75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145269.25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1217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1529.15</v>
      </c>
      <c r="D24" s="7" t="s">
        <v>77</v>
      </c>
      <c r="E24" s="17">
        <f>B16*0.01</f>
        <v>1529.15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1501.53</v>
      </c>
      <c r="D27" s="7" t="s">
        <v>38</v>
      </c>
      <c r="E27" s="35">
        <f>B27</f>
        <v>1501.53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1805.78</v>
      </c>
      <c r="D28" s="7" t="s">
        <v>41</v>
      </c>
      <c r="E28" s="17">
        <f>E27+I27+I36</f>
        <v>1805.78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-588.78</v>
      </c>
      <c r="D30" s="7" t="s">
        <v>43</v>
      </c>
      <c r="E30" s="44">
        <f>E23-E27-I27-I36+I26+I35</f>
        <v>-634.07999999999993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-2.6704563923273175</v>
      </c>
      <c r="D31" s="46" t="s">
        <v>44</v>
      </c>
      <c r="E31" s="47">
        <f>(E30*12)/B19</f>
        <v>-2.8759179816687137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60.85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60.85</v>
      </c>
    </row>
    <row r="34" spans="1:9" x14ac:dyDescent="0.25">
      <c r="A34" s="26" t="s">
        <v>49</v>
      </c>
      <c r="B34" s="8">
        <f>B16</f>
        <v>152915</v>
      </c>
      <c r="G34" s="27" t="s">
        <v>50</v>
      </c>
      <c r="H34" s="48">
        <v>0.05</v>
      </c>
      <c r="I34" s="49">
        <f>$B$23*H34</f>
        <v>60.85</v>
      </c>
    </row>
    <row r="35" spans="1:9" x14ac:dyDescent="0.25">
      <c r="A35" s="7" t="s">
        <v>51</v>
      </c>
      <c r="B35" s="17">
        <f>B34-B20</f>
        <v>7645.75</v>
      </c>
      <c r="G35" s="27" t="s">
        <v>52</v>
      </c>
      <c r="H35" s="48">
        <v>0.1</v>
      </c>
      <c r="I35" s="49">
        <f>$B$23*H35</f>
        <v>121.7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102.89905208333334</v>
      </c>
      <c r="D41" s="58"/>
      <c r="E41" s="61"/>
    </row>
    <row r="42" spans="1:9" x14ac:dyDescent="0.25">
      <c r="A42" s="7" t="s">
        <v>58</v>
      </c>
      <c r="B42" s="17">
        <f>B27-B41</f>
        <v>1398.6309479166666</v>
      </c>
      <c r="D42" s="58"/>
      <c r="E42" s="61"/>
    </row>
    <row r="43" spans="1:9" x14ac:dyDescent="0.25">
      <c r="A43" s="7" t="s">
        <v>59</v>
      </c>
      <c r="B43" s="43">
        <f>B23-B42-I27-I36</f>
        <v>-485.88094791666663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-0.76258985384036881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1223.3200000000002</v>
      </c>
    </row>
    <row r="47" spans="1:9" ht="15.75" thickBot="1" x14ac:dyDescent="0.3">
      <c r="A47" s="63" t="s">
        <v>251</v>
      </c>
      <c r="B47" s="65">
        <f>B16*0.02</f>
        <v>3058.3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39" priority="29" operator="equal">
      <formula>"NO"</formula>
    </cfRule>
    <cfRule type="cellIs" dxfId="138" priority="30" operator="equal">
      <formula>"YES"</formula>
    </cfRule>
  </conditionalFormatting>
  <conditionalFormatting sqref="E40">
    <cfRule type="cellIs" dxfId="137" priority="27" operator="equal">
      <formula>"YES"</formula>
    </cfRule>
    <cfRule type="cellIs" dxfId="136" priority="28" operator="equal">
      <formula>"NO"</formula>
    </cfRule>
  </conditionalFormatting>
  <conditionalFormatting sqref="B25">
    <cfRule type="cellIs" dxfId="135" priority="25" operator="equal">
      <formula>"NO"</formula>
    </cfRule>
    <cfRule type="cellIs" dxfId="134" priority="26" operator="equal">
      <formula>"YES"</formula>
    </cfRule>
  </conditionalFormatting>
  <conditionalFormatting sqref="B12">
    <cfRule type="containsText" dxfId="133" priority="11" operator="containsText" text="Low">
      <formula>NOT(ISERROR(SEARCH("Low",B12)))</formula>
    </cfRule>
    <cfRule type="containsText" dxfId="132" priority="12" operator="containsText" text="Medium">
      <formula>NOT(ISERROR(SEARCH("Medium",B12)))</formula>
    </cfRule>
    <cfRule type="containsText" dxfId="131" priority="13" operator="containsText" text="High">
      <formula>NOT(ISERROR(SEARCH("High",B12)))</formula>
    </cfRule>
  </conditionalFormatting>
  <conditionalFormatting sqref="B31">
    <cfRule type="cellIs" dxfId="130" priority="21" operator="between">
      <formula>10%</formula>
      <formula>11.9%</formula>
    </cfRule>
    <cfRule type="cellIs" dxfId="129" priority="23" operator="lessThan">
      <formula>0.1</formula>
    </cfRule>
    <cfRule type="cellIs" dxfId="128" priority="24" operator="greaterThanOrEqual">
      <formula>0.12</formula>
    </cfRule>
  </conditionalFormatting>
  <conditionalFormatting sqref="B44">
    <cfRule type="cellIs" dxfId="127" priority="19" operator="between">
      <formula>0.1</formula>
      <formula>0.1199</formula>
    </cfRule>
    <cfRule type="cellIs" dxfId="126" priority="20" operator="lessThan">
      <formula>0.1</formula>
    </cfRule>
    <cfRule type="cellIs" dxfId="125" priority="22" operator="greaterThanOrEqual">
      <formula>0.12</formula>
    </cfRule>
  </conditionalFormatting>
  <conditionalFormatting sqref="B10">
    <cfRule type="containsText" dxfId="124" priority="14" operator="containsText" text="Full">
      <formula>NOT(ISERROR(SEARCH("Full",B10)))</formula>
    </cfRule>
    <cfRule type="containsText" dxfId="123" priority="15" operator="containsText" text="Heavy">
      <formula>NOT(ISERROR(SEARCH("Heavy",B10)))</formula>
    </cfRule>
    <cfRule type="containsText" dxfId="122" priority="16" operator="containsText" text="Medium">
      <formula>NOT(ISERROR(SEARCH("Medium",B10)))</formula>
    </cfRule>
    <cfRule type="containsText" dxfId="121" priority="17" operator="containsText" text="Light">
      <formula>NOT(ISERROR(SEARCH("Light",B10)))</formula>
    </cfRule>
    <cfRule type="containsText" dxfId="120" priority="18" operator="containsText" text="None">
      <formula>NOT(ISERROR(SEARCH("None",B10)))</formula>
    </cfRule>
  </conditionalFormatting>
  <conditionalFormatting sqref="B30">
    <cfRule type="cellIs" dxfId="119" priority="31" operator="lessThan">
      <formula>$B$8*100</formula>
    </cfRule>
    <cfRule type="cellIs" dxfId="118" priority="32" operator="greaterThanOrEqual">
      <formula>$B$8*100</formula>
    </cfRule>
  </conditionalFormatting>
  <conditionalFormatting sqref="B43">
    <cfRule type="cellIs" dxfId="117" priority="33" operator="lessThan">
      <formula>$B$8*100</formula>
    </cfRule>
    <cfRule type="cellIs" dxfId="116" priority="34" operator="greaterThan">
      <formula>$B$8*100</formula>
    </cfRule>
    <cfRule type="cellIs" dxfId="115" priority="35" operator="greaterThan">
      <formula>$B$8*100</formula>
    </cfRule>
  </conditionalFormatting>
  <conditionalFormatting sqref="B40">
    <cfRule type="cellIs" dxfId="114" priority="9" operator="equal">
      <formula>"YES"</formula>
    </cfRule>
    <cfRule type="cellIs" dxfId="113" priority="10" operator="equal">
      <formula>"NO"</formula>
    </cfRule>
  </conditionalFormatting>
  <conditionalFormatting sqref="E25:E28">
    <cfRule type="cellIs" dxfId="112" priority="5" operator="equal">
      <formula>"NO"</formula>
    </cfRule>
    <cfRule type="cellIs" dxfId="111" priority="6" operator="equal">
      <formula>"YES"</formula>
    </cfRule>
  </conditionalFormatting>
  <conditionalFormatting sqref="E31">
    <cfRule type="cellIs" dxfId="110" priority="2" operator="between">
      <formula>10%</formula>
      <formula>12%</formula>
    </cfRule>
    <cfRule type="cellIs" dxfId="109" priority="3" operator="lessThan">
      <formula>0.1</formula>
    </cfRule>
    <cfRule type="cellIs" dxfId="108" priority="4" operator="greaterThan">
      <formula>0.12</formula>
    </cfRule>
  </conditionalFormatting>
  <conditionalFormatting sqref="E30">
    <cfRule type="cellIs" dxfId="107" priority="7" operator="lessThan">
      <formula>$B$8*100</formula>
    </cfRule>
    <cfRule type="cellIs" dxfId="106" priority="8" operator="greaterThan">
      <formula>$B$8*100</formula>
    </cfRule>
  </conditionalFormatting>
  <conditionalFormatting sqref="B46:B47">
    <cfRule type="cellIs" dxfId="105" priority="1" operator="greaterThan">
      <formula>0</formula>
    </cfRule>
  </conditionalFormatting>
  <hyperlinks>
    <hyperlink ref="A34" r:id="rId1" display="https://www.zillow.com/homes/recently_sold/" xr:uid="{3C379B59-AE1C-44DB-BE1A-2B52C8955599}"/>
    <hyperlink ref="A23" r:id="rId2" xr:uid="{F3FDFC2E-AD6E-4EAC-A4E0-2C0608B0FF3E}"/>
    <hyperlink ref="A27" r:id="rId3" display="www.mortgagecalculator.org" xr:uid="{E69B2E9E-45A1-4ECE-A354-355F79667EDB}"/>
    <hyperlink ref="A12" r:id="rId4" xr:uid="{10985A6F-2DE3-4601-9EBE-94AFACDB527E}"/>
  </hyperlinks>
  <pageMargins left="0.7" right="0.7" top="0.75" bottom="0.75" header="0.3" footer="0.3"/>
  <drawing r:id="rId5"/>
  <legacyDrawing r:id="rId6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4B25F-6D5E-4310-9B81-03336F4BCC46}">
  <dimension ref="A1:P47"/>
  <sheetViews>
    <sheetView workbookViewId="0">
      <selection activeCell="B13" sqref="B1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152915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152915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7645.75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2645.75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145269.25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1217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1529.15</v>
      </c>
      <c r="D24" s="7" t="s">
        <v>77</v>
      </c>
      <c r="E24" s="17">
        <f>B16*0.01</f>
        <v>1529.15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1501.53</v>
      </c>
      <c r="D27" s="7" t="s">
        <v>38</v>
      </c>
      <c r="E27" s="35">
        <f>B27</f>
        <v>1501.53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1805.78</v>
      </c>
      <c r="D28" s="7" t="s">
        <v>41</v>
      </c>
      <c r="E28" s="17">
        <f>E27+I27+I36</f>
        <v>1805.78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-588.78</v>
      </c>
      <c r="D30" s="7" t="s">
        <v>43</v>
      </c>
      <c r="E30" s="44">
        <f>E23-E27-I27-I36+I26+I35</f>
        <v>-634.07999999999993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-2.6704563923273175</v>
      </c>
      <c r="D31" s="46" t="s">
        <v>44</v>
      </c>
      <c r="E31" s="47">
        <f>(E30*12)/B19</f>
        <v>-2.8759179816687137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60.85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60.85</v>
      </c>
    </row>
    <row r="34" spans="1:9" x14ac:dyDescent="0.25">
      <c r="A34" s="26" t="s">
        <v>49</v>
      </c>
      <c r="B34" s="8">
        <f>B16</f>
        <v>152915</v>
      </c>
      <c r="G34" s="27" t="s">
        <v>50</v>
      </c>
      <c r="H34" s="48">
        <v>0.05</v>
      </c>
      <c r="I34" s="49">
        <f>$B$23*H34</f>
        <v>60.85</v>
      </c>
    </row>
    <row r="35" spans="1:9" x14ac:dyDescent="0.25">
      <c r="A35" s="7" t="s">
        <v>51</v>
      </c>
      <c r="B35" s="17">
        <f>B34-B20</f>
        <v>7645.75</v>
      </c>
      <c r="G35" s="27" t="s">
        <v>52</v>
      </c>
      <c r="H35" s="48">
        <v>0.1</v>
      </c>
      <c r="I35" s="49">
        <f>$B$23*H35</f>
        <v>121.7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102.89905208333334</v>
      </c>
      <c r="D41" s="58"/>
      <c r="E41" s="61"/>
    </row>
    <row r="42" spans="1:9" x14ac:dyDescent="0.25">
      <c r="A42" s="7" t="s">
        <v>58</v>
      </c>
      <c r="B42" s="17">
        <f>B27-B41</f>
        <v>1398.6309479166666</v>
      </c>
      <c r="D42" s="58"/>
      <c r="E42" s="61"/>
    </row>
    <row r="43" spans="1:9" x14ac:dyDescent="0.25">
      <c r="A43" s="7" t="s">
        <v>59</v>
      </c>
      <c r="B43" s="43">
        <f>B23-B42-I27-I36</f>
        <v>-485.88094791666663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-0.76258985384036881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1223.3200000000002</v>
      </c>
    </row>
    <row r="47" spans="1:9" ht="15.75" thickBot="1" x14ac:dyDescent="0.3">
      <c r="A47" s="63" t="s">
        <v>251</v>
      </c>
      <c r="B47" s="65">
        <f>B16*0.02</f>
        <v>3058.3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104" priority="29" operator="equal">
      <formula>"NO"</formula>
    </cfRule>
    <cfRule type="cellIs" dxfId="103" priority="30" operator="equal">
      <formula>"YES"</formula>
    </cfRule>
  </conditionalFormatting>
  <conditionalFormatting sqref="E40">
    <cfRule type="cellIs" dxfId="102" priority="27" operator="equal">
      <formula>"YES"</formula>
    </cfRule>
    <cfRule type="cellIs" dxfId="101" priority="28" operator="equal">
      <formula>"NO"</formula>
    </cfRule>
  </conditionalFormatting>
  <conditionalFormatting sqref="B25">
    <cfRule type="cellIs" dxfId="100" priority="25" operator="equal">
      <formula>"NO"</formula>
    </cfRule>
    <cfRule type="cellIs" dxfId="99" priority="26" operator="equal">
      <formula>"YES"</formula>
    </cfRule>
  </conditionalFormatting>
  <conditionalFormatting sqref="B12">
    <cfRule type="containsText" dxfId="98" priority="11" operator="containsText" text="Low">
      <formula>NOT(ISERROR(SEARCH("Low",B12)))</formula>
    </cfRule>
    <cfRule type="containsText" dxfId="97" priority="12" operator="containsText" text="Medium">
      <formula>NOT(ISERROR(SEARCH("Medium",B12)))</formula>
    </cfRule>
    <cfRule type="containsText" dxfId="96" priority="13" operator="containsText" text="High">
      <formula>NOT(ISERROR(SEARCH("High",B12)))</formula>
    </cfRule>
  </conditionalFormatting>
  <conditionalFormatting sqref="B31">
    <cfRule type="cellIs" dxfId="95" priority="21" operator="between">
      <formula>10%</formula>
      <formula>11.9%</formula>
    </cfRule>
    <cfRule type="cellIs" dxfId="94" priority="23" operator="lessThan">
      <formula>0.1</formula>
    </cfRule>
    <cfRule type="cellIs" dxfId="93" priority="24" operator="greaterThanOrEqual">
      <formula>0.12</formula>
    </cfRule>
  </conditionalFormatting>
  <conditionalFormatting sqref="B44">
    <cfRule type="cellIs" dxfId="92" priority="19" operator="between">
      <formula>0.1</formula>
      <formula>0.1199</formula>
    </cfRule>
    <cfRule type="cellIs" dxfId="91" priority="20" operator="lessThan">
      <formula>0.1</formula>
    </cfRule>
    <cfRule type="cellIs" dxfId="90" priority="22" operator="greaterThanOrEqual">
      <formula>0.12</formula>
    </cfRule>
  </conditionalFormatting>
  <conditionalFormatting sqref="B10">
    <cfRule type="containsText" dxfId="89" priority="14" operator="containsText" text="Full">
      <formula>NOT(ISERROR(SEARCH("Full",B10)))</formula>
    </cfRule>
    <cfRule type="containsText" dxfId="88" priority="15" operator="containsText" text="Heavy">
      <formula>NOT(ISERROR(SEARCH("Heavy",B10)))</formula>
    </cfRule>
    <cfRule type="containsText" dxfId="87" priority="16" operator="containsText" text="Medium">
      <formula>NOT(ISERROR(SEARCH("Medium",B10)))</formula>
    </cfRule>
    <cfRule type="containsText" dxfId="86" priority="17" operator="containsText" text="Light">
      <formula>NOT(ISERROR(SEARCH("Light",B10)))</formula>
    </cfRule>
    <cfRule type="containsText" dxfId="85" priority="18" operator="containsText" text="None">
      <formula>NOT(ISERROR(SEARCH("None",B10)))</formula>
    </cfRule>
  </conditionalFormatting>
  <conditionalFormatting sqref="B30">
    <cfRule type="cellIs" dxfId="84" priority="31" operator="lessThan">
      <formula>$B$8*100</formula>
    </cfRule>
    <cfRule type="cellIs" dxfId="83" priority="32" operator="greaterThanOrEqual">
      <formula>$B$8*100</formula>
    </cfRule>
  </conditionalFormatting>
  <conditionalFormatting sqref="B43">
    <cfRule type="cellIs" dxfId="82" priority="33" operator="lessThan">
      <formula>$B$8*100</formula>
    </cfRule>
    <cfRule type="cellIs" dxfId="81" priority="34" operator="greaterThan">
      <formula>$B$8*100</formula>
    </cfRule>
    <cfRule type="cellIs" dxfId="80" priority="35" operator="greaterThan">
      <formula>$B$8*100</formula>
    </cfRule>
  </conditionalFormatting>
  <conditionalFormatting sqref="B40">
    <cfRule type="cellIs" dxfId="79" priority="9" operator="equal">
      <formula>"YES"</formula>
    </cfRule>
    <cfRule type="cellIs" dxfId="78" priority="10" operator="equal">
      <formula>"NO"</formula>
    </cfRule>
  </conditionalFormatting>
  <conditionalFormatting sqref="E25:E28">
    <cfRule type="cellIs" dxfId="77" priority="5" operator="equal">
      <formula>"NO"</formula>
    </cfRule>
    <cfRule type="cellIs" dxfId="76" priority="6" operator="equal">
      <formula>"YES"</formula>
    </cfRule>
  </conditionalFormatting>
  <conditionalFormatting sqref="E31">
    <cfRule type="cellIs" dxfId="75" priority="2" operator="between">
      <formula>10%</formula>
      <formula>12%</formula>
    </cfRule>
    <cfRule type="cellIs" dxfId="74" priority="3" operator="lessThan">
      <formula>0.1</formula>
    </cfRule>
    <cfRule type="cellIs" dxfId="73" priority="4" operator="greaterThan">
      <formula>0.12</formula>
    </cfRule>
  </conditionalFormatting>
  <conditionalFormatting sqref="E30">
    <cfRule type="cellIs" dxfId="72" priority="7" operator="lessThan">
      <formula>$B$8*100</formula>
    </cfRule>
    <cfRule type="cellIs" dxfId="71" priority="8" operator="greaterThan">
      <formula>$B$8*100</formula>
    </cfRule>
  </conditionalFormatting>
  <conditionalFormatting sqref="B46:B47">
    <cfRule type="cellIs" dxfId="70" priority="1" operator="greaterThan">
      <formula>0</formula>
    </cfRule>
  </conditionalFormatting>
  <hyperlinks>
    <hyperlink ref="A34" r:id="rId1" display="https://www.zillow.com/homes/recently_sold/" xr:uid="{CBA9C6EA-494E-4DC0-A67A-E9B582FA8650}"/>
    <hyperlink ref="A23" r:id="rId2" xr:uid="{4BD92F02-3091-4706-985E-E00DF6C71AF0}"/>
    <hyperlink ref="A27" r:id="rId3" display="www.mortgagecalculator.org" xr:uid="{AAA6B1C9-CA80-45EC-B402-7618B5389EBA}"/>
    <hyperlink ref="A12" r:id="rId4" xr:uid="{AE276C2C-5ADE-461F-9058-64E6AE6C4A06}"/>
  </hyperlinks>
  <pageMargins left="0.7" right="0.7" top="0.75" bottom="0.75" header="0.3" footer="0.3"/>
  <drawing r:id="rId5"/>
  <legacyDrawing r:id="rId6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F0A0-7400-4EDC-A879-BBBAB92265DB}">
  <dimension ref="A1:P47"/>
  <sheetViews>
    <sheetView workbookViewId="0">
      <selection activeCell="B13" sqref="B1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152915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152915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7645.75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2645.75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145269.25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1217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1529.15</v>
      </c>
      <c r="D24" s="7" t="s">
        <v>77</v>
      </c>
      <c r="E24" s="17">
        <f>B16*0.01</f>
        <v>1529.15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1501.53</v>
      </c>
      <c r="D27" s="7" t="s">
        <v>38</v>
      </c>
      <c r="E27" s="35">
        <f>B27</f>
        <v>1501.53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1805.78</v>
      </c>
      <c r="D28" s="7" t="s">
        <v>41</v>
      </c>
      <c r="E28" s="17">
        <f>E27+I27+I36</f>
        <v>1805.78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-588.78</v>
      </c>
      <c r="D30" s="7" t="s">
        <v>43</v>
      </c>
      <c r="E30" s="44">
        <f>E23-E27-I27-I36+I26+I35</f>
        <v>-634.07999999999993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-2.6704563923273175</v>
      </c>
      <c r="D31" s="46" t="s">
        <v>44</v>
      </c>
      <c r="E31" s="47">
        <f>(E30*12)/B19</f>
        <v>-2.8759179816687137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60.85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60.85</v>
      </c>
    </row>
    <row r="34" spans="1:9" x14ac:dyDescent="0.25">
      <c r="A34" s="26" t="s">
        <v>49</v>
      </c>
      <c r="B34" s="8">
        <f>B16</f>
        <v>152915</v>
      </c>
      <c r="G34" s="27" t="s">
        <v>50</v>
      </c>
      <c r="H34" s="48">
        <v>0.05</v>
      </c>
      <c r="I34" s="49">
        <f>$B$23*H34</f>
        <v>60.85</v>
      </c>
    </row>
    <row r="35" spans="1:9" x14ac:dyDescent="0.25">
      <c r="A35" s="7" t="s">
        <v>51</v>
      </c>
      <c r="B35" s="17">
        <f>B34-B20</f>
        <v>7645.75</v>
      </c>
      <c r="G35" s="27" t="s">
        <v>52</v>
      </c>
      <c r="H35" s="48">
        <v>0.1</v>
      </c>
      <c r="I35" s="49">
        <f>$B$23*H35</f>
        <v>121.7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102.89905208333334</v>
      </c>
      <c r="D41" s="58"/>
      <c r="E41" s="61"/>
    </row>
    <row r="42" spans="1:9" x14ac:dyDescent="0.25">
      <c r="A42" s="7" t="s">
        <v>58</v>
      </c>
      <c r="B42" s="17">
        <f>B27-B41</f>
        <v>1398.6309479166666</v>
      </c>
      <c r="D42" s="58"/>
      <c r="E42" s="61"/>
    </row>
    <row r="43" spans="1:9" x14ac:dyDescent="0.25">
      <c r="A43" s="7" t="s">
        <v>59</v>
      </c>
      <c r="B43" s="43">
        <f>B23-B42-I27-I36</f>
        <v>-485.88094791666663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-0.76258985384036881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1223.3200000000002</v>
      </c>
    </row>
    <row r="47" spans="1:9" ht="15.75" thickBot="1" x14ac:dyDescent="0.3">
      <c r="A47" s="63" t="s">
        <v>251</v>
      </c>
      <c r="B47" s="65">
        <f>B16*0.02</f>
        <v>3058.3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69" priority="29" operator="equal">
      <formula>"NO"</formula>
    </cfRule>
    <cfRule type="cellIs" dxfId="68" priority="30" operator="equal">
      <formula>"YES"</formula>
    </cfRule>
  </conditionalFormatting>
  <conditionalFormatting sqref="E40">
    <cfRule type="cellIs" dxfId="67" priority="27" operator="equal">
      <formula>"YES"</formula>
    </cfRule>
    <cfRule type="cellIs" dxfId="66" priority="28" operator="equal">
      <formula>"NO"</formula>
    </cfRule>
  </conditionalFormatting>
  <conditionalFormatting sqref="B25">
    <cfRule type="cellIs" dxfId="65" priority="25" operator="equal">
      <formula>"NO"</formula>
    </cfRule>
    <cfRule type="cellIs" dxfId="64" priority="26" operator="equal">
      <formula>"YES"</formula>
    </cfRule>
  </conditionalFormatting>
  <conditionalFormatting sqref="B12">
    <cfRule type="containsText" dxfId="63" priority="11" operator="containsText" text="Low">
      <formula>NOT(ISERROR(SEARCH("Low",B12)))</formula>
    </cfRule>
    <cfRule type="containsText" dxfId="62" priority="12" operator="containsText" text="Medium">
      <formula>NOT(ISERROR(SEARCH("Medium",B12)))</formula>
    </cfRule>
    <cfRule type="containsText" dxfId="61" priority="13" operator="containsText" text="High">
      <formula>NOT(ISERROR(SEARCH("High",B12)))</formula>
    </cfRule>
  </conditionalFormatting>
  <conditionalFormatting sqref="B31">
    <cfRule type="cellIs" dxfId="60" priority="21" operator="between">
      <formula>10%</formula>
      <formula>11.9%</formula>
    </cfRule>
    <cfRule type="cellIs" dxfId="59" priority="23" operator="lessThan">
      <formula>0.1</formula>
    </cfRule>
    <cfRule type="cellIs" dxfId="58" priority="24" operator="greaterThanOrEqual">
      <formula>0.12</formula>
    </cfRule>
  </conditionalFormatting>
  <conditionalFormatting sqref="B44">
    <cfRule type="cellIs" dxfId="57" priority="19" operator="between">
      <formula>0.1</formula>
      <formula>0.1199</formula>
    </cfRule>
    <cfRule type="cellIs" dxfId="56" priority="20" operator="lessThan">
      <formula>0.1</formula>
    </cfRule>
    <cfRule type="cellIs" dxfId="55" priority="22" operator="greaterThanOrEqual">
      <formula>0.12</formula>
    </cfRule>
  </conditionalFormatting>
  <conditionalFormatting sqref="B10">
    <cfRule type="containsText" dxfId="54" priority="14" operator="containsText" text="Full">
      <formula>NOT(ISERROR(SEARCH("Full",B10)))</formula>
    </cfRule>
    <cfRule type="containsText" dxfId="53" priority="15" operator="containsText" text="Heavy">
      <formula>NOT(ISERROR(SEARCH("Heavy",B10)))</formula>
    </cfRule>
    <cfRule type="containsText" dxfId="52" priority="16" operator="containsText" text="Medium">
      <formula>NOT(ISERROR(SEARCH("Medium",B10)))</formula>
    </cfRule>
    <cfRule type="containsText" dxfId="51" priority="17" operator="containsText" text="Light">
      <formula>NOT(ISERROR(SEARCH("Light",B10)))</formula>
    </cfRule>
    <cfRule type="containsText" dxfId="50" priority="18" operator="containsText" text="None">
      <formula>NOT(ISERROR(SEARCH("None",B10)))</formula>
    </cfRule>
  </conditionalFormatting>
  <conditionalFormatting sqref="B30">
    <cfRule type="cellIs" dxfId="49" priority="31" operator="lessThan">
      <formula>$B$8*100</formula>
    </cfRule>
    <cfRule type="cellIs" dxfId="48" priority="32" operator="greaterThanOrEqual">
      <formula>$B$8*100</formula>
    </cfRule>
  </conditionalFormatting>
  <conditionalFormatting sqref="B43">
    <cfRule type="cellIs" dxfId="47" priority="33" operator="lessThan">
      <formula>$B$8*100</formula>
    </cfRule>
    <cfRule type="cellIs" dxfId="46" priority="34" operator="greaterThan">
      <formula>$B$8*100</formula>
    </cfRule>
    <cfRule type="cellIs" dxfId="45" priority="35" operator="greaterThan">
      <formula>$B$8*100</formula>
    </cfRule>
  </conditionalFormatting>
  <conditionalFormatting sqref="B40">
    <cfRule type="cellIs" dxfId="44" priority="9" operator="equal">
      <formula>"YES"</formula>
    </cfRule>
    <cfRule type="cellIs" dxfId="43" priority="10" operator="equal">
      <formula>"NO"</formula>
    </cfRule>
  </conditionalFormatting>
  <conditionalFormatting sqref="E25:E28">
    <cfRule type="cellIs" dxfId="42" priority="5" operator="equal">
      <formula>"NO"</formula>
    </cfRule>
    <cfRule type="cellIs" dxfId="41" priority="6" operator="equal">
      <formula>"YES"</formula>
    </cfRule>
  </conditionalFormatting>
  <conditionalFormatting sqref="E31">
    <cfRule type="cellIs" dxfId="40" priority="2" operator="between">
      <formula>10%</formula>
      <formula>12%</formula>
    </cfRule>
    <cfRule type="cellIs" dxfId="39" priority="3" operator="lessThan">
      <formula>0.1</formula>
    </cfRule>
    <cfRule type="cellIs" dxfId="38" priority="4" operator="greaterThan">
      <formula>0.12</formula>
    </cfRule>
  </conditionalFormatting>
  <conditionalFormatting sqref="E30">
    <cfRule type="cellIs" dxfId="37" priority="7" operator="lessThan">
      <formula>$B$8*100</formula>
    </cfRule>
    <cfRule type="cellIs" dxfId="36" priority="8" operator="greaterThan">
      <formula>$B$8*100</formula>
    </cfRule>
  </conditionalFormatting>
  <conditionalFormatting sqref="B46:B47">
    <cfRule type="cellIs" dxfId="35" priority="1" operator="greaterThan">
      <formula>0</formula>
    </cfRule>
  </conditionalFormatting>
  <hyperlinks>
    <hyperlink ref="A34" r:id="rId1" display="https://www.zillow.com/homes/recently_sold/" xr:uid="{E2E07BF1-2FDD-46AE-BE26-13D82FEA8FD9}"/>
    <hyperlink ref="A23" r:id="rId2" xr:uid="{800FEE48-2B9E-4835-923D-0001FE3D701E}"/>
    <hyperlink ref="A27" r:id="rId3" display="www.mortgagecalculator.org" xr:uid="{4FC7E8CA-DC22-40F6-A52A-FB0E5349724D}"/>
    <hyperlink ref="A12" r:id="rId4" xr:uid="{E2A0F64D-22A3-4BF0-83D4-A2B4BF86AB83}"/>
  </hyperlinks>
  <pageMargins left="0.7" right="0.7" top="0.75" bottom="0.75" header="0.3" footer="0.3"/>
  <drawing r:id="rId5"/>
  <legacyDrawing r:id="rId6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6BE5-3672-4750-B4A3-4666B95D34E2}">
  <dimension ref="A1:P47"/>
  <sheetViews>
    <sheetView workbookViewId="0">
      <selection activeCell="B13" sqref="B13"/>
    </sheetView>
  </sheetViews>
  <sheetFormatPr defaultRowHeight="15" x14ac:dyDescent="0.25"/>
  <cols>
    <col min="1" max="1" width="49.140625" bestFit="1" customWidth="1"/>
    <col min="2" max="2" width="29" style="25" bestFit="1" customWidth="1"/>
    <col min="3" max="3" width="4.42578125" customWidth="1"/>
    <col min="4" max="4" width="46.28515625" bestFit="1" customWidth="1"/>
    <col min="5" max="5" width="14.28515625" bestFit="1" customWidth="1"/>
    <col min="6" max="6" width="5.140625" customWidth="1"/>
    <col min="7" max="7" width="27.85546875" bestFit="1" customWidth="1"/>
    <col min="8" max="8" width="7.140625" bestFit="1" customWidth="1"/>
    <col min="9" max="9" width="10.5703125" bestFit="1" customWidth="1"/>
    <col min="12" max="12" width="26.42578125" customWidth="1"/>
  </cols>
  <sheetData>
    <row r="1" spans="1:10" ht="21.75" thickBot="1" x14ac:dyDescent="0.4">
      <c r="A1" s="81" t="s">
        <v>0</v>
      </c>
      <c r="B1" s="82"/>
    </row>
    <row r="2" spans="1:10" ht="33" customHeight="1" x14ac:dyDescent="0.4">
      <c r="A2" s="83" t="s">
        <v>1</v>
      </c>
      <c r="B2" s="84"/>
      <c r="D2" s="85" t="s">
        <v>2</v>
      </c>
      <c r="E2" s="86"/>
      <c r="F2" s="1"/>
      <c r="G2" s="87" t="s">
        <v>3</v>
      </c>
      <c r="H2" s="87"/>
      <c r="I2" s="87"/>
      <c r="J2" s="87"/>
    </row>
    <row r="3" spans="1:10" ht="15" customHeight="1" x14ac:dyDescent="0.25">
      <c r="A3" s="83"/>
      <c r="B3" s="84"/>
      <c r="D3" s="2"/>
      <c r="E3" s="3"/>
      <c r="G3" s="87"/>
      <c r="H3" s="87"/>
      <c r="I3" s="87"/>
      <c r="J3" s="87"/>
    </row>
    <row r="4" spans="1:10" ht="15.75" x14ac:dyDescent="0.25">
      <c r="A4" s="75" t="s">
        <v>4</v>
      </c>
      <c r="B4" s="76"/>
      <c r="D4" s="2"/>
      <c r="E4" s="3"/>
      <c r="G4" s="87"/>
      <c r="H4" s="87"/>
      <c r="I4" s="87"/>
      <c r="J4" s="87"/>
    </row>
    <row r="5" spans="1:10" ht="31.5" customHeight="1" x14ac:dyDescent="0.25">
      <c r="A5" s="4" t="s">
        <v>5</v>
      </c>
      <c r="B5" s="5" t="s">
        <v>6</v>
      </c>
      <c r="D5" s="2"/>
      <c r="E5" s="3"/>
      <c r="G5" s="87"/>
      <c r="H5" s="87"/>
      <c r="I5" s="87"/>
      <c r="J5" s="87"/>
    </row>
    <row r="6" spans="1:10" x14ac:dyDescent="0.25">
      <c r="A6" s="4" t="s">
        <v>7</v>
      </c>
      <c r="B6" s="6"/>
      <c r="D6" s="2"/>
      <c r="E6" s="3"/>
      <c r="G6" s="87"/>
      <c r="H6" s="87"/>
      <c r="I6" s="87"/>
      <c r="J6" s="87"/>
    </row>
    <row r="7" spans="1:10" x14ac:dyDescent="0.25">
      <c r="A7" s="7" t="s">
        <v>8</v>
      </c>
      <c r="B7" s="8">
        <v>179900</v>
      </c>
      <c r="D7" s="2"/>
      <c r="E7" s="3"/>
      <c r="G7" s="87"/>
      <c r="H7" s="87"/>
      <c r="I7" s="87"/>
      <c r="J7" s="87"/>
    </row>
    <row r="8" spans="1:10" x14ac:dyDescent="0.25">
      <c r="A8" s="4" t="s">
        <v>9</v>
      </c>
      <c r="B8" s="9">
        <v>1</v>
      </c>
      <c r="D8" s="2"/>
      <c r="E8" s="3"/>
      <c r="G8" s="87"/>
      <c r="H8" s="87"/>
      <c r="I8" s="87"/>
      <c r="J8" s="87"/>
    </row>
    <row r="9" spans="1:10" x14ac:dyDescent="0.25">
      <c r="A9" s="7" t="s">
        <v>10</v>
      </c>
      <c r="B9" s="10">
        <v>1440</v>
      </c>
      <c r="D9" s="2"/>
      <c r="E9" s="3"/>
      <c r="G9" s="87"/>
      <c r="H9" s="87"/>
      <c r="I9" s="87"/>
      <c r="J9" s="87"/>
    </row>
    <row r="10" spans="1:10" x14ac:dyDescent="0.25">
      <c r="A10" s="7" t="s">
        <v>11</v>
      </c>
      <c r="B10" s="11" t="s">
        <v>12</v>
      </c>
      <c r="D10" s="2"/>
      <c r="E10" s="3"/>
      <c r="G10" s="87"/>
      <c r="H10" s="87"/>
      <c r="I10" s="87"/>
      <c r="J10" s="87"/>
    </row>
    <row r="11" spans="1:10" x14ac:dyDescent="0.25">
      <c r="A11" s="12" t="s">
        <v>13</v>
      </c>
      <c r="B11" s="13" t="s">
        <v>14</v>
      </c>
      <c r="D11" s="2"/>
      <c r="E11" s="3"/>
      <c r="G11" s="87"/>
      <c r="H11" s="87"/>
      <c r="I11" s="87"/>
      <c r="J11" s="87"/>
    </row>
    <row r="12" spans="1:10" x14ac:dyDescent="0.25">
      <c r="A12" s="14" t="s">
        <v>15</v>
      </c>
      <c r="B12" s="15" t="s">
        <v>16</v>
      </c>
      <c r="D12" s="2"/>
      <c r="E12" s="3"/>
      <c r="G12" s="87"/>
      <c r="H12" s="87"/>
      <c r="I12" s="87"/>
      <c r="J12" s="87"/>
    </row>
    <row r="13" spans="1:10" x14ac:dyDescent="0.25">
      <c r="A13" s="7" t="s">
        <v>17</v>
      </c>
      <c r="B13" s="8">
        <f>B7*0.85</f>
        <v>152915</v>
      </c>
      <c r="D13" s="2"/>
      <c r="E13" s="3"/>
      <c r="G13" s="87"/>
      <c r="H13" s="87"/>
      <c r="I13" s="87"/>
      <c r="J13" s="87"/>
    </row>
    <row r="14" spans="1:10" x14ac:dyDescent="0.25">
      <c r="A14" s="7" t="s">
        <v>18</v>
      </c>
      <c r="B14" s="16" cm="1">
        <f t="array" ref="B14">_xlfn.IFS(B10="None",0,B10="Light",15,B10="Medium",25,B10="Heavy",35,B10="Full",45)</f>
        <v>0</v>
      </c>
      <c r="D14" s="2"/>
      <c r="E14" s="3"/>
    </row>
    <row r="15" spans="1:10" x14ac:dyDescent="0.25">
      <c r="A15" s="7" t="s">
        <v>19</v>
      </c>
      <c r="B15" s="17">
        <f>B14*B9</f>
        <v>0</v>
      </c>
      <c r="D15" s="2"/>
      <c r="E15" s="3"/>
    </row>
    <row r="16" spans="1:10" x14ac:dyDescent="0.25">
      <c r="A16" s="7" t="s">
        <v>20</v>
      </c>
      <c r="B16" s="17">
        <f>B15+B13</f>
        <v>152915</v>
      </c>
      <c r="D16" s="2"/>
      <c r="E16" s="18"/>
    </row>
    <row r="17" spans="1:16" ht="15.75" thickBot="1" x14ac:dyDescent="0.3">
      <c r="A17" s="7" t="s">
        <v>21</v>
      </c>
      <c r="B17" s="17">
        <f>IF(B10="None",B16*0.05,B16*0.035)</f>
        <v>7645.75</v>
      </c>
      <c r="D17" s="19"/>
      <c r="E17" s="20"/>
      <c r="P17" s="21"/>
    </row>
    <row r="18" spans="1:16" x14ac:dyDescent="0.25">
      <c r="A18" s="7" t="s">
        <v>253</v>
      </c>
      <c r="B18" s="17">
        <v>2500</v>
      </c>
      <c r="D18" s="66"/>
      <c r="E18" s="67"/>
      <c r="P18" s="21"/>
    </row>
    <row r="19" spans="1:16" x14ac:dyDescent="0.25">
      <c r="A19" s="7" t="s">
        <v>286</v>
      </c>
      <c r="B19" s="17">
        <f>B17+B18-7500</f>
        <v>2645.75</v>
      </c>
      <c r="D19" s="66"/>
      <c r="E19" s="67"/>
      <c r="P19" s="21"/>
    </row>
    <row r="20" spans="1:16" x14ac:dyDescent="0.25">
      <c r="A20" s="7" t="s">
        <v>23</v>
      </c>
      <c r="B20" s="17">
        <f>B16-B17</f>
        <v>145269.25</v>
      </c>
      <c r="G20" s="22"/>
      <c r="H20" s="22"/>
      <c r="I20" s="22"/>
      <c r="P20" s="21"/>
    </row>
    <row r="21" spans="1:16" ht="15.75" thickBot="1" x14ac:dyDescent="0.3">
      <c r="A21" s="23"/>
      <c r="B21" s="24"/>
      <c r="F21" s="25"/>
      <c r="P21" s="21"/>
    </row>
    <row r="22" spans="1:16" ht="15.75" x14ac:dyDescent="0.25">
      <c r="A22" s="77" t="s">
        <v>24</v>
      </c>
      <c r="B22" s="78"/>
      <c r="D22" s="72" t="s">
        <v>25</v>
      </c>
      <c r="E22" s="74"/>
      <c r="G22" s="72" t="s">
        <v>26</v>
      </c>
      <c r="H22" s="73"/>
      <c r="I22" s="74"/>
    </row>
    <row r="23" spans="1:16" x14ac:dyDescent="0.25">
      <c r="A23" s="26" t="s">
        <v>27</v>
      </c>
      <c r="B23" s="8">
        <v>1217</v>
      </c>
      <c r="D23" s="23" t="s">
        <v>28</v>
      </c>
      <c r="E23" s="8">
        <f>350*3</f>
        <v>1050</v>
      </c>
      <c r="G23" s="27" t="s">
        <v>29</v>
      </c>
      <c r="H23" s="28"/>
      <c r="I23" s="29"/>
    </row>
    <row r="24" spans="1:16" x14ac:dyDescent="0.25">
      <c r="A24" s="7" t="s">
        <v>78</v>
      </c>
      <c r="B24" s="17">
        <f>B16*0.01</f>
        <v>1529.15</v>
      </c>
      <c r="D24" s="7" t="s">
        <v>77</v>
      </c>
      <c r="E24" s="17">
        <f>B16*0.01</f>
        <v>1529.15</v>
      </c>
      <c r="G24" s="27" t="s">
        <v>32</v>
      </c>
      <c r="H24" s="28"/>
      <c r="I24" s="29"/>
    </row>
    <row r="25" spans="1:16" x14ac:dyDescent="0.25">
      <c r="A25" s="7" t="s">
        <v>33</v>
      </c>
      <c r="B25" s="30" t="str">
        <f>IF(B23&gt;=B24,"YES","NO")</f>
        <v>NO</v>
      </c>
      <c r="D25" s="7" t="s">
        <v>33</v>
      </c>
      <c r="E25" s="31" t="str">
        <f>IF(E23&gt;=E24,"YES","NO")</f>
        <v>NO</v>
      </c>
      <c r="G25" s="27" t="s">
        <v>35</v>
      </c>
      <c r="H25" s="28"/>
      <c r="I25" s="29"/>
    </row>
    <row r="26" spans="1:16" x14ac:dyDescent="0.25">
      <c r="A26" s="32"/>
      <c r="B26" s="30"/>
      <c r="D26" s="32"/>
      <c r="E26" s="33"/>
      <c r="G26" s="27" t="s">
        <v>36</v>
      </c>
      <c r="H26" s="28"/>
      <c r="I26" s="34"/>
    </row>
    <row r="27" spans="1:16" ht="15.75" thickBot="1" x14ac:dyDescent="0.3">
      <c r="A27" s="26" t="s">
        <v>37</v>
      </c>
      <c r="B27" s="8">
        <v>1501.53</v>
      </c>
      <c r="D27" s="7" t="s">
        <v>38</v>
      </c>
      <c r="E27" s="35">
        <f>B27</f>
        <v>1501.53</v>
      </c>
      <c r="G27" s="36" t="s">
        <v>39</v>
      </c>
      <c r="H27" s="37"/>
      <c r="I27" s="38">
        <f>SUM(I23:I26)</f>
        <v>0</v>
      </c>
    </row>
    <row r="28" spans="1:16" x14ac:dyDescent="0.25">
      <c r="A28" s="7" t="s">
        <v>40</v>
      </c>
      <c r="B28" s="17">
        <f>B27+I27+I36</f>
        <v>1805.78</v>
      </c>
      <c r="D28" s="7" t="s">
        <v>41</v>
      </c>
      <c r="E28" s="17">
        <f>E27+I27+I36</f>
        <v>1805.78</v>
      </c>
      <c r="G28" s="28"/>
      <c r="H28" s="28"/>
      <c r="I28" s="28"/>
    </row>
    <row r="29" spans="1:16" x14ac:dyDescent="0.25">
      <c r="A29" s="7"/>
      <c r="B29" s="39"/>
      <c r="C29" s="40"/>
      <c r="D29" s="41"/>
      <c r="E29" s="42"/>
      <c r="G29" s="28"/>
      <c r="H29" s="28"/>
      <c r="I29" s="28"/>
    </row>
    <row r="30" spans="1:16" ht="15.75" thickBot="1" x14ac:dyDescent="0.3">
      <c r="A30" s="7" t="s">
        <v>42</v>
      </c>
      <c r="B30" s="43">
        <f>B23-B28</f>
        <v>-588.78</v>
      </c>
      <c r="D30" s="7" t="s">
        <v>43</v>
      </c>
      <c r="E30" s="44">
        <f>E23-E27-I27-I36+I26+I35</f>
        <v>-634.07999999999993</v>
      </c>
      <c r="G30" s="28"/>
      <c r="H30" s="28"/>
      <c r="I30" s="28"/>
    </row>
    <row r="31" spans="1:16" ht="16.5" thickBot="1" x14ac:dyDescent="0.3">
      <c r="A31" s="7" t="s">
        <v>44</v>
      </c>
      <c r="B31" s="45">
        <f>(B30*12)/(B19)</f>
        <v>-2.6704563923273175</v>
      </c>
      <c r="D31" s="46" t="s">
        <v>44</v>
      </c>
      <c r="E31" s="47">
        <f>(E30*12)/B19</f>
        <v>-2.8759179816687137</v>
      </c>
      <c r="G31" s="72" t="s">
        <v>45</v>
      </c>
      <c r="H31" s="73"/>
      <c r="I31" s="74"/>
    </row>
    <row r="32" spans="1:16" x14ac:dyDescent="0.25">
      <c r="A32" s="23"/>
      <c r="B32" s="24"/>
      <c r="G32" s="27" t="s">
        <v>46</v>
      </c>
      <c r="H32" s="48">
        <v>0.05</v>
      </c>
      <c r="I32" s="49">
        <f>$B$23*H32</f>
        <v>60.85</v>
      </c>
    </row>
    <row r="33" spans="1:9" ht="15.75" x14ac:dyDescent="0.25">
      <c r="A33" s="75" t="s">
        <v>47</v>
      </c>
      <c r="B33" s="76"/>
      <c r="G33" s="27" t="s">
        <v>48</v>
      </c>
      <c r="H33" s="48">
        <v>0.05</v>
      </c>
      <c r="I33" s="49">
        <f>$B$23*H33</f>
        <v>60.85</v>
      </c>
    </row>
    <row r="34" spans="1:9" x14ac:dyDescent="0.25">
      <c r="A34" s="26" t="s">
        <v>49</v>
      </c>
      <c r="B34" s="8">
        <f>B16</f>
        <v>152915</v>
      </c>
      <c r="G34" s="27" t="s">
        <v>50</v>
      </c>
      <c r="H34" s="48">
        <v>0.05</v>
      </c>
      <c r="I34" s="49">
        <f>$B$23*H34</f>
        <v>60.85</v>
      </c>
    </row>
    <row r="35" spans="1:9" x14ac:dyDescent="0.25">
      <c r="A35" s="7" t="s">
        <v>51</v>
      </c>
      <c r="B35" s="17">
        <f>B34-B20</f>
        <v>7645.75</v>
      </c>
      <c r="G35" s="27" t="s">
        <v>52</v>
      </c>
      <c r="H35" s="48">
        <v>0.1</v>
      </c>
      <c r="I35" s="49">
        <f>$B$23*H35</f>
        <v>121.7</v>
      </c>
    </row>
    <row r="36" spans="1:9" ht="15.75" thickBot="1" x14ac:dyDescent="0.3">
      <c r="A36" s="7" t="s">
        <v>53</v>
      </c>
      <c r="B36" s="50">
        <f>B35/B17</f>
        <v>1</v>
      </c>
      <c r="G36" s="36" t="s">
        <v>39</v>
      </c>
      <c r="H36" s="37"/>
      <c r="I36" s="51">
        <f>SUM(I32:I35)</f>
        <v>304.25</v>
      </c>
    </row>
    <row r="37" spans="1:9" ht="15.75" thickBot="1" x14ac:dyDescent="0.3">
      <c r="A37" s="23"/>
      <c r="B37" s="52"/>
    </row>
    <row r="38" spans="1:9" ht="15.75" x14ac:dyDescent="0.25">
      <c r="A38" s="77" t="s">
        <v>54</v>
      </c>
      <c r="B38" s="78"/>
      <c r="D38" s="88"/>
      <c r="E38" s="88"/>
    </row>
    <row r="39" spans="1:9" x14ac:dyDescent="0.25">
      <c r="A39" s="7" t="s">
        <v>55</v>
      </c>
      <c r="B39" s="50">
        <f>B20/B34</f>
        <v>0.95</v>
      </c>
      <c r="D39" s="58"/>
      <c r="E39" s="59"/>
    </row>
    <row r="40" spans="1:9" x14ac:dyDescent="0.25">
      <c r="A40" s="7" t="s">
        <v>56</v>
      </c>
      <c r="B40" s="31" t="str">
        <f>IF(B39&lt;0.8, "YES", "NO")</f>
        <v>NO</v>
      </c>
      <c r="D40" s="58"/>
      <c r="E40" s="60"/>
    </row>
    <row r="41" spans="1:9" x14ac:dyDescent="0.25">
      <c r="A41" s="7" t="s">
        <v>57</v>
      </c>
      <c r="B41" s="17">
        <f>(B20*0.0085)/12</f>
        <v>102.89905208333334</v>
      </c>
      <c r="D41" s="58"/>
      <c r="E41" s="61"/>
    </row>
    <row r="42" spans="1:9" x14ac:dyDescent="0.25">
      <c r="A42" s="7" t="s">
        <v>58</v>
      </c>
      <c r="B42" s="17">
        <f>B27-B41</f>
        <v>1398.6309479166666</v>
      </c>
      <c r="D42" s="58"/>
      <c r="E42" s="61"/>
    </row>
    <row r="43" spans="1:9" x14ac:dyDescent="0.25">
      <c r="A43" s="7" t="s">
        <v>59</v>
      </c>
      <c r="B43" s="43">
        <f>B23-B42-I27-I36</f>
        <v>-485.88094791666663</v>
      </c>
      <c r="D43" s="58"/>
      <c r="E43" s="61"/>
    </row>
    <row r="44" spans="1:9" ht="15.75" thickBot="1" x14ac:dyDescent="0.3">
      <c r="A44" s="46" t="s">
        <v>44</v>
      </c>
      <c r="B44" s="47">
        <f>(B43*12)/B17</f>
        <v>-0.76258985384036881</v>
      </c>
      <c r="D44" s="58"/>
      <c r="E44" s="62"/>
    </row>
    <row r="45" spans="1:9" ht="15.75" x14ac:dyDescent="0.25">
      <c r="A45" s="77" t="s">
        <v>249</v>
      </c>
      <c r="B45" s="78"/>
    </row>
    <row r="46" spans="1:9" x14ac:dyDescent="0.25">
      <c r="A46" s="23" t="s">
        <v>250</v>
      </c>
      <c r="B46" s="64">
        <f>B16/27.5*22%</f>
        <v>1223.3200000000002</v>
      </c>
    </row>
    <row r="47" spans="1:9" ht="15.75" thickBot="1" x14ac:dyDescent="0.3">
      <c r="A47" s="63" t="s">
        <v>251</v>
      </c>
      <c r="B47" s="65">
        <f>B16*0.02</f>
        <v>3058.3</v>
      </c>
    </row>
  </sheetData>
  <mergeCells count="13">
    <mergeCell ref="A22:B22"/>
    <mergeCell ref="D22:E22"/>
    <mergeCell ref="G22:I22"/>
    <mergeCell ref="A1:B1"/>
    <mergeCell ref="A2:B3"/>
    <mergeCell ref="D2:E2"/>
    <mergeCell ref="G2:J13"/>
    <mergeCell ref="A4:B4"/>
    <mergeCell ref="G31:I31"/>
    <mergeCell ref="A33:B33"/>
    <mergeCell ref="A38:B38"/>
    <mergeCell ref="D38:E38"/>
    <mergeCell ref="A45:B45"/>
  </mergeCells>
  <conditionalFormatting sqref="B26">
    <cfRule type="cellIs" dxfId="34" priority="29" operator="equal">
      <formula>"NO"</formula>
    </cfRule>
    <cfRule type="cellIs" dxfId="33" priority="30" operator="equal">
      <formula>"YES"</formula>
    </cfRule>
  </conditionalFormatting>
  <conditionalFormatting sqref="E40">
    <cfRule type="cellIs" dxfId="32" priority="27" operator="equal">
      <formula>"YES"</formula>
    </cfRule>
    <cfRule type="cellIs" dxfId="31" priority="28" operator="equal">
      <formula>"NO"</formula>
    </cfRule>
  </conditionalFormatting>
  <conditionalFormatting sqref="B25">
    <cfRule type="cellIs" dxfId="30" priority="25" operator="equal">
      <formula>"NO"</formula>
    </cfRule>
    <cfRule type="cellIs" dxfId="29" priority="26" operator="equal">
      <formula>"YES"</formula>
    </cfRule>
  </conditionalFormatting>
  <conditionalFormatting sqref="B12">
    <cfRule type="containsText" dxfId="28" priority="11" operator="containsText" text="Low">
      <formula>NOT(ISERROR(SEARCH("Low",B12)))</formula>
    </cfRule>
    <cfRule type="containsText" dxfId="27" priority="12" operator="containsText" text="Medium">
      <formula>NOT(ISERROR(SEARCH("Medium",B12)))</formula>
    </cfRule>
    <cfRule type="containsText" dxfId="26" priority="13" operator="containsText" text="High">
      <formula>NOT(ISERROR(SEARCH("High",B12)))</formula>
    </cfRule>
  </conditionalFormatting>
  <conditionalFormatting sqref="B31">
    <cfRule type="cellIs" dxfId="25" priority="21" operator="between">
      <formula>10%</formula>
      <formula>11.9%</formula>
    </cfRule>
    <cfRule type="cellIs" dxfId="24" priority="23" operator="lessThan">
      <formula>0.1</formula>
    </cfRule>
    <cfRule type="cellIs" dxfId="23" priority="24" operator="greaterThanOrEqual">
      <formula>0.12</formula>
    </cfRule>
  </conditionalFormatting>
  <conditionalFormatting sqref="B44">
    <cfRule type="cellIs" dxfId="22" priority="19" operator="between">
      <formula>0.1</formula>
      <formula>0.1199</formula>
    </cfRule>
    <cfRule type="cellIs" dxfId="21" priority="20" operator="lessThan">
      <formula>0.1</formula>
    </cfRule>
    <cfRule type="cellIs" dxfId="20" priority="22" operator="greaterThanOrEqual">
      <formula>0.12</formula>
    </cfRule>
  </conditionalFormatting>
  <conditionalFormatting sqref="B10">
    <cfRule type="containsText" dxfId="19" priority="14" operator="containsText" text="Full">
      <formula>NOT(ISERROR(SEARCH("Full",B10)))</formula>
    </cfRule>
    <cfRule type="containsText" dxfId="18" priority="15" operator="containsText" text="Heavy">
      <formula>NOT(ISERROR(SEARCH("Heavy",B10)))</formula>
    </cfRule>
    <cfRule type="containsText" dxfId="17" priority="16" operator="containsText" text="Medium">
      <formula>NOT(ISERROR(SEARCH("Medium",B10)))</formula>
    </cfRule>
    <cfRule type="containsText" dxfId="16" priority="17" operator="containsText" text="Light">
      <formula>NOT(ISERROR(SEARCH("Light",B10)))</formula>
    </cfRule>
    <cfRule type="containsText" dxfId="15" priority="18" operator="containsText" text="None">
      <formula>NOT(ISERROR(SEARCH("None",B10)))</formula>
    </cfRule>
  </conditionalFormatting>
  <conditionalFormatting sqref="B30">
    <cfRule type="cellIs" dxfId="14" priority="31" operator="lessThan">
      <formula>$B$8*100</formula>
    </cfRule>
    <cfRule type="cellIs" dxfId="13" priority="32" operator="greaterThanOrEqual">
      <formula>$B$8*100</formula>
    </cfRule>
  </conditionalFormatting>
  <conditionalFormatting sqref="B43">
    <cfRule type="cellIs" dxfId="12" priority="33" operator="lessThan">
      <formula>$B$8*100</formula>
    </cfRule>
    <cfRule type="cellIs" dxfId="11" priority="34" operator="greaterThan">
      <formula>$B$8*100</formula>
    </cfRule>
    <cfRule type="cellIs" dxfId="10" priority="35" operator="greaterThan">
      <formula>$B$8*100</formula>
    </cfRule>
  </conditionalFormatting>
  <conditionalFormatting sqref="B40">
    <cfRule type="cellIs" dxfId="9" priority="9" operator="equal">
      <formula>"YES"</formula>
    </cfRule>
    <cfRule type="cellIs" dxfId="8" priority="10" operator="equal">
      <formula>"NO"</formula>
    </cfRule>
  </conditionalFormatting>
  <conditionalFormatting sqref="E25:E28">
    <cfRule type="cellIs" dxfId="7" priority="5" operator="equal">
      <formula>"NO"</formula>
    </cfRule>
    <cfRule type="cellIs" dxfId="6" priority="6" operator="equal">
      <formula>"YES"</formula>
    </cfRule>
  </conditionalFormatting>
  <conditionalFormatting sqref="E31">
    <cfRule type="cellIs" dxfId="5" priority="2" operator="between">
      <formula>10%</formula>
      <formula>12%</formula>
    </cfRule>
    <cfRule type="cellIs" dxfId="4" priority="3" operator="lessThan">
      <formula>0.1</formula>
    </cfRule>
    <cfRule type="cellIs" dxfId="3" priority="4" operator="greaterThan">
      <formula>0.12</formula>
    </cfRule>
  </conditionalFormatting>
  <conditionalFormatting sqref="E30">
    <cfRule type="cellIs" dxfId="2" priority="7" operator="lessThan">
      <formula>$B$8*100</formula>
    </cfRule>
    <cfRule type="cellIs" dxfId="1" priority="8" operator="greaterThan">
      <formula>$B$8*100</formula>
    </cfRule>
  </conditionalFormatting>
  <conditionalFormatting sqref="B46:B47">
    <cfRule type="cellIs" dxfId="0" priority="1" operator="greaterThan">
      <formula>0</formula>
    </cfRule>
  </conditionalFormatting>
  <hyperlinks>
    <hyperlink ref="A34" r:id="rId1" display="https://www.zillow.com/homes/recently_sold/" xr:uid="{D3254A72-0A96-4735-AFFF-E6457D87B9E3}"/>
    <hyperlink ref="A23" r:id="rId2" xr:uid="{3CD6D207-A86A-42F5-8F6F-77CE36C85A67}"/>
    <hyperlink ref="A27" r:id="rId3" display="www.mortgagecalculator.org" xr:uid="{4829CC2D-6124-423B-BA9D-FA439AF81791}"/>
    <hyperlink ref="A12" r:id="rId4" xr:uid="{8116F454-4109-44DD-9908-2A6B2E576610}"/>
  </hyperlinks>
  <pageMargins left="0.7" right="0.7" top="0.75" bottom="0.75" header="0.3" footer="0.3"/>
  <drawing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01066C521EFB4C8D6AF48678CB67A2" ma:contentTypeVersion="8" ma:contentTypeDescription="Create a new document." ma:contentTypeScope="" ma:versionID="472e5d4a4e216a79f7622ae8813d155d">
  <xsd:schema xmlns:xsd="http://www.w3.org/2001/XMLSchema" xmlns:xs="http://www.w3.org/2001/XMLSchema" xmlns:p="http://schemas.microsoft.com/office/2006/metadata/properties" xmlns:ns3="efe7195c-e033-4d4a-b522-b2b30f2d12b5" xmlns:ns4="9f782333-03a9-4d73-9ba1-40dd18ca0fd6" targetNamespace="http://schemas.microsoft.com/office/2006/metadata/properties" ma:root="true" ma:fieldsID="566d2c4b327b5ea3fa5ee3bd6d736d6b" ns3:_="" ns4:_="">
    <xsd:import namespace="efe7195c-e033-4d4a-b522-b2b30f2d12b5"/>
    <xsd:import namespace="9f782333-03a9-4d73-9ba1-40dd18ca0fd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7195c-e033-4d4a-b522-b2b30f2d12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782333-03a9-4d73-9ba1-40dd18ca0f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4B820F-7C83-4BFC-AD31-76FF662A1A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e7195c-e033-4d4a-b522-b2b30f2d12b5"/>
    <ds:schemaRef ds:uri="9f782333-03a9-4d73-9ba1-40dd18ca0f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D5491B-4665-4A1F-9655-0BE5204E475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7F7535-BE73-49BF-A11D-09C919225A65}">
  <ds:schemaRefs>
    <ds:schemaRef ds:uri="http://purl.org/dc/dcmitype/"/>
    <ds:schemaRef ds:uri="http://schemas.microsoft.com/office/2006/metadata/properties"/>
    <ds:schemaRef ds:uri="http://www.w3.org/XML/1998/namespace"/>
    <ds:schemaRef ds:uri="efe7195c-e033-4d4a-b522-b2b30f2d12b5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9f782333-03a9-4d73-9ba1-40dd18ca0fd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238</vt:i4>
      </vt:variant>
    </vt:vector>
  </HeadingPairs>
  <TitlesOfParts>
    <vt:vector size="238" baseType="lpstr">
      <vt:lpstr>1241 72nd, Windsor Heights, Iow</vt:lpstr>
      <vt:lpstr>1904 52nd Street Des Moines, Io</vt:lpstr>
      <vt:lpstr>4900 Douglas Avenue Des Moines,</vt:lpstr>
      <vt:lpstr>1312 9th St Des Moines , Iowa</vt:lpstr>
      <vt:lpstr>1130 66th St, Windsor Heights, </vt:lpstr>
      <vt:lpstr>1409 University Ave, Des Moines</vt:lpstr>
      <vt:lpstr>3121 Victoria Dr, Des Moines, I</vt:lpstr>
      <vt:lpstr>1204 Southeast Belmont Drive, A</vt:lpstr>
      <vt:lpstr>6746 NW 4th Ct, Des Moines, IA,</vt:lpstr>
      <vt:lpstr>302 SE 2nd St, Ankeny, IA, 5002</vt:lpstr>
      <vt:lpstr>2914 SW Glenbrooke Blvd, Ankeny</vt:lpstr>
      <vt:lpstr>625 12th Street, West Des Moine</vt:lpstr>
      <vt:lpstr>4218 Northwest Linwood Drive, A</vt:lpstr>
      <vt:lpstr>15411 Aurora Ave, Urbandale, IA</vt:lpstr>
      <vt:lpstr>8838 Woodmayr Dr, Norwalk, IA, </vt:lpstr>
      <vt:lpstr>2812 SW Plaza Ln, Ankeny, IA, 2</vt:lpstr>
      <vt:lpstr>843 Euclid Ave, Des Moines, IA,</vt:lpstr>
      <vt:lpstr>4320 66th St, Urbandale, IA, 50</vt:lpstr>
      <vt:lpstr>1910 7th Street, Des Moines, Io</vt:lpstr>
      <vt:lpstr>5600 Hickman Rd, Des Moines, IA</vt:lpstr>
      <vt:lpstr>505 6th Street Pl SE, Altoona, </vt:lpstr>
      <vt:lpstr>3914 77th St, Urbandale, IA 503</vt:lpstr>
      <vt:lpstr>863 NW 45th Ave, Des Moines, IA</vt:lpstr>
      <vt:lpstr>3009 NW 29th St, Ankeny, IA 500</vt:lpstr>
      <vt:lpstr>4009 Douglas Avenue, Des Moines</vt:lpstr>
      <vt:lpstr>805 Southeast Belmont Drive, An</vt:lpstr>
      <vt:lpstr>1204 SE Belmont Dr, Ankeny, IA </vt:lpstr>
      <vt:lpstr>2812 SW Plaza Ln, Ankeny, IA, 5</vt:lpstr>
      <vt:lpstr>2319 SW 35th St, Ankeny, IA, 50</vt:lpstr>
      <vt:lpstr>302 SE 2nd St, Ankeny, IA 2</vt:lpstr>
      <vt:lpstr>2124 University Avenue, Des Moi</vt:lpstr>
      <vt:lpstr>704 7th Ave SE, Altoona, IA, 50</vt:lpstr>
      <vt:lpstr>4249 Morton Ave, Des Moines, IA</vt:lpstr>
      <vt:lpstr>4602 Meadow Valley Dr, West Des</vt:lpstr>
      <vt:lpstr>2405 Maple St, West Des Moines,</vt:lpstr>
      <vt:lpstr>14612 Westbrook Dr, Urbandale, </vt:lpstr>
      <vt:lpstr>928 Hunter Dr, Norwalk, IA, 502</vt:lpstr>
      <vt:lpstr>3809 8th St, Des Moines, IA, 50</vt:lpstr>
      <vt:lpstr>1023 SE Chaparal Dr, Ankeny, IA</vt:lpstr>
      <vt:lpstr>Lovington House FB Marketplace</vt:lpstr>
      <vt:lpstr>1109 Parkhill Dr, Norwalk, IA, </vt:lpstr>
      <vt:lpstr>928 Hunter Dr, Norwalk, IA, 2</vt:lpstr>
      <vt:lpstr>4213 Aurora Avenue, Des Moines,</vt:lpstr>
      <vt:lpstr>4607 Amick Ave, Des Moines, IA </vt:lpstr>
      <vt:lpstr>817 Pioneer Road, Des Moines, I</vt:lpstr>
      <vt:lpstr>1421 NW Pebble Dr, Ankeny, IA, </vt:lpstr>
      <vt:lpstr>6281 NW 54th Ct, Johnston, IA, </vt:lpstr>
      <vt:lpstr>4300 74th St, Urbandale, IA, 50</vt:lpstr>
      <vt:lpstr>625 22nd St, West Des Moines, I</vt:lpstr>
      <vt:lpstr>700 E Miller Ave, Des Moines, I</vt:lpstr>
      <vt:lpstr>2538 River Meadows Dr, Des Moin</vt:lpstr>
      <vt:lpstr>3620 Franklin Ave, Des Moines, </vt:lpstr>
      <vt:lpstr>9614 Oakwood Dr, Urbandale, IA,</vt:lpstr>
      <vt:lpstr>5223 NW 4th St, Ankeny, IA, 500</vt:lpstr>
      <vt:lpstr>6281 Northwest 54th Court, John</vt:lpstr>
      <vt:lpstr>404 NW Norton Cir, Grimes, IA, </vt:lpstr>
      <vt:lpstr>802 Filmore Ave SE, Bondurant, </vt:lpstr>
      <vt:lpstr>4926 Willow Dr, Pleasant Hill, </vt:lpstr>
      <vt:lpstr>4101 Ashworth Rd, West Des Moin</vt:lpstr>
      <vt:lpstr>1705 SE Waddell Way, Waukee, IA</vt:lpstr>
      <vt:lpstr>3022 E 9th St, Des Moines, IA, </vt:lpstr>
      <vt:lpstr>1415 E 13th St, Des Moines, IA,</vt:lpstr>
      <vt:lpstr>1226 E University Ave, Des Moin</vt:lpstr>
      <vt:lpstr>2104 36th Street, Rock Island, </vt:lpstr>
      <vt:lpstr>3401-3403 37th Avenue, Moline, </vt:lpstr>
      <vt:lpstr>3517-3519 35th St, Moline, IL,</vt:lpstr>
      <vt:lpstr>1419-1421 19th Ave, Moline, IL,</vt:lpstr>
      <vt:lpstr>4400 7th Ave, Rock Island, IL, </vt:lpstr>
      <vt:lpstr>422-424 44th St, Moline, IL, 61</vt:lpstr>
      <vt:lpstr>558 34th Ave, East Moline, IL, </vt:lpstr>
      <vt:lpstr>3520-3522 34th St, Moline, IL, </vt:lpstr>
      <vt:lpstr>215 3rd St, Colona, IL, 61241</vt:lpstr>
      <vt:lpstr>1122-1124 3rd St, Moline, IL, 6</vt:lpstr>
      <vt:lpstr>1121 14th St, Moline, IL, 61265</vt:lpstr>
      <vt:lpstr>824 10th St, Silvis, IL, 61282</vt:lpstr>
      <vt:lpstr>1523 29th St, Rock Island, IL, </vt:lpstr>
      <vt:lpstr>808 27th St, Rock Island, Illin</vt:lpstr>
      <vt:lpstr>8116 9th St W, Rock Island, IL,</vt:lpstr>
      <vt:lpstr>2515 16th St, Moline, IL, 61265</vt:lpstr>
      <vt:lpstr>1730 10th St, Moline, IL, 61265</vt:lpstr>
      <vt:lpstr>923 21st St, Rock Island, IL, 6</vt:lpstr>
      <vt:lpstr>831 41st St, Rock Island, IL, 6</vt:lpstr>
      <vt:lpstr>2909-2911 7th Ave, Rock Island,</vt:lpstr>
      <vt:lpstr>4327 7th Ave, Rock Island, IL, </vt:lpstr>
      <vt:lpstr>2517 W 55th St, Davenport, IA, </vt:lpstr>
      <vt:lpstr>1408-1410 15th Ave, Rock Island</vt:lpstr>
      <vt:lpstr>1919 16th St, Moline, IL, 61265</vt:lpstr>
      <vt:lpstr>1802 4th St, Moline, IL, 61265</vt:lpstr>
      <vt:lpstr>915 20th St, Rock Island, IL, 6</vt:lpstr>
      <vt:lpstr>630 Water St, Colona, IL, 61241</vt:lpstr>
      <vt:lpstr>3204 27th Ave, Rock Island, IL,</vt:lpstr>
      <vt:lpstr>2224 24th St, Rock Island, IL, </vt:lpstr>
      <vt:lpstr>1223 14th St, Moline, IL, 61265</vt:lpstr>
      <vt:lpstr>3513-3515 35th St, Moline, IL, </vt:lpstr>
      <vt:lpstr>3509-3511 35th St, Moline, IL, </vt:lpstr>
      <vt:lpstr>1305 2nd Ave, Iowa City, IA, 52</vt:lpstr>
      <vt:lpstr>728 W Donahue St, Eldridge, IA,</vt:lpstr>
      <vt:lpstr>2703 N Harrison St, Davenport, </vt:lpstr>
      <vt:lpstr>125 E Bryant St, Walcott, IA, 5</vt:lpstr>
      <vt:lpstr>522 S Lucas St, Iowa City, IA, </vt:lpstr>
      <vt:lpstr>2613 Ferndale Dr, Iowa City, IA</vt:lpstr>
      <vt:lpstr>1233-1235 Dolen Pl, Iowa City, </vt:lpstr>
      <vt:lpstr>1127 Knox Road, Oneida, IL</vt:lpstr>
      <vt:lpstr>541 N Russell Ave, Geneseo, IL,</vt:lpstr>
      <vt:lpstr>605 S Tremont St, Kewanee, IL, </vt:lpstr>
      <vt:lpstr>801 W 3rd St, Dixon, IL, 61021</vt:lpstr>
      <vt:lpstr>216 Crawford Ave, Dixon, IL, 61</vt:lpstr>
      <vt:lpstr>505 Dixon Ave, Rock Falls, IL, </vt:lpstr>
      <vt:lpstr>1411-1417 Kinsey Ave, Rockdale,</vt:lpstr>
      <vt:lpstr>786 E Benton St, Aurora, IL, 60</vt:lpstr>
      <vt:lpstr>478 E Chicago St, Elgin, IL, 60</vt:lpstr>
      <vt:lpstr>417 E Orange St, Geneseo, IL, 6</vt:lpstr>
      <vt:lpstr>1113 Saint Clements St, Iowa Ci</vt:lpstr>
      <vt:lpstr>303 3rd St, Low Moor, IA, 52757</vt:lpstr>
      <vt:lpstr>535-537 23rd St, Rock Island, I</vt:lpstr>
      <vt:lpstr>1011 6th Ave, Sterling, IL, 610</vt:lpstr>
      <vt:lpstr>811 Leroy Ave, Rock Falls, IL, </vt:lpstr>
      <vt:lpstr>2133 N Division St, Davenport, </vt:lpstr>
      <vt:lpstr>1715-1715 1 2 Fillmore Ln, Dave</vt:lpstr>
      <vt:lpstr>1725 Davie St, Davenport, IA, 5</vt:lpstr>
      <vt:lpstr>2017 17th Street, Rock Island, </vt:lpstr>
      <vt:lpstr>1625-1625 1 2 St, Rock Island, </vt:lpstr>
      <vt:lpstr>1043 16th Ave, East Moline, IL,</vt:lpstr>
      <vt:lpstr>2600 11th St, Rock Island, IL, </vt:lpstr>
      <vt:lpstr>619-621 23rd St, Rock Island, I</vt:lpstr>
      <vt:lpstr>352-354 1st St, Moline, IL, 612</vt:lpstr>
      <vt:lpstr>1933 W 2nd St, Davenport, IA, 5</vt:lpstr>
      <vt:lpstr>5809-5811 Jebens Ave, Davenport</vt:lpstr>
      <vt:lpstr>1429 W 14th St, Davenport, IA, </vt:lpstr>
      <vt:lpstr>1149 1151 48th St, Moline, IL, </vt:lpstr>
      <vt:lpstr>1415-1417 11th St, Silvis, IL, </vt:lpstr>
      <vt:lpstr>635 and 637 W 63rd St, Davenpor</vt:lpstr>
      <vt:lpstr>837 17th Ave, East Moline, IL, </vt:lpstr>
      <vt:lpstr>6322 and 6324 Appomattox Rd, Da</vt:lpstr>
      <vt:lpstr>3025 3027 W 66th St, Davenport,</vt:lpstr>
      <vt:lpstr>539 W 29th St, Davenport, IA, 5</vt:lpstr>
      <vt:lpstr>1928 Pershing Ave, Davenport, I</vt:lpstr>
      <vt:lpstr>1715-1715 1 2 Fillmore Ln, Dav</vt:lpstr>
      <vt:lpstr>3203 Greenbrier Dr, Bettendorf,</vt:lpstr>
      <vt:lpstr>2650 Tanglefoot Ln, Bettendorf,</vt:lpstr>
      <vt:lpstr>4210 Bunker Hill Dr, Bettendorf</vt:lpstr>
      <vt:lpstr>3461 Clearwater Dr, Bettendorf,</vt:lpstr>
      <vt:lpstr>3855 Greenbrier Dr, Bettendorf,</vt:lpstr>
      <vt:lpstr>2714 Heather Ln, Bettendorf, IA</vt:lpstr>
      <vt:lpstr>3502 Greenbrier Dr, Bettendorf,</vt:lpstr>
      <vt:lpstr>2702 Crestview Dr, Bettendorf, </vt:lpstr>
      <vt:lpstr>2234 Maplecrest Rd, Bettendorf,</vt:lpstr>
      <vt:lpstr>3726 Vogel Ct, Bettendorf, IA, </vt:lpstr>
      <vt:lpstr>1628 Robeson Ave, Bettendorf, I</vt:lpstr>
      <vt:lpstr>1905 Parkway Dr, Bettendorf, IA</vt:lpstr>
      <vt:lpstr>3124 Oxford Dr, Bettendorf, IA,</vt:lpstr>
      <vt:lpstr>37 Parklane Cir, Bettendorf, IA</vt:lpstr>
      <vt:lpstr>3405 Grove Pl, Bettendorf, IA, </vt:lpstr>
      <vt:lpstr>3207 Magnolia Ct, Bettendorf, I</vt:lpstr>
      <vt:lpstr>2922 Magnolia Dr, Bettendorf, I</vt:lpstr>
      <vt:lpstr>2626 Heather Ln, Bettendorf, IA</vt:lpstr>
      <vt:lpstr>1830 Central Ave, Bettendorf, I</vt:lpstr>
      <vt:lpstr>2803 Hillside Ct, Bettendorf, I</vt:lpstr>
      <vt:lpstr>1131 Meadow Lane Dr, Bettendorf</vt:lpstr>
      <vt:lpstr>1531 Fairlane Dr, Bettendorf, I</vt:lpstr>
      <vt:lpstr>3018 Oxford Dr, Bettendorf, IA,</vt:lpstr>
      <vt:lpstr>1731 Susan Ct, Bettendorf, IA, </vt:lpstr>
      <vt:lpstr>4003 Tanglefoot Ter, Bettendorf</vt:lpstr>
      <vt:lpstr>2347 Hawk Dr, Bettendorf, IA, 5</vt:lpstr>
      <vt:lpstr>4665 Lindbergh Dr, Bettendorf, </vt:lpstr>
      <vt:lpstr>2007 Mississippi Blvd, Bettendo</vt:lpstr>
      <vt:lpstr>2314 Kingsway Dr, Bettendorf, I</vt:lpstr>
      <vt:lpstr>3926 Lexington Ct, Bettendorf, </vt:lpstr>
      <vt:lpstr>2650 Tanglefoot Ln, Bettendorf2</vt:lpstr>
      <vt:lpstr>3685 Sunny Hill Dr, Bettendorf,</vt:lpstr>
      <vt:lpstr>1904 Kings Dr, Bettendorf, IA, </vt:lpstr>
      <vt:lpstr>1728 Middle Rd, Bettendorf, IA,</vt:lpstr>
      <vt:lpstr>1803 Lincoln Rd, Bettendorf, IA</vt:lpstr>
      <vt:lpstr>2612 Crestview Dr, Bettendorf, </vt:lpstr>
      <vt:lpstr>3419 Kenwood Ave, Davenport, IA</vt:lpstr>
      <vt:lpstr>2602 E 32nd St, Davenport, IA, </vt:lpstr>
      <vt:lpstr>3207 Magnolia Ct, Bettendorf 2</vt:lpstr>
      <vt:lpstr>3967 Valley View Dr, Bettendorf</vt:lpstr>
      <vt:lpstr>7132 Valley Dr, Bettendorf, IA,</vt:lpstr>
      <vt:lpstr>3900 Rolling Wood Ct, Bettendor</vt:lpstr>
      <vt:lpstr>3602 Cedarwood Ct, Bettendorf, </vt:lpstr>
      <vt:lpstr>1500 Parklane Dr, Bettendorf, I</vt:lpstr>
      <vt:lpstr>2819 Avalon Dr, Bettendorf, IA,</vt:lpstr>
      <vt:lpstr>4565 Aspen Hills Cir, Bettendor</vt:lpstr>
      <vt:lpstr>3775 Moencks Rd, Bettendorf, IA</vt:lpstr>
      <vt:lpstr>5516 Joshua St, Bettendorf, IA,</vt:lpstr>
      <vt:lpstr>2230 W 55th St, Davenport, IA, </vt:lpstr>
      <vt:lpstr>4433 N Pine St, Davenport, IA, </vt:lpstr>
      <vt:lpstr>2033 W 59th St, Davenport, IA, </vt:lpstr>
      <vt:lpstr>3247 Sunburst Dr, Bettendorf, I</vt:lpstr>
      <vt:lpstr>3018 Oxford Dr, Bettendorf, IA </vt:lpstr>
      <vt:lpstr>4114 White Pines Dr, Davenport,</vt:lpstr>
      <vt:lpstr>1810 W 54th St, Davenport, IA, </vt:lpstr>
      <vt:lpstr>217 W 46th St, Davenport, IA, 5</vt:lpstr>
      <vt:lpstr>769 W 46th St, Davenport, IA, 5</vt:lpstr>
      <vt:lpstr>4505 Sheridan St, Davenport, IA</vt:lpstr>
      <vt:lpstr>5211 Brown St, Davenport, IA, 5</vt:lpstr>
      <vt:lpstr>2503 Sheffield Dr, Davenport, I</vt:lpstr>
      <vt:lpstr>2028 W 49th St, Davenport, IA, </vt:lpstr>
      <vt:lpstr>2029 W 51st St,</vt:lpstr>
      <vt:lpstr>2376 W 49th St, Davenport, IA, </vt:lpstr>
      <vt:lpstr>3130 W 2nd St, Davenport, IA, 5</vt:lpstr>
      <vt:lpstr>611 E Columbia Ave, Davenport, </vt:lpstr>
      <vt:lpstr>803 W Rusholme St, Davenport, I</vt:lpstr>
      <vt:lpstr>841-843 15th Ave, East Moline, </vt:lpstr>
      <vt:lpstr>2523 Glenn St, Bettendorf, IA, </vt:lpstr>
      <vt:lpstr>1711 Parkway Dr, Bettendorf, IA</vt:lpstr>
      <vt:lpstr>2524 7th St, East Moline, IL, 6</vt:lpstr>
      <vt:lpstr>1134 52nd Street Ct, Moline, IL</vt:lpstr>
      <vt:lpstr>1218 49th St, Moline, IL, 61265</vt:lpstr>
      <vt:lpstr>220 30th Ave, East Moline, IL, </vt:lpstr>
      <vt:lpstr>2614 2nd Street Ct, East Moline</vt:lpstr>
      <vt:lpstr>5214 12th Ave, Moline, IL, 6126</vt:lpstr>
      <vt:lpstr>3632 9th St, East Moline, IL, 6</vt:lpstr>
      <vt:lpstr>215 15th St, Silvis, IL, 61282</vt:lpstr>
      <vt:lpstr>515 8th Ave, Silvis, IL, 61282</vt:lpstr>
      <vt:lpstr>1214 37th St, Rock Island, IL, </vt:lpstr>
      <vt:lpstr>1518 32nd St, Rock Island, IL, </vt:lpstr>
      <vt:lpstr>1531 29 1 2 St, Rock Island, IL</vt:lpstr>
      <vt:lpstr>2607 47th St, Moline, IL, 61265</vt:lpstr>
      <vt:lpstr>1920 32nd St, Moline, IL, 61265</vt:lpstr>
      <vt:lpstr>2553 30th Avenue Ct, Moline, IL</vt:lpstr>
      <vt:lpstr>1726 10th St, Moline, IL, 61265</vt:lpstr>
      <vt:lpstr>1924 13th St, East Moline, IL, </vt:lpstr>
      <vt:lpstr>2035 12th St, East Moline, IL, </vt:lpstr>
      <vt:lpstr>7203 N Pine St, Davenport, IA, </vt:lpstr>
      <vt:lpstr>2714 W 69th St, Davenport, IA, </vt:lpstr>
      <vt:lpstr>2172 Stadium Dr, Rock Island, I</vt:lpstr>
      <vt:lpstr>3223 N Division St, Davenport, </vt:lpstr>
      <vt:lpstr>2221 Hickory Grove Rd, Davenpor</vt:lpstr>
      <vt:lpstr>2618 Arlington Ave, Davenport, </vt:lpstr>
      <vt:lpstr>318 S Main St, Bellevue, IL, 61</vt:lpstr>
      <vt:lpstr>3806 N Donna Ln, Peoria, IL, 61</vt:lpstr>
      <vt:lpstr>2702-04 W Millbrook Ct, Peoria,</vt:lpstr>
      <vt:lpstr>House 169 (70)</vt:lpstr>
      <vt:lpstr>House 169 (71)</vt:lpstr>
      <vt:lpstr>House 169 (72)</vt:lpstr>
      <vt:lpstr>House 169 (73)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 Smith</dc:creator>
  <cp:lastModifiedBy>AJ Smith</cp:lastModifiedBy>
  <dcterms:created xsi:type="dcterms:W3CDTF">2020-09-01T10:50:29Z</dcterms:created>
  <dcterms:modified xsi:type="dcterms:W3CDTF">2021-01-01T19:24:21Z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0x010100D501066C521EFB4C8D6AF48678CB67A2</vt:lpwstr>
  </property>
</Properties>
</file>