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thul"/>
  <workbookPr/>
  <bookViews>
    <workbookView activeTab="0" xWindow="240" yWindow="60" windowWidth="0" windowHeight="0" tabRatio="500"/>
  </bookViews>
  <sheets>
    <sheet name="power-budget" sheetId="1" r:id="rId4"/>
    <sheet name="battery-options" sheetId="2" r:id="rId5"/>
  </sheets>
  <calcPr calcOnSave="0"/>
  <extLst>
    <ext uri="smNativeData">
      <pm:revision xmlns:pm="smNativeData" day="1612912750" val="978" rev="124" rev64="64" revOS="3" revMin="124" revMax="0"/>
      <pm:docPrefs xmlns:pm="smNativeData" id="1612912750" fixedDigits="0" showNotice="1" showFrameBounds="1" autoChart="1" recalcOnPrint="1" recalcOnCopy="1" compatTextArt="1" tab="567" useDefinedPrintRange="1" printArea="currentSheet"/>
      <pm:compatibility xmlns:pm="smNativeData" id="1612912750" overlapCells="1"/>
      <pm:defCurrency xmlns:pm="smNativeData" id="1612912750"/>
    </ext>
  </extLst>
</workbook>
</file>

<file path=xl/sharedStrings.xml><?xml version="1.0" encoding="utf-8"?>
<sst xmlns="http://schemas.openxmlformats.org/spreadsheetml/2006/main" count="74" uniqueCount="63">
  <si>
    <t>Form factor</t>
  </si>
  <si>
    <t>1U</t>
  </si>
  <si>
    <t>2U</t>
  </si>
  <si>
    <t>3U</t>
  </si>
  <si>
    <t>Solar cell #faces</t>
  </si>
  <si>
    <r>
      <t>Effective area for power generation (m</t>
    </r>
    <r>
      <rPr>
        <rFont val="Arial"/>
        <charset val="0"/>
        <family val="1"/>
        <sz val="10"/>
        <b val="0"/>
        <i val="0"/>
        <vertAlign val="superscript"/>
        <extLst>
          <ext uri="smNativeData">
            <pm:charSpec xmlns:pm="smNativeData" id="1612912750" ssSize="66" ssDistance="15">
              <pm:latin face="Arial" sz="200" weight="normal" i="0"/>
              <pm:cs/>
              <pm:ea/>
            </pm:charSpec>
          </ext>
        </extLst>
      </rPr>
      <t>2</t>
    </r>
    <r>
      <rPr>
        <rFont val="Arial"/>
        <charset val="0"/>
        <family val="1"/>
        <sz val="10"/>
        <b val="0"/>
        <i val="0"/>
        <vertAlign val="superscript"/>
        <extLst>
          <ext uri="smNativeData">
            <pm:charSpec xmlns:pm="smNativeData" id="1612912750" ssSize="0" ssDistance="0">
              <pm:latin face="Arial" sz="200" weight="normal" i="0"/>
              <pm:cs/>
              <pm:ea/>
            </pm:charSpec>
          </ext>
        </extLst>
      </rPr>
      <t>)</t>
    </r>
  </si>
  <si>
    <t>Orbital altitude (km)</t>
  </si>
  <si>
    <t>Solar cell efficiency</t>
  </si>
  <si>
    <t>Orbital speed (m/s)</t>
  </si>
  <si>
    <t>Orbital period (sec)</t>
  </si>
  <si>
    <t>Orbital period (hour)</t>
  </si>
  <si>
    <t>Earth's angular radius, deg</t>
  </si>
  <si>
    <t>Eclipse time (sec)</t>
  </si>
  <si>
    <t>Eclipse time (hour)</t>
  </si>
  <si>
    <t>Sunlight time (sec)</t>
  </si>
  <si>
    <t>Sunlight time (hour)</t>
  </si>
  <si>
    <t>Orbit average power generated, W</t>
  </si>
  <si>
    <t>Orbit average power (conservative), W</t>
  </si>
  <si>
    <t>Power requirement (s)</t>
  </si>
  <si>
    <t>Power</t>
  </si>
  <si>
    <t>Magsail mode duty cycle</t>
  </si>
  <si>
    <t>Transmit mode duty cycle</t>
  </si>
  <si>
    <t>Magsail off mode duty cycle</t>
  </si>
  <si>
    <t>Idle mode duty cycle</t>
  </si>
  <si>
    <t>Safe mode duty cycle</t>
  </si>
  <si>
    <t>Nominal time, h</t>
  </si>
  <si>
    <t>On Board Data Handling, W</t>
  </si>
  <si>
    <t>Telemetry, TX</t>
  </si>
  <si>
    <t>Telemetry, RX</t>
  </si>
  <si>
    <t xml:space="preserve">Attitude Control System </t>
  </si>
  <si>
    <t>Electrical Power System</t>
  </si>
  <si>
    <t>Magsail, W</t>
  </si>
  <si>
    <t>AVG</t>
  </si>
  <si>
    <t>Orbit average power req., W</t>
  </si>
  <si>
    <t>Orbit average power margin, W</t>
  </si>
  <si>
    <t>Energy requirement per orbit, Wh</t>
  </si>
  <si>
    <t>During eclipse</t>
  </si>
  <si>
    <t>Depth of discharge  (eclipse)</t>
  </si>
  <si>
    <t xml:space="preserve">Min. energy  required (eclipse), Wh
</t>
  </si>
  <si>
    <t>Selected battery capacity, Wh</t>
  </si>
  <si>
    <t>Min. energy  required (eclipse), Wh</t>
  </si>
  <si>
    <t>Energy margin, Wh</t>
  </si>
  <si>
    <t># of orbits, margin</t>
  </si>
  <si>
    <t>(Surge power)</t>
  </si>
  <si>
    <t>Type</t>
  </si>
  <si>
    <t>Capacity (Ah)</t>
  </si>
  <si>
    <t>Voltage (V)</t>
  </si>
  <si>
    <t>Energy (Wh)</t>
  </si>
  <si>
    <t>Max. current, A</t>
  </si>
  <si>
    <t>Mass, g</t>
  </si>
  <si>
    <t>Specific energy Wh/kg</t>
  </si>
  <si>
    <t>SONY VTC4 18650</t>
  </si>
  <si>
    <t>Li-ion</t>
  </si>
  <si>
    <t xml:space="preserve">PANASONICNCR18650B </t>
  </si>
  <si>
    <t>LG INR 18650 MJ1</t>
  </si>
  <si>
    <t>LG HG2</t>
  </si>
  <si>
    <t>(Typical CubeSats)</t>
  </si>
  <si>
    <t>AAC Clyde OPTIMUS 30</t>
  </si>
  <si>
    <t>Li-Po</t>
  </si>
  <si>
    <t>AAC Clyde OPTIMUS 40</t>
  </si>
  <si>
    <t>AAC Clyde OPTIMUS 80</t>
  </si>
  <si>
    <t>EXA BA01</t>
  </si>
  <si>
    <t>NA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</si>
</sst>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.0"/>
    <numFmt numFmtId="4" formatCode="#,##0.00"/>
    <numFmt numFmtId="165" formatCode="#,##0.000"/>
    <numFmt numFmtId="3" formatCode="#,##0"/>
    <numFmt numFmtId="2" formatCode="0.00"/>
  </numFmts>
  <fonts count="5">
    <font>
      <name val="Arial"/>
      <family val="1"/>
      <color rgb="FF000000"/>
      <sz val="10"/>
      <extLst>
        <ext uri="smNativeData">
          <pm:charSpec xmlns:pm="smNativeData" id="161291275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291275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612912750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1"/>
      <color rgb="FF000000"/>
      <sz val="10"/>
      <vertAlign val="superscript"/>
      <extLst>
        <ext uri="smNativeData">
          <pm:charSpec xmlns:pm="smNativeData" id="1612912750" ulstyle="none" kern="1" ssSize="66" ssDistance="15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1"/>
      <b/>
      <color rgb="FF0000FF"/>
      <sz val="10"/>
      <extLst>
        <ext uri="smNativeData">
          <pm:charSpec xmlns:pm="smNativeData" id="1612912750" fgClr="0000FF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612912750" type="1" fgLvl="100" fgClr="00FFFF00" bgLvl="0" bgClr="00000000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12912750" type="1" fgLvl="38" fgClr="0000FF00" bgLvl="62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2912750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29127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29127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29127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291275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2" borderId="1" xfId="0" applyFont="1" applyFill="1"/>
    <xf numFmtId="2" fontId="0" fillId="2" borderId="1" xfId="0" applyNumberFormat="1" applyFill="1"/>
    <xf numFmtId="0" fontId="0" fillId="3" borderId="2" xfId="0" applyFill="1"/>
    <xf numFmtId="165" fontId="0" fillId="3" borderId="2" xfId="0" applyNumberFormat="1" applyFill="1"/>
    <xf numFmtId="3" fontId="0" fillId="3" borderId="2" xfId="0" applyNumberFormat="1" applyFill="1"/>
    <xf numFmtId="2" fontId="0" fillId="3" borderId="2" xfId="0" applyNumberFormat="1" applyFill="1"/>
    <xf numFmtId="4" fontId="0" fillId="3" borderId="2" xfId="0" applyNumberFormat="1" applyFill="1"/>
    <xf numFmtId="0" fontId="0" fillId="3" borderId="2" xfId="0" applyFill="1" applyAlignment="1">
      <alignment wrapText="1"/>
    </xf>
    <xf numFmtId="2" fontId="2" fillId="2" borderId="1" xfId="0" applyNumberFormat="1" applyFont="1" applyFill="1"/>
    <xf numFmtId="2" fontId="2" fillId="0" borderId="0" xfId="0" applyNumberFormat="1" applyFont="1"/>
    <xf numFmtId="0" fontId="0" fillId="0" borderId="0" xfId="0" applyAlignment="1">
      <alignment wrapText="1"/>
    </xf>
    <xf numFmtId="164" fontId="0" fillId="0" borderId="0" xfId="0" applyNumberFormat="1"/>
    <xf numFmtId="0" fontId="0" fillId="4" borderId="3" xfId="0" applyFill="1"/>
    <xf numFmtId="2" fontId="0" fillId="3" borderId="2" xfId="0" applyNumberFormat="1" applyFill="1" applyAlignment="1">
      <alignment wrapText="1"/>
    </xf>
    <xf numFmtId="2" fontId="0" fillId="0" borderId="0" xfId="0" applyNumberFormat="1"/>
    <xf numFmtId="2" fontId="2" fillId="0" borderId="0" xfId="0" applyNumberFormat="1" applyFont="1" applyAlignment="1">
      <alignment wrapText="1"/>
    </xf>
    <xf numFmtId="3" fontId="2" fillId="0" borderId="0" xfId="0" applyNumberFormat="1" applyFont="1"/>
    <xf numFmtId="2" fontId="2" fillId="0" borderId="0" xfId="0" applyNumberFormat="1" applyFont="1" applyAlignment="1">
      <alignment horizontal="left"/>
    </xf>
    <xf numFmtId="2" fontId="4" fillId="3" borderId="2" xfId="0" applyNumberFormat="1" applyFont="1" applyFill="1"/>
    <xf numFmtId="0" fontId="2" fillId="2" borderId="1" xfId="0" applyFont="1" applyFill="1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612912750" count="1">
        <pm:charStyle name="Normal" fontId="0"/>
      </pm:charStyles>
      <pm:colors xmlns:pm="smNativeData" id="1612912750" count="2">
        <pm:color name="Color 24" rgb="00D100"/>
        <pm:color name="Color 25" rgb="9EFF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view="normal" zoomScale="120" workbookViewId="0">
      <selection activeCell="D26" sqref="D26"/>
    </sheetView>
  </sheetViews>
  <sheetFormatPr baseColWidth="9" defaultColWidth="10.000000" defaultRowHeight="13.45"/>
  <cols>
    <col min="1" max="1" width="36.864865" customWidth="1"/>
    <col min="2" max="2" width="11.792793" customWidth="1"/>
    <col min="3" max="6" width="10.369369" customWidth="1"/>
    <col min="7" max="7" width="12.324324" customWidth="1"/>
    <col min="8" max="8" width="11.729730" customWidth="1"/>
  </cols>
  <sheetData>
    <row r="1" spans="1:4" ht="49.7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s="5" t="s">
        <v>4</v>
      </c>
      <c r="B2" s="5" t="n">
        <v>6</v>
      </c>
      <c r="C2" s="5" t="n">
        <v>4</v>
      </c>
      <c r="D2" s="5" t="n">
        <v>4</v>
      </c>
      <extLst>
        <ext uri="smNativeData">
          <pm:rowDef xmlns:pm="smNativeData" id="1612912750" r="2" hidden="1" collapsedDB="0" collapsedOL="0"/>
        </ext>
      </extLst>
    </row>
    <row r="3" spans="1:4" hidden="1">
      <c r="A3" s="10" t="s">
        <v>5</v>
      </c>
      <c r="B3" s="10">
        <f>0.6*0.1*0.1</f>
        <v>0.006</v>
      </c>
      <c r="C3" s="5">
        <f>0.6*0.1*0.2</f>
        <v>0.0119999999999999996</v>
      </c>
      <c r="D3" s="6">
        <f>0.6*0.1*0.3</f>
        <v>0.0179999999999999982</v>
      </c>
      <extLst>
        <ext uri="smNativeData">
          <pm:rowDef xmlns:pm="smNativeData" id="1612912750" r="3" hidden="1" collapsedDB="0" collapsedOL="0"/>
        </ext>
      </extLst>
    </row>
    <row r="4" spans="1:4" hidden="1">
      <c r="A4" s="5" t="s">
        <v>6</v>
      </c>
      <c r="B4" s="5" t="n">
        <v>420</v>
      </c>
      <c r="C4" s="5" t="n">
        <v>420</v>
      </c>
      <c r="D4" s="5" t="n">
        <v>420</v>
      </c>
      <extLst>
        <ext uri="smNativeData">
          <pm:rowDef xmlns:pm="smNativeData" id="1612912750" r="4" hidden="1" collapsedDB="0" collapsedOL="0"/>
        </ext>
      </extLst>
    </row>
    <row r="5" spans="1:4" hidden="1">
      <c r="A5" s="5" t="s">
        <v>7</v>
      </c>
      <c r="B5" s="5" t="n">
        <v>0.3</v>
      </c>
      <c r="C5" s="5" t="n">
        <v>0.3</v>
      </c>
      <c r="D5" s="5" t="n">
        <v>0.3</v>
      </c>
      <extLst>
        <ext uri="smNativeData">
          <pm:rowDef xmlns:pm="smNativeData" id="1612912750" r="5" hidden="1" collapsedDB="0" collapsedOL="0"/>
        </ext>
      </extLst>
    </row>
    <row r="6" spans="1:4" hidden="1">
      <c r="A6" s="5" t="s">
        <v>8</v>
      </c>
      <c r="B6" s="7">
        <f>SQRT(398600000000000/(6378*1000+B4*1000))</f>
        <v>7657.34239899686963</v>
      </c>
      <c r="C6" s="7">
        <f>SQRT(398600000000000/(6378*1000+C4*1000))</f>
        <v>7657.34239899686963</v>
      </c>
      <c r="D6" s="7">
        <f>SQRT(398600000000000/(6378*1000+D4*1000))</f>
        <v>7657.34239899686963</v>
      </c>
      <extLst>
        <ext uri="smNativeData">
          <pm:rowDef xmlns:pm="smNativeData" id="1612912750" r="6" hidden="1" collapsedDB="0" collapsedOL="0"/>
        </ext>
      </extLst>
    </row>
    <row r="7" spans="1:4" hidden="1">
      <c r="A7" s="5" t="s">
        <v>9</v>
      </c>
      <c r="B7" s="7">
        <f>2*PI()*(6378*1000+B4*1000)/(B6)</f>
        <v>5578.05717605135669</v>
      </c>
      <c r="C7" s="7">
        <f>2*PI()*(6378*1000+C4*1000)/(C6)</f>
        <v>5578.05717605135669</v>
      </c>
      <c r="D7" s="7">
        <f>2*PI()*(6378*1000+D4*1000)/(D6)</f>
        <v>5578.05717605135669</v>
      </c>
      <extLst>
        <ext uri="smNativeData">
          <pm:rowDef xmlns:pm="smNativeData" id="1612912750" r="7" hidden="1" collapsedDB="0" collapsedOL="0"/>
        </ext>
      </extLst>
    </row>
    <row r="8" spans="1:4" hidden="1">
      <c r="A8" s="5" t="s">
        <v>10</v>
      </c>
      <c r="B8" s="8">
        <f>B7/(60*60)</f>
        <v>1.54946032668093352</v>
      </c>
      <c r="C8" s="8">
        <f>C7/(60*60)</f>
        <v>1.54946032668093352</v>
      </c>
      <c r="D8" s="8">
        <f>D7/(60*60)</f>
        <v>1.54946032668093352</v>
      </c>
      <extLst>
        <ext uri="smNativeData">
          <pm:rowDef xmlns:pm="smNativeData" id="1612912750" r="8" hidden="1" collapsedDB="0" collapsedOL="0"/>
        </ext>
      </extLst>
    </row>
    <row r="9" spans="1:4" hidden="1">
      <c r="A9" s="5" t="s">
        <v>11</v>
      </c>
      <c r="B9" s="8">
        <f>ASIN((6378/(6378+B4)))*180/PI()</f>
        <v>69.7542691388407121</v>
      </c>
      <c r="C9" s="8">
        <f>ASIN((6378/(6378+C4)))*180/PI()</f>
        <v>69.7542691388407121</v>
      </c>
      <c r="D9" s="8">
        <f>ASIN((6378/(6378+D4)))*180/PI()</f>
        <v>69.7542691388407121</v>
      </c>
      <extLst>
        <ext uri="smNativeData">
          <pm:rowDef xmlns:pm="smNativeData" id="1612912750" r="9" hidden="1" collapsedDB="0" collapsedOL="0"/>
        </ext>
      </extLst>
    </row>
    <row r="10" spans="1:4" hidden="1">
      <c r="A10" s="5" t="s">
        <v>12</v>
      </c>
      <c r="B10" s="8">
        <f>(2*B9/360)*B7</f>
        <v>2161.62945294515248</v>
      </c>
      <c r="C10" s="8">
        <f>(2*C9/360)*C7</f>
        <v>2161.62945294515248</v>
      </c>
      <c r="D10" s="8">
        <f>(2*D9/360)*D7</f>
        <v>2161.62945294515248</v>
      </c>
      <extLst>
        <ext uri="smNativeData">
          <pm:rowDef xmlns:pm="smNativeData" id="1612912750" r="10" hidden="1" collapsedDB="0" collapsedOL="0"/>
        </ext>
      </extLst>
    </row>
    <row r="11" spans="1:4" hidden="1">
      <c r="A11" s="5" t="s">
        <v>13</v>
      </c>
      <c r="B11" s="8">
        <f>B10/3600</f>
        <v>0.600452625818097374</v>
      </c>
      <c r="C11" s="8">
        <f>C10/3600</f>
        <v>0.600452625818097374</v>
      </c>
      <c r="D11" s="8">
        <f>D10/3600</f>
        <v>0.600452625818097374</v>
      </c>
      <extLst>
        <ext uri="smNativeData">
          <pm:rowDef xmlns:pm="smNativeData" id="1612912750" r="11" hidden="1" collapsedDB="0" collapsedOL="0"/>
        </ext>
      </extLst>
    </row>
    <row r="12" spans="1:4" hidden="1">
      <c r="A12" s="5" t="s">
        <v>14</v>
      </c>
      <c r="B12" s="9">
        <f>B7-B10</f>
        <v>3416.42772310621012</v>
      </c>
      <c r="C12" s="9">
        <f>C7-C10</f>
        <v>3416.42772310621012</v>
      </c>
      <c r="D12" s="9">
        <f>D7-D10</f>
        <v>3416.42772310621012</v>
      </c>
      <extLst>
        <ext uri="smNativeData">
          <pm:rowDef xmlns:pm="smNativeData" id="1612912750" r="12" hidden="1" collapsedDB="0" collapsedOL="0"/>
        </ext>
      </extLst>
    </row>
    <row r="13" spans="1:4" hidden="1">
      <c r="A13" s="5" t="s">
        <v>15</v>
      </c>
      <c r="B13" s="8">
        <f>B12/3600</f>
        <v>0.949007700862836145</v>
      </c>
      <c r="C13" s="8">
        <f>C12/3600</f>
        <v>0.949007700862836145</v>
      </c>
      <c r="D13" s="8">
        <f>D12/3600</f>
        <v>0.949007700862836145</v>
      </c>
      <extLst>
        <ext uri="smNativeData">
          <pm:rowDef xmlns:pm="smNativeData" id="1612912750" r="13" hidden="1" collapsedDB="0" collapsedOL="0"/>
        </ext>
      </extLst>
    </row>
    <row r="14" spans="1:4">
      <c r="A14" s="3" t="s">
        <v>16</v>
      </c>
      <c r="B14" s="4">
        <f>1358*B5*B3</f>
        <v>2.44439999999999991</v>
      </c>
      <c r="C14" s="4">
        <f>1358*C5*C3</f>
        <v>4.88879999999999981</v>
      </c>
      <c r="D14" s="4">
        <f>1358*D5*D3</f>
        <v>7.33319999999999883</v>
      </c>
    </row>
    <row r="15" spans="1:4">
      <c r="A15" s="3" t="s">
        <v>17</v>
      </c>
      <c r="B15" s="4" t="n">
        <v>1.9</v>
      </c>
      <c r="C15" s="4" t="n">
        <v>4</v>
      </c>
      <c r="D15" s="4" t="n">
        <v>6</v>
      </c>
    </row>
    <row r="16" spans="1:8">
      <c r="A16" s="1" t="s">
        <v>18</v>
      </c>
      <c r="B16" s="1" t="s">
        <v>19</v>
      </c>
      <c r="C16" s="2" t="s">
        <v>20</v>
      </c>
      <c r="D16" s="2" t="s">
        <v>21</v>
      </c>
      <c r="E16" s="2" t="s">
        <v>22</v>
      </c>
      <c r="F16" s="2" t="s">
        <v>23</v>
      </c>
      <c r="G16" s="2" t="s">
        <v>24</v>
      </c>
      <c r="H16" s="2"/>
    </row>
    <row r="17" spans="1:8">
      <c r="A17" s="1" t="s">
        <v>25</v>
      </c>
      <c r="B17" s="1"/>
      <c r="C17" s="18" t="n">
        <v>0.95</v>
      </c>
      <c r="D17" s="2">
        <f>0.5/60</f>
        <v>0.00833333333333333215</v>
      </c>
      <c r="E17" s="18">
        <f>B11</f>
        <v>0.600452625818097374</v>
      </c>
      <c r="F17" s="18" t="n">
        <v>0</v>
      </c>
      <c r="G17" s="18" t="n">
        <v>0</v>
      </c>
      <c r="H17" s="2"/>
    </row>
    <row r="18" spans="1:7">
      <c r="A18" s="5" t="s">
        <v>26</v>
      </c>
      <c r="B18" s="21" t="n">
        <v>0.3</v>
      </c>
      <c r="C18" s="16" t="n">
        <v>1</v>
      </c>
      <c r="D18" s="8" t="n">
        <v>1</v>
      </c>
      <c r="E18" s="8" t="n">
        <v>1</v>
      </c>
      <c r="F18" s="8" t="n">
        <v>1</v>
      </c>
      <c r="G18" s="8" t="n">
        <v>1</v>
      </c>
    </row>
    <row r="19" spans="1:7">
      <c r="A19" s="5" t="s">
        <v>27</v>
      </c>
      <c r="B19" s="21" t="n">
        <v>0.2</v>
      </c>
      <c r="C19" s="8" t="n">
        <v>0</v>
      </c>
      <c r="D19" s="8" t="n">
        <v>1</v>
      </c>
      <c r="E19" s="8" t="n">
        <v>0</v>
      </c>
      <c r="F19" s="8" t="n">
        <v>0</v>
      </c>
      <c r="G19" s="8" t="n">
        <v>0</v>
      </c>
    </row>
    <row r="20" spans="1:7">
      <c r="A20" s="5" t="s">
        <v>28</v>
      </c>
      <c r="B20" s="21" t="n">
        <v>0</v>
      </c>
      <c r="C20" s="8" t="n">
        <v>1</v>
      </c>
      <c r="D20" s="8" t="n">
        <v>1</v>
      </c>
      <c r="E20" s="8" t="n">
        <v>1</v>
      </c>
      <c r="F20" s="8" t="n">
        <v>1</v>
      </c>
      <c r="G20" s="8" t="n">
        <v>1</v>
      </c>
    </row>
    <row r="21" spans="1:7">
      <c r="A21" s="5" t="s">
        <v>29</v>
      </c>
      <c r="B21" s="21" t="n">
        <v>0</v>
      </c>
      <c r="C21" s="8" t="n">
        <v>0</v>
      </c>
      <c r="D21" s="8" t="n">
        <v>0</v>
      </c>
      <c r="E21" s="8" t="n">
        <v>0</v>
      </c>
      <c r="F21" s="8" t="n">
        <v>0</v>
      </c>
      <c r="G21" s="8" t="n">
        <v>0</v>
      </c>
    </row>
    <row r="22" spans="1:7">
      <c r="A22" s="5" t="s">
        <v>30</v>
      </c>
      <c r="B22" s="21" t="n">
        <v>0.1</v>
      </c>
      <c r="C22" s="8" t="n">
        <v>1</v>
      </c>
      <c r="D22" s="8" t="n">
        <v>1</v>
      </c>
      <c r="E22" s="8" t="n">
        <v>1</v>
      </c>
      <c r="F22" s="8" t="n">
        <v>1</v>
      </c>
      <c r="G22" s="8" t="n">
        <v>1</v>
      </c>
    </row>
    <row r="23" spans="1:8">
      <c r="A23" s="5" t="s">
        <v>31</v>
      </c>
      <c r="B23" s="21" t="n">
        <v>1.5</v>
      </c>
      <c r="C23" s="8" t="n">
        <v>1</v>
      </c>
      <c r="D23" s="8" t="n">
        <v>0</v>
      </c>
      <c r="E23" s="8" t="n">
        <v>0</v>
      </c>
      <c r="F23" s="8" t="n">
        <v>0</v>
      </c>
      <c r="G23" s="8" t="n">
        <v>0</v>
      </c>
      <c r="H23" t="s">
        <v>32</v>
      </c>
    </row>
    <row r="24" spans="1:8">
      <c r="A24" s="3" t="s">
        <v>33</v>
      </c>
      <c r="B24" s="11"/>
      <c r="C24" s="4">
        <f>B18*C18+B19*C19+B20*C20+B21*C21+B22*C22+B23*C23</f>
        <v>1.9</v>
      </c>
      <c r="D24" s="4">
        <f>B18*D18+B19*D19+B20*D20+B21*D21+B22*D22+B23*D23</f>
        <v>0.6</v>
      </c>
      <c r="E24" s="4">
        <f>B18*E18+B19*E19+B20*E20+B21*E21+B22*E22+B23*E23</f>
        <v>0.4</v>
      </c>
      <c r="F24" s="4">
        <f>B18*F18+B19*F19+B20*F20+B21*F21+B22*F22+B23*F23</f>
        <v>0.4</v>
      </c>
      <c r="G24" s="4">
        <f>B18*G18+B19*G19+B20*G20+B21*G21+B22*G22+B23*G23</f>
        <v>0.4</v>
      </c>
      <c r="H24" s="20">
        <f>(C24*C17+D24*D17+E24*E17)/1.56</f>
        <v>1.31421862200464101</v>
      </c>
    </row>
    <row r="26" spans="1:4">
      <c r="A26" s="1" t="s">
        <v>0</v>
      </c>
      <c r="B26" s="1" t="s">
        <v>1</v>
      </c>
      <c r="C26" s="1" t="s">
        <v>2</v>
      </c>
      <c r="D26" s="1" t="s">
        <v>3</v>
      </c>
    </row>
    <row r="27" spans="1:4">
      <c r="A27" t="s">
        <v>34</v>
      </c>
      <c r="B27" s="17">
        <f>B15-H24</f>
        <v>0.585781377995360053</v>
      </c>
      <c r="C27" s="17">
        <f>C15-H24</f>
        <v>2.68578137799535988</v>
      </c>
      <c r="D27" s="17">
        <f>D15-H24</f>
        <v>4.68578137799535988</v>
      </c>
    </row>
    <row r="29" spans="1:2">
      <c r="A29" s="1" t="s">
        <v>35</v>
      </c>
      <c r="B29" s="1"/>
    </row>
    <row r="30" spans="1:4">
      <c r="A30" s="5" t="s">
        <v>36</v>
      </c>
      <c r="B30" s="5"/>
      <c r="C30" s="8">
        <f>0.4*0.6</f>
        <v>0.239999999999999991</v>
      </c>
      <c r="D30" s="17"/>
    </row>
    <row r="31" spans="1:4">
      <c r="A31" s="5" t="s">
        <v>37</v>
      </c>
      <c r="B31" s="5"/>
      <c r="C31" s="8" t="n">
        <v>0.3</v>
      </c>
      <c r="D31" s="17"/>
    </row>
    <row r="32" spans="1:4">
      <c r="A32" s="22" t="s">
        <v>38</v>
      </c>
      <c r="B32" s="3"/>
      <c r="C32" s="11">
        <f>SUM(C30:C31)</f>
        <v>0.540000000000000036</v>
      </c>
      <c r="D32" s="12"/>
    </row>
    <row r="33" spans="1:3">
      <c r="A33" s="2" t="s">
        <v>39</v>
      </c>
      <c r="B33" s="2"/>
      <c r="C33" s="12" t="n">
        <v>3.70000000000000018</v>
      </c>
    </row>
    <row r="35" spans="1:3">
      <c r="A35" t="s">
        <v>37</v>
      </c>
      <c r="C35" t="n">
        <v>0.3</v>
      </c>
    </row>
    <row r="36" spans="1:4">
      <c r="A36" s="2" t="s">
        <v>40</v>
      </c>
      <c r="B36" s="2"/>
      <c r="C36" s="12">
        <f>C31/0.3</f>
        <v>1</v>
      </c>
      <c r="D36" s="12"/>
    </row>
    <row r="37" spans="1:4">
      <c r="A37" s="2" t="s">
        <v>39</v>
      </c>
      <c r="B37" s="2"/>
      <c r="C37" s="12" t="n">
        <v>25</v>
      </c>
      <c r="D37" s="12"/>
    </row>
    <row r="38" spans="1:7">
      <c r="A38" s="1"/>
      <c r="B38" s="1"/>
      <c r="C38" s="12"/>
      <c r="D38" s="12"/>
      <c r="G38" s="13"/>
    </row>
    <row r="39" spans="1:7">
      <c r="A39" s="1" t="s">
        <v>41</v>
      </c>
      <c r="B39" s="1"/>
      <c r="C39" s="12">
        <f>C37-C36</f>
        <v>24</v>
      </c>
      <c r="D39" s="12"/>
      <c r="G39" s="13"/>
    </row>
    <row r="40" spans="1:7">
      <c r="A40" s="1" t="s">
        <v>42</v>
      </c>
      <c r="B40" s="1"/>
      <c r="C40" s="19">
        <f>C39/C32</f>
        <v>44.4444444444444429</v>
      </c>
      <c r="D40" s="12"/>
      <c r="G40" s="13"/>
    </row>
    <row r="41" spans="1:4">
      <c r="A41" s="1"/>
      <c r="B41" s="1"/>
      <c r="C41" s="12"/>
      <c r="D41" s="12"/>
    </row>
    <row r="42" spans="1:1">
      <c r="A42">
        <f>0.3*1+2*0.0083+0.1*1+1.4*1</f>
        <v>1.81660000000000004</v>
      </c>
    </row>
    <row r="43" spans="1:1">
      <c r="A43">
        <f>0.3*1+2*0.0083+0.1*1</f>
        <v>0.416599999999999948</v>
      </c>
    </row>
    <row r="48" spans="4:4">
      <c r="D48">
        <f>0.6*0.42</f>
        <v>0.252000000000000002</v>
      </c>
    </row>
    <row r="49" spans="1:1">
      <c r="A49">
        <f>(1.82*0.95+0.42*0.6)/1.55</f>
        <v>1.27806451612903227</v>
      </c>
    </row>
    <row r="50" spans="1:1">
      <c r="A50">
        <f>1.99-1.28</f>
        <v>0.709999999999999964</v>
      </c>
    </row>
  </sheetData>
  <mergeCells count="1">
    <mergeCell ref="G38:G40"/>
  </mergeCells>
  <printOptions>
    <extLst>
      <ext uri="smNativeData">
        <pm:pageFlags xmlns:pm="smNativeData" id="161291275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12912750" l="56" r="56" t="56" b="56" borderId="0" fillId="0" vertical="0"/>
        <pm:footer xmlns:pm="smNativeData" id="1612912750" l="56" r="56" t="56" b="56" borderId="0" fillId="0" vertical="2"/>
      </ext>
    </extLst>
  </headerFooter>
  <extLst>
    <ext uri="smNativeData">
      <pm:sheetPrefs xmlns:pm="smNativeData" day="16129127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view="normal" zoomScale="120" workbookViewId="0">
      <selection activeCell="F6" sqref="F6"/>
    </sheetView>
  </sheetViews>
  <sheetFormatPr baseColWidth="9" defaultColWidth="10.000000" defaultRowHeight="13.45"/>
  <cols>
    <col min="1" max="1" width="22.243243" customWidth="1"/>
    <col min="2" max="2" width="8.657658" customWidth="1"/>
    <col min="3" max="3" width="13.612613" customWidth="1"/>
    <col min="5" max="5" width="13.756757" customWidth="1"/>
    <col min="6" max="6" width="14.801802" customWidth="1"/>
    <col min="7" max="7" width="10.828829" customWidth="1"/>
    <col min="8" max="8" width="19.909910" customWidth="1"/>
  </cols>
  <sheetData>
    <row r="1" spans="2:8">
      <c r="B1" s="1"/>
      <c r="C1" s="1"/>
      <c r="D1" s="1"/>
      <c r="E1" s="1"/>
      <c r="F1" s="1"/>
      <c r="G1" s="1"/>
      <c r="H1" s="1"/>
    </row>
    <row r="2" spans="1:8">
      <c r="A2" s="3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</row>
    <row r="3" spans="1:8">
      <c r="A3" t="s">
        <v>51</v>
      </c>
      <c r="B3" t="s">
        <v>52</v>
      </c>
      <c r="C3" t="n">
        <v>2.10000000000000009</v>
      </c>
      <c r="D3" t="n">
        <v>3.60000000000000009</v>
      </c>
      <c r="E3" t="n">
        <v>7.59999999999999876</v>
      </c>
      <c r="F3" t="n">
        <v>30</v>
      </c>
      <c r="G3" t="n">
        <v>44</v>
      </c>
      <c r="H3" s="14">
        <f>E3/(G3*0.001)</f>
        <v>172.72727272727272</v>
      </c>
    </row>
    <row r="4" spans="1:8">
      <c r="A4" t="s">
        <v>53</v>
      </c>
      <c r="B4" t="s">
        <v>52</v>
      </c>
      <c r="C4" t="n">
        <v>3.39999999999999991</v>
      </c>
      <c r="D4" t="n">
        <v>3.60000000000000009</v>
      </c>
      <c r="E4" t="n">
        <v>12.2400000000000002</v>
      </c>
      <c r="F4" t="n">
        <v>10</v>
      </c>
      <c r="G4" t="n">
        <v>48</v>
      </c>
      <c r="H4" s="14">
        <f>E4/(G4*0.001)</f>
        <v>255</v>
      </c>
    </row>
    <row r="5" spans="1:8">
      <c r="A5" t="s">
        <v>54</v>
      </c>
      <c r="B5" t="s">
        <v>52</v>
      </c>
      <c r="C5" t="n">
        <v>3.5</v>
      </c>
      <c r="D5" t="n">
        <v>3.60000000000000009</v>
      </c>
      <c r="E5" t="n">
        <v>12.6099999999999994</v>
      </c>
      <c r="F5" t="n">
        <v>10</v>
      </c>
      <c r="G5" t="n">
        <v>49</v>
      </c>
      <c r="H5" s="14">
        <f>E5/(G5*0.001)</f>
        <v>257.346938775510182</v>
      </c>
    </row>
    <row r="6" spans="1:8">
      <c r="A6" t="s">
        <v>55</v>
      </c>
      <c r="B6" t="s">
        <v>52</v>
      </c>
      <c r="C6" t="n">
        <v>3.10000000000000009</v>
      </c>
      <c r="D6" t="n">
        <v>4.20000000000000018</v>
      </c>
      <c r="E6" t="n">
        <v>13.0199999999999996</v>
      </c>
      <c r="F6" t="n">
        <v>20</v>
      </c>
      <c r="G6" t="n">
        <v>47</v>
      </c>
      <c r="H6" s="14">
        <f>E6/(G6*0.001)</f>
        <v>277.021276595744666</v>
      </c>
    </row>
    <row r="8" spans="1:1">
      <c r="A8" s="3" t="s">
        <v>56</v>
      </c>
    </row>
    <row r="9" spans="1:8">
      <c r="A9" s="15" t="s">
        <v>57</v>
      </c>
      <c r="B9" t="s">
        <v>58</v>
      </c>
      <c r="C9" t="n">
        <v>3.60000000000000009</v>
      </c>
      <c r="D9" t="n">
        <v>8.30000000000000071</v>
      </c>
      <c r="E9" t="n">
        <v>30</v>
      </c>
      <c r="F9" t="n">
        <v>2.10000000000000009</v>
      </c>
      <c r="G9" t="n">
        <v>268</v>
      </c>
      <c r="H9" s="14">
        <f>E9/(G9*0.001)</f>
        <v>111.940298507462686</v>
      </c>
    </row>
    <row r="10" spans="1:8">
      <c r="A10" t="s">
        <v>59</v>
      </c>
      <c r="B10" t="s">
        <v>58</v>
      </c>
      <c r="C10" t="n">
        <v>4.79999999999999982</v>
      </c>
      <c r="D10" t="n">
        <v>8.30000000000000071</v>
      </c>
      <c r="E10" t="n">
        <v>40</v>
      </c>
      <c r="F10" t="n">
        <v>2.60000000000000009</v>
      </c>
      <c r="G10" t="n">
        <v>335</v>
      </c>
      <c r="H10" s="14">
        <f>E10/(G10*0.001)</f>
        <v>119.402985074626855</v>
      </c>
    </row>
    <row r="11" spans="1:8">
      <c r="A11" t="s">
        <v>60</v>
      </c>
      <c r="B11" t="s">
        <v>58</v>
      </c>
      <c r="C11" t="n">
        <v>9.69999999999999929</v>
      </c>
      <c r="D11" t="n">
        <v>8.30000000000000071</v>
      </c>
      <c r="E11" t="n">
        <v>80</v>
      </c>
      <c r="F11" t="n">
        <v>5.20000000000000018</v>
      </c>
      <c r="G11" t="n">
        <v>670</v>
      </c>
      <c r="H11" s="14">
        <f>E11/(G11*0.001)</f>
        <v>119.402985074626855</v>
      </c>
    </row>
    <row r="12" spans="1:8">
      <c r="A12" t="s">
        <v>61</v>
      </c>
      <c r="C12" t="n">
        <v>6.09999999999999964</v>
      </c>
      <c r="D12" t="n">
        <v>3.70000000000000018</v>
      </c>
      <c r="E12" t="n">
        <v>22</v>
      </c>
      <c r="F12" t="s">
        <v>62</v>
      </c>
      <c r="G12" t="n">
        <v>133</v>
      </c>
      <c r="H12" s="14">
        <f>E12/(G12*0.001)</f>
        <v>165.413533834586445</v>
      </c>
    </row>
  </sheetData>
  <printOptions>
    <extLst>
      <ext uri="smNativeData">
        <pm:pageFlags xmlns:pm="smNativeData" id="161291275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2912750" l="56" r="56" t="56" b="56" borderId="0" fillId="0" vertical="0"/>
        <pm:footer xmlns:pm="smNativeData" id="1612912750" l="56" r="56" t="56" b="56" borderId="0" fillId="0" vertical="2"/>
      </ext>
    </extLst>
  </headerFooter>
  <extLst>
    <ext uri="smNativeData">
      <pm:sheetPrefs xmlns:pm="smNativeData" day="16129127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athul</cp:lastModifiedBy>
  <cp:revision>0</cp:revision>
  <dcterms:created xsi:type="dcterms:W3CDTF">2021-01-04T17:08:23Z</dcterms:created>
  <dcterms:modified xsi:type="dcterms:W3CDTF">2021-02-09T23:19:10Z</dcterms:modified>
</cp:coreProperties>
</file>