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phael Natsui\Desktop\WIGRAMS\BMS\"/>
    </mc:Choice>
  </mc:AlternateContent>
  <bookViews>
    <workbookView xWindow="0" yWindow="0" windowWidth="20490" windowHeight="7755"/>
  </bookViews>
  <sheets>
    <sheet name="Sheet1" sheetId="1" r:id="rId1"/>
    <sheet name="VENN DIAGRAM" sheetId="2" r:id="rId2"/>
    <sheet name="YEAR BUILT" sheetId="3" r:id="rId3"/>
    <sheet name="TEMPORARY VS PERMANENT" sheetId="5" r:id="rId4"/>
    <sheet name="LENGTH OF BRIDGES" sheetId="4" r:id="rId5"/>
    <sheet name="MAXIMUM SPAN" sheetId="6" r:id="rId6"/>
    <sheet name="ADT" sheetId="7" r:id="rId7"/>
    <sheet name="Sheet1 (2)" sheetId="11" r:id="rId8"/>
    <sheet name="POOR BRIDGES" sheetId="12" r:id="rId9"/>
  </sheets>
  <externalReferences>
    <externalReference r:id="rId10"/>
  </externalReferences>
  <definedNames>
    <definedName name="_xlnm._FilterDatabase" localSheetId="8" hidden="1">'POOR BRIDGES'!$A$1:$T$36</definedName>
    <definedName name="_xlnm._FilterDatabase" localSheetId="0" hidden="1">Sheet1!$A$1:$W$218</definedName>
    <definedName name="_xlnm._FilterDatabase" localSheetId="7" hidden="1">'Sheet1 (2)'!$A$1:$W$218</definedName>
    <definedName name="_xlnm.Print_Area" localSheetId="0">Sheet1!$A$1:$T$232</definedName>
    <definedName name="_xlnm.Print_Area" localSheetId="7">'Sheet1 (2)'!$A$1:$T$232</definedName>
    <definedName name="_xlnm.Print_Titles" localSheetId="0">Sheet1!$1:$1</definedName>
    <definedName name="_xlnm.Print_Titles" localSheetId="7">'Sheet1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5" i="11" l="1"/>
  <c r="Q244" i="11"/>
  <c r="Q243" i="11"/>
  <c r="Q242" i="11"/>
  <c r="H231" i="11"/>
  <c r="H230" i="11"/>
  <c r="H229" i="11"/>
  <c r="H228" i="11"/>
  <c r="H227" i="11"/>
  <c r="I218" i="11"/>
  <c r="T217" i="11"/>
  <c r="S217" i="11"/>
  <c r="I217" i="11"/>
  <c r="AB216" i="11"/>
  <c r="AA216" i="11"/>
  <c r="R216" i="11"/>
  <c r="Z216" i="11" s="1"/>
  <c r="AB215" i="11"/>
  <c r="AA215" i="11"/>
  <c r="R215" i="11"/>
  <c r="Z215" i="11" s="1"/>
  <c r="AB214" i="11"/>
  <c r="AA214" i="11"/>
  <c r="R214" i="11"/>
  <c r="Z214" i="11" s="1"/>
  <c r="AB213" i="11"/>
  <c r="AA213" i="11"/>
  <c r="R213" i="11"/>
  <c r="Z213" i="11" s="1"/>
  <c r="AB212" i="11"/>
  <c r="AA212" i="11"/>
  <c r="R212" i="11"/>
  <c r="Z212" i="11" s="1"/>
  <c r="AI211" i="11"/>
  <c r="AB211" i="11"/>
  <c r="AA211" i="11"/>
  <c r="R211" i="11"/>
  <c r="Z211" i="11" s="1"/>
  <c r="AB210" i="11"/>
  <c r="AA210" i="11"/>
  <c r="R210" i="11"/>
  <c r="Z210" i="11" s="1"/>
  <c r="AD210" i="11" s="1"/>
  <c r="AB209" i="11"/>
  <c r="AA209" i="11"/>
  <c r="R209" i="11"/>
  <c r="Z209" i="11" s="1"/>
  <c r="AI208" i="11"/>
  <c r="AB208" i="11"/>
  <c r="AE208" i="11" s="1"/>
  <c r="AA208" i="11"/>
  <c r="R208" i="11"/>
  <c r="Z208" i="11" s="1"/>
  <c r="AB207" i="11"/>
  <c r="AA207" i="11"/>
  <c r="R207" i="11"/>
  <c r="Z207" i="11" s="1"/>
  <c r="AB206" i="11"/>
  <c r="AA206" i="11"/>
  <c r="R206" i="11"/>
  <c r="Z206" i="11" s="1"/>
  <c r="AB205" i="11"/>
  <c r="AA205" i="11"/>
  <c r="R205" i="11"/>
  <c r="Z205" i="11" s="1"/>
  <c r="AB204" i="11"/>
  <c r="AA204" i="11"/>
  <c r="R204" i="11"/>
  <c r="Z204" i="11" s="1"/>
  <c r="AB203" i="11"/>
  <c r="AA203" i="11"/>
  <c r="R203" i="11"/>
  <c r="Z203" i="11" s="1"/>
  <c r="AB202" i="11"/>
  <c r="AA202" i="11"/>
  <c r="AE202" i="11" s="1"/>
  <c r="R202" i="11"/>
  <c r="Z202" i="11" s="1"/>
  <c r="AB201" i="11"/>
  <c r="AA201" i="11"/>
  <c r="R201" i="11"/>
  <c r="Z201" i="11" s="1"/>
  <c r="AB200" i="11"/>
  <c r="AA200" i="11"/>
  <c r="R200" i="11"/>
  <c r="Z200" i="11" s="1"/>
  <c r="AB199" i="11"/>
  <c r="AA199" i="11"/>
  <c r="R199" i="11"/>
  <c r="Z199" i="11" s="1"/>
  <c r="AB198" i="11"/>
  <c r="AA198" i="11"/>
  <c r="R198" i="11"/>
  <c r="Z198" i="11" s="1"/>
  <c r="AI197" i="11"/>
  <c r="AB197" i="11"/>
  <c r="AA197" i="11"/>
  <c r="R197" i="11"/>
  <c r="Z197" i="11" s="1"/>
  <c r="AB196" i="11"/>
  <c r="AA196" i="11"/>
  <c r="R196" i="11"/>
  <c r="Z196" i="11" s="1"/>
  <c r="AB195" i="11"/>
  <c r="AA195" i="11"/>
  <c r="R195" i="11"/>
  <c r="Z195" i="11" s="1"/>
  <c r="AB194" i="11"/>
  <c r="AA194" i="11"/>
  <c r="R194" i="11"/>
  <c r="Z194" i="11" s="1"/>
  <c r="AB193" i="11"/>
  <c r="AA193" i="11"/>
  <c r="R193" i="11"/>
  <c r="Z193" i="11" s="1"/>
  <c r="AB192" i="11"/>
  <c r="AA192" i="11"/>
  <c r="R192" i="11"/>
  <c r="Z192" i="11" s="1"/>
  <c r="AB191" i="11"/>
  <c r="AA191" i="11"/>
  <c r="R191" i="11"/>
  <c r="Z191" i="11" s="1"/>
  <c r="AB190" i="11"/>
  <c r="AA190" i="11"/>
  <c r="R190" i="11"/>
  <c r="Z190" i="11" s="1"/>
  <c r="AB189" i="11"/>
  <c r="AA189" i="11"/>
  <c r="R189" i="11"/>
  <c r="Z189" i="11" s="1"/>
  <c r="AB188" i="11"/>
  <c r="AA188" i="11"/>
  <c r="R188" i="11"/>
  <c r="Z188" i="11" s="1"/>
  <c r="AB187" i="11"/>
  <c r="AA187" i="11"/>
  <c r="R187" i="11"/>
  <c r="Z187" i="11" s="1"/>
  <c r="AB186" i="11"/>
  <c r="AA186" i="11"/>
  <c r="R186" i="11"/>
  <c r="Z186" i="11" s="1"/>
  <c r="AB185" i="11"/>
  <c r="AA185" i="11"/>
  <c r="R185" i="11"/>
  <c r="Z185" i="11" s="1"/>
  <c r="AB184" i="11"/>
  <c r="AA184" i="11"/>
  <c r="R184" i="11"/>
  <c r="Z184" i="11" s="1"/>
  <c r="AB183" i="11"/>
  <c r="AA183" i="11"/>
  <c r="R183" i="11"/>
  <c r="Z183" i="11" s="1"/>
  <c r="AB182" i="11"/>
  <c r="AA182" i="11"/>
  <c r="R182" i="11"/>
  <c r="Z182" i="11" s="1"/>
  <c r="AB181" i="11"/>
  <c r="AA181" i="11"/>
  <c r="R181" i="11"/>
  <c r="Z181" i="11" s="1"/>
  <c r="AB180" i="11"/>
  <c r="AE180" i="11" s="1"/>
  <c r="AA180" i="11"/>
  <c r="R180" i="11"/>
  <c r="Z180" i="11" s="1"/>
  <c r="AB179" i="11"/>
  <c r="AA179" i="11"/>
  <c r="AE179" i="11" s="1"/>
  <c r="R179" i="11"/>
  <c r="Z179" i="11" s="1"/>
  <c r="AB178" i="11"/>
  <c r="AA178" i="11"/>
  <c r="R178" i="11"/>
  <c r="Z178" i="11" s="1"/>
  <c r="AB177" i="11"/>
  <c r="AA177" i="11"/>
  <c r="R177" i="11"/>
  <c r="Z177" i="11" s="1"/>
  <c r="AB176" i="11"/>
  <c r="AA176" i="11"/>
  <c r="R176" i="11"/>
  <c r="Z176" i="11" s="1"/>
  <c r="AB175" i="11"/>
  <c r="AA175" i="11"/>
  <c r="R175" i="11"/>
  <c r="Z175" i="11" s="1"/>
  <c r="AB174" i="11"/>
  <c r="AA174" i="11"/>
  <c r="R174" i="11"/>
  <c r="Z174" i="11" s="1"/>
  <c r="AB173" i="11"/>
  <c r="AA173" i="11"/>
  <c r="R173" i="11"/>
  <c r="Z173" i="11" s="1"/>
  <c r="AB172" i="11"/>
  <c r="AA172" i="11"/>
  <c r="AD172" i="11" s="1"/>
  <c r="R172" i="11"/>
  <c r="Z172" i="11" s="1"/>
  <c r="AB171" i="11"/>
  <c r="AA171" i="11"/>
  <c r="R171" i="11"/>
  <c r="Z171" i="11" s="1"/>
  <c r="AG171" i="11" s="1"/>
  <c r="AB170" i="11"/>
  <c r="AA170" i="11"/>
  <c r="R170" i="11"/>
  <c r="Z170" i="11" s="1"/>
  <c r="AB169" i="11"/>
  <c r="AA169" i="11"/>
  <c r="R169" i="11"/>
  <c r="Z169" i="11" s="1"/>
  <c r="AB168" i="11"/>
  <c r="AA168" i="11"/>
  <c r="R168" i="11"/>
  <c r="Z168" i="11" s="1"/>
  <c r="AB167" i="11"/>
  <c r="AA167" i="11"/>
  <c r="R167" i="11"/>
  <c r="Z167" i="11" s="1"/>
  <c r="AB166" i="11"/>
  <c r="AA166" i="11"/>
  <c r="R166" i="11"/>
  <c r="Z166" i="11" s="1"/>
  <c r="AB165" i="11"/>
  <c r="AA165" i="11"/>
  <c r="R165" i="11"/>
  <c r="Z165" i="11" s="1"/>
  <c r="AB164" i="11"/>
  <c r="AA164" i="11"/>
  <c r="R164" i="11"/>
  <c r="Z164" i="11" s="1"/>
  <c r="AB163" i="11"/>
  <c r="AA163" i="11"/>
  <c r="R163" i="11"/>
  <c r="Z163" i="11" s="1"/>
  <c r="AG163" i="11" s="1"/>
  <c r="AB162" i="11"/>
  <c r="AA162" i="11"/>
  <c r="R162" i="11"/>
  <c r="Z162" i="11" s="1"/>
  <c r="AB161" i="11"/>
  <c r="AE161" i="11" s="1"/>
  <c r="AA161" i="11"/>
  <c r="R161" i="11"/>
  <c r="Z161" i="11" s="1"/>
  <c r="AB160" i="11"/>
  <c r="AA160" i="11"/>
  <c r="R160" i="11"/>
  <c r="Z160" i="11" s="1"/>
  <c r="AB159" i="11"/>
  <c r="AA159" i="11"/>
  <c r="R159" i="11"/>
  <c r="Z159" i="11" s="1"/>
  <c r="AB158" i="11"/>
  <c r="AA158" i="11"/>
  <c r="R158" i="11"/>
  <c r="Z158" i="11" s="1"/>
  <c r="AB157" i="11"/>
  <c r="AA157" i="11"/>
  <c r="AE157" i="11" s="1"/>
  <c r="R157" i="11"/>
  <c r="Z157" i="11" s="1"/>
  <c r="AB156" i="11"/>
  <c r="AA156" i="11"/>
  <c r="R156" i="11"/>
  <c r="Z156" i="11" s="1"/>
  <c r="AB155" i="11"/>
  <c r="AA155" i="11"/>
  <c r="R155" i="11"/>
  <c r="Z155" i="11" s="1"/>
  <c r="AG155" i="11" s="1"/>
  <c r="AB154" i="11"/>
  <c r="AA154" i="11"/>
  <c r="R154" i="11"/>
  <c r="Z154" i="11" s="1"/>
  <c r="AB153" i="11"/>
  <c r="AA153" i="11"/>
  <c r="R153" i="11"/>
  <c r="Z153" i="11" s="1"/>
  <c r="AB152" i="11"/>
  <c r="AA152" i="11"/>
  <c r="R152" i="11"/>
  <c r="Z152" i="11" s="1"/>
  <c r="AB151" i="11"/>
  <c r="AA151" i="11"/>
  <c r="R151" i="11"/>
  <c r="Z151" i="11" s="1"/>
  <c r="AB150" i="11"/>
  <c r="AA150" i="11"/>
  <c r="R150" i="11"/>
  <c r="Z150" i="11" s="1"/>
  <c r="AB149" i="11"/>
  <c r="AA149" i="11"/>
  <c r="AE149" i="11" s="1"/>
  <c r="R149" i="11"/>
  <c r="Z149" i="11" s="1"/>
  <c r="AF148" i="11"/>
  <c r="AB148" i="11"/>
  <c r="AE148" i="11" s="1"/>
  <c r="AA148" i="11"/>
  <c r="R148" i="11"/>
  <c r="Z148" i="11" s="1"/>
  <c r="AB146" i="11"/>
  <c r="AA146" i="11"/>
  <c r="R146" i="11"/>
  <c r="Z146" i="11" s="1"/>
  <c r="AG146" i="11" s="1"/>
  <c r="AB145" i="11"/>
  <c r="AA145" i="11"/>
  <c r="R145" i="11"/>
  <c r="Z145" i="11" s="1"/>
  <c r="AB144" i="11"/>
  <c r="AA144" i="11"/>
  <c r="R144" i="11"/>
  <c r="Z144" i="11" s="1"/>
  <c r="AB143" i="11"/>
  <c r="AA143" i="11"/>
  <c r="R143" i="11"/>
  <c r="Z143" i="11" s="1"/>
  <c r="AB142" i="11"/>
  <c r="AA142" i="11"/>
  <c r="R142" i="11"/>
  <c r="Z142" i="11" s="1"/>
  <c r="AB141" i="11"/>
  <c r="AA141" i="11"/>
  <c r="R141" i="11"/>
  <c r="Z141" i="11" s="1"/>
  <c r="AB140" i="11"/>
  <c r="AE140" i="11" s="1"/>
  <c r="AA140" i="11"/>
  <c r="R140" i="11"/>
  <c r="Z140" i="11" s="1"/>
  <c r="AB139" i="11"/>
  <c r="AA139" i="11"/>
  <c r="R139" i="11"/>
  <c r="Z139" i="11" s="1"/>
  <c r="AB138" i="11"/>
  <c r="AA138" i="11"/>
  <c r="R138" i="11"/>
  <c r="Z138" i="11" s="1"/>
  <c r="AB137" i="11"/>
  <c r="AA137" i="11"/>
  <c r="R137" i="11"/>
  <c r="Z137" i="11" s="1"/>
  <c r="AB136" i="11"/>
  <c r="AA136" i="11"/>
  <c r="R136" i="11"/>
  <c r="Z136" i="11" s="1"/>
  <c r="AB135" i="11"/>
  <c r="AA135" i="11"/>
  <c r="R135" i="11"/>
  <c r="Z135" i="11" s="1"/>
  <c r="AB134" i="11"/>
  <c r="AA134" i="11"/>
  <c r="R134" i="11"/>
  <c r="Z134" i="11" s="1"/>
  <c r="AB133" i="11"/>
  <c r="AA133" i="11"/>
  <c r="R133" i="11"/>
  <c r="Z133" i="11" s="1"/>
  <c r="AD133" i="11" s="1"/>
  <c r="AB132" i="11"/>
  <c r="AA132" i="11"/>
  <c r="R132" i="11"/>
  <c r="Z132" i="11" s="1"/>
  <c r="AB131" i="11"/>
  <c r="AA131" i="11"/>
  <c r="R131" i="11"/>
  <c r="Z131" i="11" s="1"/>
  <c r="AB130" i="11"/>
  <c r="AA130" i="11"/>
  <c r="R130" i="11"/>
  <c r="Z130" i="11" s="1"/>
  <c r="AB129" i="11"/>
  <c r="AA129" i="11"/>
  <c r="R129" i="11"/>
  <c r="Z129" i="11" s="1"/>
  <c r="AB128" i="11"/>
  <c r="AA128" i="11"/>
  <c r="R128" i="11"/>
  <c r="Z128" i="11" s="1"/>
  <c r="AB127" i="11"/>
  <c r="AA127" i="11"/>
  <c r="R127" i="11"/>
  <c r="Z127" i="11" s="1"/>
  <c r="AB126" i="11"/>
  <c r="AE126" i="11" s="1"/>
  <c r="AA126" i="11"/>
  <c r="R126" i="11"/>
  <c r="Z126" i="11" s="1"/>
  <c r="AB125" i="11"/>
  <c r="AA125" i="11"/>
  <c r="R125" i="11"/>
  <c r="Z125" i="11" s="1"/>
  <c r="AB124" i="11"/>
  <c r="AA124" i="11"/>
  <c r="R124" i="11"/>
  <c r="Z124" i="11" s="1"/>
  <c r="AB123" i="11"/>
  <c r="AA123" i="11"/>
  <c r="R123" i="11"/>
  <c r="Z123" i="11" s="1"/>
  <c r="AB122" i="11"/>
  <c r="AA122" i="11"/>
  <c r="R122" i="11"/>
  <c r="Z122" i="11" s="1"/>
  <c r="AB121" i="11"/>
  <c r="AA121" i="11"/>
  <c r="R121" i="11"/>
  <c r="Z121" i="11" s="1"/>
  <c r="AI120" i="11"/>
  <c r="AB120" i="11"/>
  <c r="AA120" i="11"/>
  <c r="R120" i="11"/>
  <c r="Z120" i="11" s="1"/>
  <c r="AB119" i="11"/>
  <c r="AA119" i="11"/>
  <c r="R119" i="11"/>
  <c r="Z119" i="11" s="1"/>
  <c r="AB118" i="11"/>
  <c r="AA118" i="11"/>
  <c r="R118" i="11"/>
  <c r="Z118" i="11" s="1"/>
  <c r="AB117" i="11"/>
  <c r="AA117" i="11"/>
  <c r="AE117" i="11" s="1"/>
  <c r="Z117" i="11"/>
  <c r="R117" i="11"/>
  <c r="AB116" i="11"/>
  <c r="AA116" i="11"/>
  <c r="R116" i="11"/>
  <c r="Z116" i="11" s="1"/>
  <c r="AI115" i="11"/>
  <c r="AB115" i="11"/>
  <c r="AA115" i="11"/>
  <c r="AE115" i="11" s="1"/>
  <c r="Z115" i="11"/>
  <c r="R115" i="11"/>
  <c r="AI114" i="11"/>
  <c r="AB114" i="11"/>
  <c r="AA114" i="11"/>
  <c r="R114" i="11"/>
  <c r="Z114" i="11" s="1"/>
  <c r="AB113" i="11"/>
  <c r="AA113" i="11"/>
  <c r="R113" i="11"/>
  <c r="Z113" i="11" s="1"/>
  <c r="AB112" i="11"/>
  <c r="AA112" i="11"/>
  <c r="R112" i="11"/>
  <c r="Z112" i="11" s="1"/>
  <c r="AB111" i="11"/>
  <c r="AA111" i="11"/>
  <c r="R111" i="11"/>
  <c r="Z111" i="11" s="1"/>
  <c r="AB110" i="11"/>
  <c r="AA110" i="11"/>
  <c r="R110" i="11"/>
  <c r="Z110" i="11" s="1"/>
  <c r="AB109" i="11"/>
  <c r="AA109" i="11"/>
  <c r="R109" i="11"/>
  <c r="Z109" i="11" s="1"/>
  <c r="AB108" i="11"/>
  <c r="AA108" i="11"/>
  <c r="AE108" i="11" s="1"/>
  <c r="R108" i="11"/>
  <c r="Z108" i="11" s="1"/>
  <c r="AB107" i="11"/>
  <c r="AA107" i="11"/>
  <c r="R107" i="11"/>
  <c r="Z107" i="11" s="1"/>
  <c r="AB106" i="11"/>
  <c r="AA106" i="11"/>
  <c r="AE106" i="11" s="1"/>
  <c r="R106" i="11"/>
  <c r="Z106" i="11" s="1"/>
  <c r="AB105" i="11"/>
  <c r="AA105" i="11"/>
  <c r="R105" i="11"/>
  <c r="Z105" i="11" s="1"/>
  <c r="AB104" i="11"/>
  <c r="AA104" i="11"/>
  <c r="R104" i="11"/>
  <c r="Z104" i="11" s="1"/>
  <c r="AB103" i="11"/>
  <c r="AA103" i="11"/>
  <c r="R103" i="11"/>
  <c r="Z103" i="11" s="1"/>
  <c r="AB102" i="11"/>
  <c r="AA102" i="11"/>
  <c r="R102" i="11"/>
  <c r="Z102" i="11" s="1"/>
  <c r="AB101" i="11"/>
  <c r="AA101" i="11"/>
  <c r="R101" i="11"/>
  <c r="Z101" i="11" s="1"/>
  <c r="AB100" i="11"/>
  <c r="AA100" i="11"/>
  <c r="R100" i="11"/>
  <c r="Z100" i="11" s="1"/>
  <c r="AB99" i="11"/>
  <c r="AA99" i="11"/>
  <c r="R99" i="11"/>
  <c r="Z99" i="11" s="1"/>
  <c r="AB98" i="11"/>
  <c r="AA98" i="11"/>
  <c r="R98" i="11"/>
  <c r="Z98" i="11" s="1"/>
  <c r="AB97" i="11"/>
  <c r="AA97" i="11"/>
  <c r="R97" i="11"/>
  <c r="Z97" i="11" s="1"/>
  <c r="AI96" i="11"/>
  <c r="AB96" i="11"/>
  <c r="AA96" i="11"/>
  <c r="R96" i="11"/>
  <c r="Z96" i="11" s="1"/>
  <c r="AB95" i="11"/>
  <c r="AA95" i="11"/>
  <c r="R95" i="11"/>
  <c r="Z95" i="11" s="1"/>
  <c r="AB94" i="11"/>
  <c r="AA94" i="11"/>
  <c r="R94" i="11"/>
  <c r="Z94" i="11" s="1"/>
  <c r="AB93" i="11"/>
  <c r="AA93" i="11"/>
  <c r="AE93" i="11" s="1"/>
  <c r="R93" i="11"/>
  <c r="Z93" i="11" s="1"/>
  <c r="AB92" i="11"/>
  <c r="AA92" i="11"/>
  <c r="R92" i="11"/>
  <c r="Z92" i="11" s="1"/>
  <c r="AB91" i="11"/>
  <c r="AA91" i="11"/>
  <c r="R91" i="11"/>
  <c r="Z91" i="11" s="1"/>
  <c r="AB90" i="11"/>
  <c r="AA90" i="11"/>
  <c r="R90" i="11"/>
  <c r="Z90" i="11" s="1"/>
  <c r="AB89" i="11"/>
  <c r="AA89" i="11"/>
  <c r="R89" i="11"/>
  <c r="Z89" i="11" s="1"/>
  <c r="AB88" i="11"/>
  <c r="AA88" i="11"/>
  <c r="R88" i="11"/>
  <c r="Z88" i="11" s="1"/>
  <c r="AI87" i="11"/>
  <c r="AB87" i="11"/>
  <c r="AA87" i="11"/>
  <c r="R87" i="11"/>
  <c r="Z87" i="11" s="1"/>
  <c r="AB86" i="11"/>
  <c r="AA86" i="11"/>
  <c r="R86" i="11"/>
  <c r="Z86" i="11" s="1"/>
  <c r="AB85" i="11"/>
  <c r="AA85" i="11"/>
  <c r="R85" i="11"/>
  <c r="Z85" i="11" s="1"/>
  <c r="AB84" i="11"/>
  <c r="AA84" i="11"/>
  <c r="R84" i="11"/>
  <c r="Z84" i="11" s="1"/>
  <c r="AB83" i="11"/>
  <c r="AA83" i="11"/>
  <c r="R83" i="11"/>
  <c r="Z83" i="11" s="1"/>
  <c r="AB82" i="11"/>
  <c r="AA82" i="11"/>
  <c r="R82" i="11"/>
  <c r="Z82" i="11" s="1"/>
  <c r="AB81" i="11"/>
  <c r="AA81" i="11"/>
  <c r="R81" i="11"/>
  <c r="Z81" i="11" s="1"/>
  <c r="AB80" i="11"/>
  <c r="AA80" i="11"/>
  <c r="R80" i="11"/>
  <c r="Z80" i="11" s="1"/>
  <c r="AB79" i="11"/>
  <c r="AA79" i="11"/>
  <c r="R79" i="11"/>
  <c r="Z79" i="11" s="1"/>
  <c r="AB78" i="11"/>
  <c r="AA78" i="11"/>
  <c r="R78" i="11"/>
  <c r="Z78" i="11" s="1"/>
  <c r="AB77" i="11"/>
  <c r="AA77" i="11"/>
  <c r="R77" i="11"/>
  <c r="Z77" i="11" s="1"/>
  <c r="AG77" i="11" s="1"/>
  <c r="AB76" i="11"/>
  <c r="AA76" i="11"/>
  <c r="R76" i="11"/>
  <c r="Z76" i="11" s="1"/>
  <c r="AB75" i="11"/>
  <c r="AA75" i="11"/>
  <c r="R75" i="11"/>
  <c r="Z75" i="11" s="1"/>
  <c r="AB74" i="11"/>
  <c r="AA74" i="11"/>
  <c r="R74" i="11"/>
  <c r="Z74" i="11" s="1"/>
  <c r="AF74" i="11" s="1"/>
  <c r="AB73" i="11"/>
  <c r="AA73" i="11"/>
  <c r="R73" i="11"/>
  <c r="Z73" i="11" s="1"/>
  <c r="AB72" i="11"/>
  <c r="AA72" i="11"/>
  <c r="R72" i="11"/>
  <c r="Z72" i="11" s="1"/>
  <c r="AI71" i="11"/>
  <c r="AB71" i="11"/>
  <c r="AA71" i="11"/>
  <c r="R71" i="11"/>
  <c r="Z71" i="11" s="1"/>
  <c r="AB70" i="11"/>
  <c r="AA70" i="11"/>
  <c r="R70" i="11"/>
  <c r="Z70" i="11" s="1"/>
  <c r="AB69" i="11"/>
  <c r="AA69" i="11"/>
  <c r="R69" i="11"/>
  <c r="Z69" i="11" s="1"/>
  <c r="AB68" i="11"/>
  <c r="AA68" i="11"/>
  <c r="R68" i="11"/>
  <c r="Z68" i="11" s="1"/>
  <c r="AI67" i="11"/>
  <c r="AB67" i="11"/>
  <c r="AA67" i="11"/>
  <c r="R67" i="11"/>
  <c r="Z67" i="11" s="1"/>
  <c r="AB66" i="11"/>
  <c r="AA66" i="11"/>
  <c r="R66" i="11"/>
  <c r="Z66" i="11" s="1"/>
  <c r="AI65" i="11"/>
  <c r="AB65" i="11"/>
  <c r="AA65" i="11"/>
  <c r="R65" i="11"/>
  <c r="Z65" i="11" s="1"/>
  <c r="AB64" i="11"/>
  <c r="AA64" i="11"/>
  <c r="R64" i="11"/>
  <c r="Z64" i="11" s="1"/>
  <c r="AB63" i="11"/>
  <c r="AA63" i="11"/>
  <c r="R63" i="11"/>
  <c r="Z63" i="11" s="1"/>
  <c r="AB62" i="11"/>
  <c r="AA62" i="11"/>
  <c r="R62" i="11"/>
  <c r="Z62" i="11" s="1"/>
  <c r="AG62" i="11" s="1"/>
  <c r="AB61" i="11"/>
  <c r="AA61" i="11"/>
  <c r="R61" i="11"/>
  <c r="Z61" i="11" s="1"/>
  <c r="AI60" i="11"/>
  <c r="AB60" i="11"/>
  <c r="AA60" i="11"/>
  <c r="R60" i="11"/>
  <c r="Z60" i="11" s="1"/>
  <c r="AB59" i="11"/>
  <c r="AA59" i="11"/>
  <c r="R59" i="11"/>
  <c r="Z59" i="11" s="1"/>
  <c r="AB58" i="11"/>
  <c r="AA58" i="11"/>
  <c r="R58" i="11"/>
  <c r="Z58" i="11" s="1"/>
  <c r="AB57" i="11"/>
  <c r="AA57" i="11"/>
  <c r="AE57" i="11" s="1"/>
  <c r="R57" i="11"/>
  <c r="Z57" i="11" s="1"/>
  <c r="AB56" i="11"/>
  <c r="AA56" i="11"/>
  <c r="R56" i="11"/>
  <c r="Z56" i="11" s="1"/>
  <c r="AB55" i="11"/>
  <c r="AA55" i="11"/>
  <c r="R55" i="11"/>
  <c r="Z55" i="11" s="1"/>
  <c r="AB54" i="11"/>
  <c r="AA54" i="11"/>
  <c r="R54" i="11"/>
  <c r="Z54" i="11" s="1"/>
  <c r="AI53" i="11"/>
  <c r="AB53" i="11"/>
  <c r="AA53" i="11"/>
  <c r="R53" i="11"/>
  <c r="Z53" i="11" s="1"/>
  <c r="AI52" i="11"/>
  <c r="AB52" i="11"/>
  <c r="AA52" i="11"/>
  <c r="R52" i="11"/>
  <c r="Z52" i="11" s="1"/>
  <c r="AI51" i="11"/>
  <c r="AB51" i="11"/>
  <c r="AA51" i="11"/>
  <c r="R51" i="11"/>
  <c r="Z51" i="11" s="1"/>
  <c r="AB50" i="11"/>
  <c r="AA50" i="11"/>
  <c r="R50" i="11"/>
  <c r="Z50" i="11" s="1"/>
  <c r="AB49" i="11"/>
  <c r="AA49" i="11"/>
  <c r="R49" i="11"/>
  <c r="Z49" i="11" s="1"/>
  <c r="AB48" i="11"/>
  <c r="AA48" i="11"/>
  <c r="R48" i="11"/>
  <c r="Z48" i="11" s="1"/>
  <c r="AC48" i="11" s="1"/>
  <c r="AB47" i="11"/>
  <c r="AA47" i="11"/>
  <c r="R47" i="11"/>
  <c r="Z47" i="11" s="1"/>
  <c r="AG47" i="11" s="1"/>
  <c r="AB46" i="11"/>
  <c r="AA46" i="11"/>
  <c r="R46" i="11"/>
  <c r="Z46" i="11" s="1"/>
  <c r="AB45" i="11"/>
  <c r="AA45" i="11"/>
  <c r="R45" i="11"/>
  <c r="Z45" i="11" s="1"/>
  <c r="AB44" i="11"/>
  <c r="AA44" i="11"/>
  <c r="R44" i="11"/>
  <c r="Z44" i="11" s="1"/>
  <c r="AB43" i="11"/>
  <c r="AA43" i="11"/>
  <c r="R43" i="11"/>
  <c r="Z43" i="11" s="1"/>
  <c r="AI42" i="11"/>
  <c r="AB42" i="11"/>
  <c r="AA42" i="11"/>
  <c r="R42" i="11"/>
  <c r="Z42" i="11" s="1"/>
  <c r="AI41" i="11"/>
  <c r="AB41" i="11"/>
  <c r="AA41" i="11"/>
  <c r="R41" i="11"/>
  <c r="Z41" i="11" s="1"/>
  <c r="AB40" i="11"/>
  <c r="AA40" i="11"/>
  <c r="R40" i="11"/>
  <c r="Z40" i="11" s="1"/>
  <c r="AI39" i="11"/>
  <c r="AB39" i="11"/>
  <c r="AE39" i="11" s="1"/>
  <c r="AA39" i="11"/>
  <c r="R39" i="11"/>
  <c r="Z39" i="11" s="1"/>
  <c r="AB38" i="11"/>
  <c r="AA38" i="11"/>
  <c r="R38" i="11"/>
  <c r="Z38" i="11" s="1"/>
  <c r="AB37" i="11"/>
  <c r="AA37" i="11"/>
  <c r="R37" i="11"/>
  <c r="Z37" i="11" s="1"/>
  <c r="AB36" i="11"/>
  <c r="AA36" i="11"/>
  <c r="R36" i="11"/>
  <c r="Z36" i="11" s="1"/>
  <c r="AD36" i="11" s="1"/>
  <c r="AB35" i="11"/>
  <c r="AA35" i="11"/>
  <c r="R35" i="11"/>
  <c r="Z35" i="11" s="1"/>
  <c r="AB34" i="11"/>
  <c r="AA34" i="11"/>
  <c r="R34" i="11"/>
  <c r="Z34" i="11" s="1"/>
  <c r="AB33" i="11"/>
  <c r="AA33" i="11"/>
  <c r="R33" i="11"/>
  <c r="Z33" i="11" s="1"/>
  <c r="AB32" i="11"/>
  <c r="AA32" i="11"/>
  <c r="R32" i="11"/>
  <c r="Z32" i="11" s="1"/>
  <c r="AB31" i="11"/>
  <c r="AA31" i="11"/>
  <c r="R31" i="11"/>
  <c r="Z31" i="11" s="1"/>
  <c r="AB30" i="11"/>
  <c r="AA30" i="11"/>
  <c r="R30" i="11"/>
  <c r="Z30" i="11" s="1"/>
  <c r="AB29" i="11"/>
  <c r="AA29" i="11"/>
  <c r="R29" i="11"/>
  <c r="Z29" i="11" s="1"/>
  <c r="AB28" i="11"/>
  <c r="AA28" i="11"/>
  <c r="R28" i="11"/>
  <c r="Z28" i="11" s="1"/>
  <c r="AG28" i="11" s="1"/>
  <c r="AB27" i="11"/>
  <c r="AA27" i="11"/>
  <c r="R27" i="11"/>
  <c r="Z27" i="11" s="1"/>
  <c r="AB26" i="11"/>
  <c r="AA26" i="11"/>
  <c r="R26" i="11"/>
  <c r="Z26" i="11" s="1"/>
  <c r="AB25" i="11"/>
  <c r="AA25" i="11"/>
  <c r="R25" i="11"/>
  <c r="Z25" i="11" s="1"/>
  <c r="AB24" i="11"/>
  <c r="AA24" i="11"/>
  <c r="R24" i="11"/>
  <c r="Z24" i="11" s="1"/>
  <c r="AB23" i="11"/>
  <c r="AA23" i="11"/>
  <c r="R23" i="11"/>
  <c r="Z23" i="11" s="1"/>
  <c r="AB22" i="11"/>
  <c r="AA22" i="11"/>
  <c r="R22" i="11"/>
  <c r="Z22" i="11" s="1"/>
  <c r="AB21" i="11"/>
  <c r="AA21" i="11"/>
  <c r="R21" i="11"/>
  <c r="Z21" i="11" s="1"/>
  <c r="AB20" i="11"/>
  <c r="AA20" i="11"/>
  <c r="R20" i="11"/>
  <c r="Z20" i="11" s="1"/>
  <c r="AG20" i="11" s="1"/>
  <c r="AB19" i="11"/>
  <c r="AA19" i="11"/>
  <c r="Z19" i="11"/>
  <c r="R19" i="11"/>
  <c r="AB18" i="11"/>
  <c r="AA18" i="11"/>
  <c r="R18" i="11"/>
  <c r="Z18" i="11" s="1"/>
  <c r="AB17" i="11"/>
  <c r="AA17" i="11"/>
  <c r="R17" i="11"/>
  <c r="Z17" i="11" s="1"/>
  <c r="AG17" i="11" s="1"/>
  <c r="AB16" i="11"/>
  <c r="AA16" i="11"/>
  <c r="R16" i="11"/>
  <c r="Z16" i="11" s="1"/>
  <c r="AI15" i="11"/>
  <c r="AB15" i="11"/>
  <c r="AA15" i="11"/>
  <c r="R15" i="11"/>
  <c r="Z15" i="11" s="1"/>
  <c r="AB14" i="11"/>
  <c r="AA14" i="11"/>
  <c r="R14" i="11"/>
  <c r="Z14" i="11" s="1"/>
  <c r="AB13" i="11"/>
  <c r="AA13" i="11"/>
  <c r="R13" i="11"/>
  <c r="Z13" i="11" s="1"/>
  <c r="AG13" i="11" s="1"/>
  <c r="AB12" i="11"/>
  <c r="AA12" i="11"/>
  <c r="R12" i="11"/>
  <c r="Z12" i="11" s="1"/>
  <c r="AB11" i="11"/>
  <c r="AA11" i="11"/>
  <c r="R11" i="11"/>
  <c r="Z11" i="11" s="1"/>
  <c r="AB10" i="11"/>
  <c r="AA10" i="11"/>
  <c r="R10" i="11"/>
  <c r="Z10" i="11" s="1"/>
  <c r="AB9" i="11"/>
  <c r="AA9" i="11"/>
  <c r="R9" i="11"/>
  <c r="Z9" i="11" s="1"/>
  <c r="AB8" i="11"/>
  <c r="AA8" i="11"/>
  <c r="R8" i="11"/>
  <c r="Z8" i="11" s="1"/>
  <c r="AB7" i="11"/>
  <c r="AA7" i="11"/>
  <c r="AE7" i="11" s="1"/>
  <c r="R7" i="11"/>
  <c r="Z7" i="11" s="1"/>
  <c r="AI6" i="11"/>
  <c r="AB6" i="11"/>
  <c r="AA6" i="11"/>
  <c r="R6" i="11"/>
  <c r="Z6" i="11" s="1"/>
  <c r="AB5" i="11"/>
  <c r="AA5" i="11"/>
  <c r="R5" i="11"/>
  <c r="Z5" i="11" s="1"/>
  <c r="AB4" i="11"/>
  <c r="AA4" i="11"/>
  <c r="R4" i="11"/>
  <c r="Z4" i="11" s="1"/>
  <c r="AB3" i="11"/>
  <c r="AA3" i="11"/>
  <c r="R3" i="11"/>
  <c r="Z3" i="11" s="1"/>
  <c r="AB2" i="11"/>
  <c r="AA2" i="11"/>
  <c r="R2" i="11"/>
  <c r="Z2" i="11" s="1"/>
  <c r="AB1" i="11"/>
  <c r="AA1" i="11"/>
  <c r="Z1" i="11"/>
  <c r="AE42" i="11" l="1"/>
  <c r="AE97" i="11"/>
  <c r="AE48" i="11"/>
  <c r="AD58" i="11"/>
  <c r="AD63" i="11"/>
  <c r="AE70" i="11"/>
  <c r="AE72" i="11"/>
  <c r="AC93" i="11"/>
  <c r="AD118" i="11"/>
  <c r="AD131" i="11"/>
  <c r="AE171" i="11"/>
  <c r="AC211" i="11"/>
  <c r="AC34" i="11"/>
  <c r="AD109" i="11"/>
  <c r="AE47" i="11"/>
  <c r="AE6" i="11"/>
  <c r="AE34" i="11"/>
  <c r="AE53" i="11"/>
  <c r="AD76" i="11"/>
  <c r="AE78" i="11"/>
  <c r="AE83" i="11"/>
  <c r="AE98" i="11"/>
  <c r="AD112" i="11"/>
  <c r="AG121" i="11"/>
  <c r="AC44" i="11"/>
  <c r="AG59" i="11"/>
  <c r="AG64" i="11"/>
  <c r="AG107" i="11"/>
  <c r="AF154" i="11"/>
  <c r="AF178" i="11"/>
  <c r="AF186" i="11"/>
  <c r="AE132" i="11"/>
  <c r="AF157" i="11"/>
  <c r="AC212" i="11"/>
  <c r="AE4" i="11"/>
  <c r="AE122" i="11"/>
  <c r="AE59" i="11"/>
  <c r="AE64" i="11"/>
  <c r="AD96" i="11"/>
  <c r="AE124" i="11"/>
  <c r="AG130" i="11"/>
  <c r="AE154" i="11"/>
  <c r="AF162" i="11"/>
  <c r="AC183" i="11"/>
  <c r="AE188" i="11"/>
  <c r="AD196" i="11"/>
  <c r="AG201" i="11"/>
  <c r="AE91" i="11"/>
  <c r="AE130" i="11"/>
  <c r="AE196" i="11"/>
  <c r="AE13" i="11"/>
  <c r="AE74" i="11"/>
  <c r="AE133" i="11"/>
  <c r="AG138" i="11"/>
  <c r="AE165" i="11"/>
  <c r="AC204" i="11"/>
  <c r="AE214" i="11"/>
  <c r="AE8" i="11"/>
  <c r="AE16" i="11"/>
  <c r="AE31" i="11"/>
  <c r="AE41" i="11"/>
  <c r="AE60" i="11"/>
  <c r="AE65" i="11"/>
  <c r="AC75" i="11"/>
  <c r="AE80" i="11"/>
  <c r="AE82" i="11"/>
  <c r="AE87" i="11"/>
  <c r="AD105" i="11"/>
  <c r="AE116" i="11"/>
  <c r="AC134" i="11"/>
  <c r="AG136" i="11"/>
  <c r="AF139" i="11"/>
  <c r="AE155" i="11"/>
  <c r="AG179" i="11"/>
  <c r="AE181" i="11"/>
  <c r="AE194" i="11"/>
  <c r="AE33" i="11"/>
  <c r="AE75" i="11"/>
  <c r="AC90" i="11"/>
  <c r="AG95" i="11"/>
  <c r="AE121" i="11"/>
  <c r="AE123" i="11"/>
  <c r="AE131" i="11"/>
  <c r="AD142" i="11"/>
  <c r="AE25" i="11"/>
  <c r="AG2" i="11"/>
  <c r="AE9" i="11"/>
  <c r="AG12" i="11"/>
  <c r="AE24" i="11"/>
  <c r="AG27" i="11"/>
  <c r="AE37" i="11"/>
  <c r="AE49" i="11"/>
  <c r="AF66" i="11"/>
  <c r="AE90" i="11"/>
  <c r="AF117" i="11"/>
  <c r="AE129" i="11"/>
  <c r="AF132" i="11"/>
  <c r="AF145" i="11"/>
  <c r="AE153" i="11"/>
  <c r="AF156" i="11"/>
  <c r="AF189" i="11"/>
  <c r="AD189" i="11"/>
  <c r="AC189" i="11"/>
  <c r="AC83" i="11"/>
  <c r="AF83" i="11"/>
  <c r="AE54" i="11"/>
  <c r="AE15" i="11"/>
  <c r="AE50" i="11"/>
  <c r="AE68" i="11"/>
  <c r="AE128" i="11"/>
  <c r="AE151" i="11"/>
  <c r="AE158" i="11"/>
  <c r="AE163" i="11"/>
  <c r="AE178" i="11"/>
  <c r="AD190" i="11"/>
  <c r="AE204" i="11"/>
  <c r="AE211" i="11"/>
  <c r="AE216" i="11"/>
  <c r="AE22" i="11"/>
  <c r="AF37" i="11"/>
  <c r="AE46" i="11"/>
  <c r="AF53" i="11"/>
  <c r="AE62" i="11"/>
  <c r="AE73" i="11"/>
  <c r="AE77" i="11"/>
  <c r="AG80" i="11"/>
  <c r="AE86" i="11"/>
  <c r="AE95" i="11"/>
  <c r="AE109" i="11"/>
  <c r="AF116" i="11"/>
  <c r="AF121" i="11"/>
  <c r="AF129" i="11"/>
  <c r="AE139" i="11"/>
  <c r="AE146" i="11"/>
  <c r="AE156" i="11"/>
  <c r="AF164" i="11"/>
  <c r="AE166" i="11"/>
  <c r="AE173" i="11"/>
  <c r="AE186" i="11"/>
  <c r="AE195" i="11"/>
  <c r="AE209" i="11"/>
  <c r="AE168" i="11"/>
  <c r="AE175" i="11"/>
  <c r="AE197" i="11"/>
  <c r="AG55" i="11"/>
  <c r="AE176" i="11"/>
  <c r="AE52" i="11"/>
  <c r="AE61" i="11"/>
  <c r="AE213" i="11"/>
  <c r="AG5" i="11"/>
  <c r="AE20" i="11"/>
  <c r="AE84" i="11"/>
  <c r="AC98" i="11"/>
  <c r="AE118" i="11"/>
  <c r="AE137" i="11"/>
  <c r="AD150" i="11"/>
  <c r="AE152" i="11"/>
  <c r="AE159" i="11"/>
  <c r="AE164" i="11"/>
  <c r="AD182" i="11"/>
  <c r="AE184" i="11"/>
  <c r="AE187" i="11"/>
  <c r="AE189" i="11"/>
  <c r="AE198" i="11"/>
  <c r="AE203" i="11"/>
  <c r="AE23" i="11"/>
  <c r="AE28" i="11"/>
  <c r="AE35" i="11"/>
  <c r="AE44" i="11"/>
  <c r="AF72" i="11"/>
  <c r="AD74" i="11"/>
  <c r="AE89" i="11"/>
  <c r="AE103" i="11"/>
  <c r="AE110" i="11"/>
  <c r="AC167" i="11"/>
  <c r="AG185" i="11"/>
  <c r="AE210" i="11"/>
  <c r="AE212" i="11"/>
  <c r="AE104" i="11"/>
  <c r="AE143" i="11"/>
  <c r="AG3" i="11"/>
  <c r="AG10" i="11"/>
  <c r="AG19" i="11"/>
  <c r="AG38" i="11"/>
  <c r="AE40" i="11"/>
  <c r="AD61" i="11"/>
  <c r="AG70" i="11"/>
  <c r="AD85" i="11"/>
  <c r="AD92" i="11"/>
  <c r="AG106" i="11"/>
  <c r="AC113" i="11"/>
  <c r="AD119" i="11"/>
  <c r="AD125" i="11"/>
  <c r="AE127" i="11"/>
  <c r="AD141" i="11"/>
  <c r="AE145" i="11"/>
  <c r="AE162" i="11"/>
  <c r="AE170" i="11"/>
  <c r="AF172" i="11"/>
  <c r="AE177" i="11"/>
  <c r="AF188" i="11"/>
  <c r="AE215" i="11"/>
  <c r="AD151" i="11"/>
  <c r="AC151" i="11"/>
  <c r="AD88" i="11"/>
  <c r="AF88" i="11"/>
  <c r="AF149" i="11"/>
  <c r="AD149" i="11"/>
  <c r="AC149" i="11"/>
  <c r="AF173" i="11"/>
  <c r="AD173" i="11"/>
  <c r="AC173" i="11"/>
  <c r="AD25" i="11"/>
  <c r="AC25" i="11"/>
  <c r="AG86" i="11"/>
  <c r="AC86" i="11"/>
  <c r="AC97" i="11"/>
  <c r="AD97" i="11"/>
  <c r="AD126" i="11"/>
  <c r="AC126" i="11"/>
  <c r="AF181" i="11"/>
  <c r="AD181" i="11"/>
  <c r="AC181" i="11"/>
  <c r="AG69" i="11"/>
  <c r="AD69" i="11"/>
  <c r="AG100" i="11"/>
  <c r="AC100" i="11"/>
  <c r="AD159" i="11"/>
  <c r="AC159" i="11"/>
  <c r="AD103" i="11"/>
  <c r="AF103" i="11"/>
  <c r="AF124" i="11"/>
  <c r="AD124" i="11"/>
  <c r="AC124" i="11"/>
  <c r="AD33" i="11"/>
  <c r="AC33" i="11"/>
  <c r="AG42" i="11"/>
  <c r="AC42" i="11"/>
  <c r="AG56" i="11"/>
  <c r="AF56" i="11"/>
  <c r="AD56" i="11"/>
  <c r="AD108" i="11"/>
  <c r="AG108" i="11"/>
  <c r="AG215" i="11"/>
  <c r="AF215" i="11"/>
  <c r="AD35" i="11"/>
  <c r="AC35" i="11"/>
  <c r="AG49" i="11"/>
  <c r="AF49" i="11"/>
  <c r="AF165" i="11"/>
  <c r="AC165" i="11"/>
  <c r="AD165" i="11"/>
  <c r="AG194" i="11"/>
  <c r="AF194" i="11"/>
  <c r="AG99" i="11"/>
  <c r="AD99" i="11"/>
  <c r="AG51" i="11"/>
  <c r="AC51" i="11"/>
  <c r="AF140" i="11"/>
  <c r="AD140" i="11"/>
  <c r="AC140" i="11"/>
  <c r="AG54" i="11"/>
  <c r="AF54" i="11"/>
  <c r="AD54" i="11"/>
  <c r="AC54" i="11"/>
  <c r="AE88" i="11"/>
  <c r="AE101" i="11"/>
  <c r="AE105" i="11"/>
  <c r="AE160" i="11"/>
  <c r="AE174" i="11"/>
  <c r="AE193" i="11"/>
  <c r="AG214" i="11"/>
  <c r="AE66" i="11"/>
  <c r="AE12" i="11"/>
  <c r="AE14" i="11"/>
  <c r="AE18" i="11"/>
  <c r="AE26" i="11"/>
  <c r="AF50" i="11"/>
  <c r="AC109" i="11"/>
  <c r="AE125" i="11"/>
  <c r="AE135" i="11"/>
  <c r="AE142" i="11"/>
  <c r="AE144" i="11"/>
  <c r="AE182" i="11"/>
  <c r="AE201" i="11"/>
  <c r="AE207" i="11"/>
  <c r="AF63" i="11"/>
  <c r="AC2" i="11"/>
  <c r="AC10" i="11"/>
  <c r="AD34" i="11"/>
  <c r="AG48" i="11"/>
  <c r="AC59" i="11"/>
  <c r="AC62" i="11"/>
  <c r="AE67" i="11"/>
  <c r="AC70" i="11"/>
  <c r="AC74" i="11"/>
  <c r="AD90" i="11"/>
  <c r="AE100" i="11"/>
  <c r="AE102" i="11"/>
  <c r="AC117" i="11"/>
  <c r="AC132" i="11"/>
  <c r="AC142" i="11"/>
  <c r="AE150" i="11"/>
  <c r="AC157" i="11"/>
  <c r="AD166" i="11"/>
  <c r="AE199" i="11"/>
  <c r="AF201" i="11"/>
  <c r="AE205" i="11"/>
  <c r="AD116" i="11"/>
  <c r="AD117" i="11"/>
  <c r="AD132" i="11"/>
  <c r="AD157" i="11"/>
  <c r="AG200" i="11"/>
  <c r="Q246" i="11"/>
  <c r="AD2" i="11"/>
  <c r="AF27" i="11"/>
  <c r="AC50" i="11"/>
  <c r="AC84" i="11"/>
  <c r="AE111" i="11"/>
  <c r="AE113" i="11"/>
  <c r="AE119" i="11"/>
  <c r="AD51" i="11"/>
  <c r="AF2" i="11"/>
  <c r="AF19" i="11"/>
  <c r="AE11" i="11"/>
  <c r="AE17" i="11"/>
  <c r="AE19" i="11"/>
  <c r="AE21" i="11"/>
  <c r="AE27" i="11"/>
  <c r="AE29" i="11"/>
  <c r="AC36" i="11"/>
  <c r="AD43" i="11"/>
  <c r="AE58" i="11"/>
  <c r="AE79" i="11"/>
  <c r="AE81" i="11"/>
  <c r="AE94" i="11"/>
  <c r="AE96" i="11"/>
  <c r="AG109" i="11"/>
  <c r="AE138" i="11"/>
  <c r="AE141" i="11"/>
  <c r="AD158" i="11"/>
  <c r="AE172" i="11"/>
  <c r="AE192" i="11"/>
  <c r="AE200" i="11"/>
  <c r="AC3" i="11"/>
  <c r="AE30" i="11"/>
  <c r="AI217" i="11"/>
  <c r="AE5" i="11"/>
  <c r="AC17" i="11"/>
  <c r="AE32" i="11"/>
  <c r="AE43" i="11"/>
  <c r="AC64" i="11"/>
  <c r="AE71" i="11"/>
  <c r="AG76" i="11"/>
  <c r="AC77" i="11"/>
  <c r="AD83" i="11"/>
  <c r="AF96" i="11"/>
  <c r="AC105" i="11"/>
  <c r="AG169" i="11"/>
  <c r="AD174" i="11"/>
  <c r="H232" i="11"/>
  <c r="AF6" i="11"/>
  <c r="AD6" i="11"/>
  <c r="AG6" i="11"/>
  <c r="AC6" i="11"/>
  <c r="AG14" i="11"/>
  <c r="AF14" i="11"/>
  <c r="AD14" i="11"/>
  <c r="AC14" i="11"/>
  <c r="AC18" i="11"/>
  <c r="AG18" i="11"/>
  <c r="AF18" i="11"/>
  <c r="AD18" i="11"/>
  <c r="AC26" i="11"/>
  <c r="AG26" i="11"/>
  <c r="AF26" i="11"/>
  <c r="AD26" i="11"/>
  <c r="AD41" i="11"/>
  <c r="AC41" i="11"/>
  <c r="AG41" i="11"/>
  <c r="AF41" i="11"/>
  <c r="AD46" i="11"/>
  <c r="AC46" i="11"/>
  <c r="AG46" i="11"/>
  <c r="AF46" i="11"/>
  <c r="AC16" i="11"/>
  <c r="AG16" i="11"/>
  <c r="AD16" i="11"/>
  <c r="AF16" i="11"/>
  <c r="AC4" i="11"/>
  <c r="AG4" i="11"/>
  <c r="AF4" i="11"/>
  <c r="AD4" i="11"/>
  <c r="AF8" i="11"/>
  <c r="AD8" i="11"/>
  <c r="AC8" i="11"/>
  <c r="AG8" i="11"/>
  <c r="AF31" i="11"/>
  <c r="AD31" i="11"/>
  <c r="AC31" i="11"/>
  <c r="AG31" i="11"/>
  <c r="AF23" i="11"/>
  <c r="AD23" i="11"/>
  <c r="AC23" i="11"/>
  <c r="AG23" i="11"/>
  <c r="AG11" i="11"/>
  <c r="AF11" i="11"/>
  <c r="AC11" i="11"/>
  <c r="AD11" i="11"/>
  <c r="AF21" i="11"/>
  <c r="AD21" i="11"/>
  <c r="AC21" i="11"/>
  <c r="AG21" i="11"/>
  <c r="AF29" i="11"/>
  <c r="AD29" i="11"/>
  <c r="AC29" i="11"/>
  <c r="AG29" i="11"/>
  <c r="AF52" i="11"/>
  <c r="AC52" i="11"/>
  <c r="AG52" i="11"/>
  <c r="AD52" i="11"/>
  <c r="AD15" i="11"/>
  <c r="AC15" i="11"/>
  <c r="AF15" i="11"/>
  <c r="AG15" i="11"/>
  <c r="Z217" i="11"/>
  <c r="AF7" i="11"/>
  <c r="AD7" i="11"/>
  <c r="AC7" i="11"/>
  <c r="AG7" i="11"/>
  <c r="AC9" i="11"/>
  <c r="AD9" i="11"/>
  <c r="AG9" i="11"/>
  <c r="AF9" i="11"/>
  <c r="AD40" i="11"/>
  <c r="AG40" i="11"/>
  <c r="AF40" i="11"/>
  <c r="AC40" i="11"/>
  <c r="AF45" i="11"/>
  <c r="AC45" i="11"/>
  <c r="AG45" i="11"/>
  <c r="AD45" i="11"/>
  <c r="AC32" i="11"/>
  <c r="AD32" i="11"/>
  <c r="AG32" i="11"/>
  <c r="AF32" i="11"/>
  <c r="AG22" i="11"/>
  <c r="AD22" i="11"/>
  <c r="AC22" i="11"/>
  <c r="AF22" i="11"/>
  <c r="AC24" i="11"/>
  <c r="AD24" i="11"/>
  <c r="AG24" i="11"/>
  <c r="AF24" i="11"/>
  <c r="AG30" i="11"/>
  <c r="AF30" i="11"/>
  <c r="AD30" i="11"/>
  <c r="AC30" i="11"/>
  <c r="AD3" i="11"/>
  <c r="AE3" i="11"/>
  <c r="AC5" i="11"/>
  <c r="AE10" i="11"/>
  <c r="AC12" i="11"/>
  <c r="AC19" i="11"/>
  <c r="AC27" i="11"/>
  <c r="AF33" i="11"/>
  <c r="AF34" i="11"/>
  <c r="AF38" i="11"/>
  <c r="AG44" i="11"/>
  <c r="AF44" i="11"/>
  <c r="AD44" i="11"/>
  <c r="AE45" i="11"/>
  <c r="AC55" i="11"/>
  <c r="AG58" i="11"/>
  <c r="AF58" i="11"/>
  <c r="AC58" i="11"/>
  <c r="AC61" i="11"/>
  <c r="AG61" i="11"/>
  <c r="AG84" i="11"/>
  <c r="AF84" i="11"/>
  <c r="AD84" i="11"/>
  <c r="AF85" i="11"/>
  <c r="AE85" i="11"/>
  <c r="AC85" i="11"/>
  <c r="AG87" i="11"/>
  <c r="AF87" i="11"/>
  <c r="AD87" i="11"/>
  <c r="AC87" i="11"/>
  <c r="AC107" i="11"/>
  <c r="AF107" i="11"/>
  <c r="AD107" i="11"/>
  <c r="AE112" i="11"/>
  <c r="AC112" i="11"/>
  <c r="AC135" i="11"/>
  <c r="AG135" i="11"/>
  <c r="AF135" i="11"/>
  <c r="AD135" i="11"/>
  <c r="AE2" i="11"/>
  <c r="AD10" i="11"/>
  <c r="AF3" i="11"/>
  <c r="AD5" i="11"/>
  <c r="AA217" i="11"/>
  <c r="AF10" i="11"/>
  <c r="AD12" i="11"/>
  <c r="AC13" i="11"/>
  <c r="AF17" i="11"/>
  <c r="AD19" i="11"/>
  <c r="AC20" i="11"/>
  <c r="AF25" i="11"/>
  <c r="AD27" i="11"/>
  <c r="AC28" i="11"/>
  <c r="AG33" i="11"/>
  <c r="AG34" i="11"/>
  <c r="AF35" i="11"/>
  <c r="AE36" i="11"/>
  <c r="AG37" i="11"/>
  <c r="AG43" i="11"/>
  <c r="AE55" i="11"/>
  <c r="AG65" i="11"/>
  <c r="AF65" i="11"/>
  <c r="AC65" i="11"/>
  <c r="AG68" i="11"/>
  <c r="AF68" i="11"/>
  <c r="AD68" i="11"/>
  <c r="AF69" i="11"/>
  <c r="AE69" i="11"/>
  <c r="AC69" i="11"/>
  <c r="AG71" i="11"/>
  <c r="AF71" i="11"/>
  <c r="AD71" i="11"/>
  <c r="AC71" i="11"/>
  <c r="AG79" i="11"/>
  <c r="AF79" i="11"/>
  <c r="AD79" i="11"/>
  <c r="AD81" i="11"/>
  <c r="AC81" i="11"/>
  <c r="AG81" i="11"/>
  <c r="AD89" i="11"/>
  <c r="AC89" i="11"/>
  <c r="AG89" i="11"/>
  <c r="AF89" i="11"/>
  <c r="AG92" i="11"/>
  <c r="AF102" i="11"/>
  <c r="AD102" i="11"/>
  <c r="AC102" i="11"/>
  <c r="AD17" i="11"/>
  <c r="AB217" i="11"/>
  <c r="AD13" i="11"/>
  <c r="AD20" i="11"/>
  <c r="AG25" i="11"/>
  <c r="AD28" i="11"/>
  <c r="AG35" i="11"/>
  <c r="AF36" i="11"/>
  <c r="AG39" i="11"/>
  <c r="AF39" i="11"/>
  <c r="AD39" i="11"/>
  <c r="AE51" i="11"/>
  <c r="AG57" i="11"/>
  <c r="AF57" i="11"/>
  <c r="AD57" i="11"/>
  <c r="AD60" i="11"/>
  <c r="AC60" i="11"/>
  <c r="AG60" i="11"/>
  <c r="AD73" i="11"/>
  <c r="AC73" i="11"/>
  <c r="AF73" i="11"/>
  <c r="AD104" i="11"/>
  <c r="AC104" i="11"/>
  <c r="AG104" i="11"/>
  <c r="AF104" i="11"/>
  <c r="AG170" i="11"/>
  <c r="AD170" i="11"/>
  <c r="AC170" i="11"/>
  <c r="AF170" i="11"/>
  <c r="AF5" i="11"/>
  <c r="AD47" i="11"/>
  <c r="AC47" i="11"/>
  <c r="AD67" i="11"/>
  <c r="AC67" i="11"/>
  <c r="AF67" i="11"/>
  <c r="AG91" i="11"/>
  <c r="AF91" i="11"/>
  <c r="AD91" i="11"/>
  <c r="AF92" i="11"/>
  <c r="AE92" i="11"/>
  <c r="AC92" i="11"/>
  <c r="AG94" i="11"/>
  <c r="AF94" i="11"/>
  <c r="AD94" i="11"/>
  <c r="AC94" i="11"/>
  <c r="AF111" i="11"/>
  <c r="AG111" i="11"/>
  <c r="AD111" i="11"/>
  <c r="AC111" i="11"/>
  <c r="AC168" i="11"/>
  <c r="AG168" i="11"/>
  <c r="AF168" i="11"/>
  <c r="AD168" i="11"/>
  <c r="AF208" i="11"/>
  <c r="AD208" i="11"/>
  <c r="AC208" i="11"/>
  <c r="AG208" i="11"/>
  <c r="AF12" i="11"/>
  <c r="AF13" i="11"/>
  <c r="AF20" i="11"/>
  <c r="AF28" i="11"/>
  <c r="AG36" i="11"/>
  <c r="AD42" i="11"/>
  <c r="AC43" i="11"/>
  <c r="AD48" i="11"/>
  <c r="AC49" i="11"/>
  <c r="AD50" i="11"/>
  <c r="AF59" i="11"/>
  <c r="AD59" i="11"/>
  <c r="AD65" i="11"/>
  <c r="AC68" i="11"/>
  <c r="AF80" i="11"/>
  <c r="AD80" i="11"/>
  <c r="AC80" i="11"/>
  <c r="AF81" i="11"/>
  <c r="AG102" i="11"/>
  <c r="AD115" i="11"/>
  <c r="AC115" i="11"/>
  <c r="AG115" i="11"/>
  <c r="AF115" i="11"/>
  <c r="AG202" i="11"/>
  <c r="AF202" i="11"/>
  <c r="AD202" i="11"/>
  <c r="AC202" i="11"/>
  <c r="R217" i="11"/>
  <c r="AE38" i="11"/>
  <c r="AC39" i="11"/>
  <c r="AD49" i="11"/>
  <c r="AF51" i="11"/>
  <c r="AF55" i="11"/>
  <c r="AD55" i="11"/>
  <c r="AC57" i="11"/>
  <c r="AF60" i="11"/>
  <c r="AF61" i="11"/>
  <c r="AG63" i="11"/>
  <c r="AD82" i="11"/>
  <c r="AC82" i="11"/>
  <c r="AG82" i="11"/>
  <c r="AF82" i="11"/>
  <c r="AG123" i="11"/>
  <c r="AC123" i="11"/>
  <c r="AF123" i="11"/>
  <c r="AD123" i="11"/>
  <c r="AG180" i="11"/>
  <c r="AC180" i="11"/>
  <c r="AF180" i="11"/>
  <c r="AD180" i="11"/>
  <c r="AD198" i="11"/>
  <c r="AC198" i="11"/>
  <c r="AG198" i="11"/>
  <c r="AF198" i="11"/>
  <c r="AC37" i="11"/>
  <c r="AC38" i="11"/>
  <c r="AF42" i="11"/>
  <c r="AF43" i="11"/>
  <c r="AF48" i="11"/>
  <c r="AG50" i="11"/>
  <c r="AE56" i="11"/>
  <c r="AC56" i="11"/>
  <c r="AF62" i="11"/>
  <c r="AD62" i="11"/>
  <c r="AD72" i="11"/>
  <c r="AC72" i="11"/>
  <c r="AG72" i="11"/>
  <c r="AG73" i="11"/>
  <c r="AG75" i="11"/>
  <c r="AF75" i="11"/>
  <c r="AD75" i="11"/>
  <c r="AF76" i="11"/>
  <c r="AE76" i="11"/>
  <c r="AC76" i="11"/>
  <c r="AG78" i="11"/>
  <c r="AF78" i="11"/>
  <c r="AD78" i="11"/>
  <c r="AC78" i="11"/>
  <c r="AG85" i="11"/>
  <c r="AC91" i="11"/>
  <c r="AG93" i="11"/>
  <c r="AF95" i="11"/>
  <c r="AD95" i="11"/>
  <c r="AC95" i="11"/>
  <c r="AG98" i="11"/>
  <c r="AF98" i="11"/>
  <c r="AD98" i="11"/>
  <c r="AF99" i="11"/>
  <c r="AE99" i="11"/>
  <c r="AC99" i="11"/>
  <c r="AG101" i="11"/>
  <c r="AF101" i="11"/>
  <c r="AD101" i="11"/>
  <c r="AC101" i="11"/>
  <c r="AG112" i="11"/>
  <c r="AD37" i="11"/>
  <c r="AD38" i="11"/>
  <c r="AF47" i="11"/>
  <c r="AD53" i="11"/>
  <c r="AC53" i="11"/>
  <c r="AG53" i="11"/>
  <c r="AE63" i="11"/>
  <c r="AC63" i="11"/>
  <c r="AD66" i="11"/>
  <c r="AC66" i="11"/>
  <c r="AG66" i="11"/>
  <c r="AG67" i="11"/>
  <c r="AG110" i="11"/>
  <c r="AF110" i="11"/>
  <c r="AD110" i="11"/>
  <c r="AC110" i="11"/>
  <c r="AC114" i="11"/>
  <c r="AG114" i="11"/>
  <c r="AF114" i="11"/>
  <c r="AD114" i="11"/>
  <c r="AG137" i="11"/>
  <c r="AD137" i="11"/>
  <c r="AC137" i="11"/>
  <c r="AF137" i="11"/>
  <c r="AF193" i="11"/>
  <c r="AD193" i="11"/>
  <c r="AC193" i="11"/>
  <c r="AG193" i="11"/>
  <c r="AG88" i="11"/>
  <c r="AG96" i="11"/>
  <c r="AG103" i="11"/>
  <c r="AF105" i="11"/>
  <c r="AF113" i="11"/>
  <c r="AE120" i="11"/>
  <c r="AG131" i="11"/>
  <c r="AC131" i="11"/>
  <c r="AC143" i="11"/>
  <c r="AG143" i="11"/>
  <c r="AF143" i="11"/>
  <c r="AD143" i="11"/>
  <c r="AG145" i="11"/>
  <c r="AD145" i="11"/>
  <c r="AC145" i="11"/>
  <c r="AC152" i="11"/>
  <c r="AG152" i="11"/>
  <c r="AF152" i="11"/>
  <c r="AD152" i="11"/>
  <c r="AG154" i="11"/>
  <c r="AD154" i="11"/>
  <c r="AC154" i="11"/>
  <c r="AC160" i="11"/>
  <c r="AG160" i="11"/>
  <c r="AF160" i="11"/>
  <c r="AD160" i="11"/>
  <c r="AG162" i="11"/>
  <c r="AD162" i="11"/>
  <c r="AC162" i="11"/>
  <c r="AG172" i="11"/>
  <c r="AC172" i="11"/>
  <c r="AD183" i="11"/>
  <c r="AG183" i="11"/>
  <c r="AF183" i="11"/>
  <c r="AF185" i="11"/>
  <c r="AD185" i="11"/>
  <c r="AC185" i="11"/>
  <c r="AD191" i="11"/>
  <c r="AC191" i="11"/>
  <c r="AG191" i="11"/>
  <c r="AF191" i="11"/>
  <c r="AG195" i="11"/>
  <c r="AF195" i="11"/>
  <c r="AD195" i="11"/>
  <c r="AC195" i="11"/>
  <c r="AF204" i="11"/>
  <c r="AD204" i="11"/>
  <c r="AG204" i="11"/>
  <c r="AD206" i="11"/>
  <c r="AC206" i="11"/>
  <c r="AG206" i="11"/>
  <c r="AF206" i="11"/>
  <c r="AG210" i="11"/>
  <c r="AF210" i="11"/>
  <c r="AC210" i="11"/>
  <c r="AF90" i="11"/>
  <c r="AF97" i="11"/>
  <c r="AG105" i="11"/>
  <c r="AD122" i="11"/>
  <c r="AC122" i="11"/>
  <c r="AF128" i="11"/>
  <c r="AD128" i="11"/>
  <c r="AC128" i="11"/>
  <c r="AG139" i="11"/>
  <c r="AC139" i="11"/>
  <c r="AG148" i="11"/>
  <c r="AC148" i="11"/>
  <c r="AG156" i="11"/>
  <c r="AC156" i="11"/>
  <c r="AG164" i="11"/>
  <c r="AC164" i="11"/>
  <c r="AD175" i="11"/>
  <c r="AG175" i="11"/>
  <c r="AF175" i="11"/>
  <c r="AF177" i="11"/>
  <c r="AD177" i="11"/>
  <c r="AC177" i="11"/>
  <c r="AF187" i="11"/>
  <c r="AD187" i="11"/>
  <c r="AC187" i="11"/>
  <c r="AD188" i="11"/>
  <c r="AF197" i="11"/>
  <c r="AD197" i="11"/>
  <c r="AG197" i="11"/>
  <c r="AC213" i="11"/>
  <c r="AG213" i="11"/>
  <c r="AF213" i="11"/>
  <c r="AD213" i="11"/>
  <c r="AD64" i="11"/>
  <c r="AD70" i="11"/>
  <c r="AG74" i="11"/>
  <c r="AD77" i="11"/>
  <c r="AG83" i="11"/>
  <c r="AD86" i="11"/>
  <c r="AG90" i="11"/>
  <c r="AD93" i="11"/>
  <c r="AG97" i="11"/>
  <c r="AD100" i="11"/>
  <c r="AD134" i="11"/>
  <c r="AF136" i="11"/>
  <c r="AD136" i="11"/>
  <c r="AC136" i="11"/>
  <c r="AD167" i="11"/>
  <c r="AG167" i="11"/>
  <c r="AF167" i="11"/>
  <c r="AF169" i="11"/>
  <c r="AD169" i="11"/>
  <c r="AC169" i="11"/>
  <c r="AF179" i="11"/>
  <c r="AD179" i="11"/>
  <c r="AC179" i="11"/>
  <c r="AE183" i="11"/>
  <c r="AE185" i="11"/>
  <c r="AE191" i="11"/>
  <c r="AE206" i="11"/>
  <c r="AF106" i="11"/>
  <c r="AD106" i="11"/>
  <c r="AG118" i="11"/>
  <c r="AF118" i="11"/>
  <c r="AD121" i="11"/>
  <c r="AC121" i="11"/>
  <c r="AF130" i="11"/>
  <c r="AD130" i="11"/>
  <c r="AC130" i="11"/>
  <c r="AF144" i="11"/>
  <c r="AD144" i="11"/>
  <c r="AC144" i="11"/>
  <c r="AF153" i="11"/>
  <c r="AD153" i="11"/>
  <c r="AC153" i="11"/>
  <c r="AF161" i="11"/>
  <c r="AD161" i="11"/>
  <c r="AC161" i="11"/>
  <c r="AF171" i="11"/>
  <c r="AD171" i="11"/>
  <c r="AC171" i="11"/>
  <c r="AC199" i="11"/>
  <c r="AG199" i="11"/>
  <c r="AF199" i="11"/>
  <c r="AD199" i="11"/>
  <c r="AG203" i="11"/>
  <c r="AF203" i="11"/>
  <c r="AC203" i="11"/>
  <c r="AF64" i="11"/>
  <c r="AF70" i="11"/>
  <c r="AF77" i="11"/>
  <c r="AF86" i="11"/>
  <c r="AC88" i="11"/>
  <c r="AF93" i="11"/>
  <c r="AC96" i="11"/>
  <c r="AF100" i="11"/>
  <c r="AC103" i="11"/>
  <c r="AE107" i="11"/>
  <c r="AC108" i="11"/>
  <c r="AD113" i="11"/>
  <c r="AG113" i="11"/>
  <c r="AE114" i="11"/>
  <c r="AC119" i="11"/>
  <c r="AC125" i="11"/>
  <c r="AG125" i="11"/>
  <c r="AF125" i="11"/>
  <c r="AG128" i="11"/>
  <c r="AE134" i="11"/>
  <c r="AE136" i="11"/>
  <c r="AF138" i="11"/>
  <c r="AD138" i="11"/>
  <c r="AC138" i="11"/>
  <c r="AD139" i="11"/>
  <c r="AF146" i="11"/>
  <c r="AD146" i="11"/>
  <c r="AC146" i="11"/>
  <c r="AD148" i="11"/>
  <c r="AF155" i="11"/>
  <c r="AD155" i="11"/>
  <c r="AC155" i="11"/>
  <c r="AD156" i="11"/>
  <c r="AF163" i="11"/>
  <c r="AD163" i="11"/>
  <c r="AC163" i="11"/>
  <c r="AD164" i="11"/>
  <c r="AE167" i="11"/>
  <c r="AE169" i="11"/>
  <c r="AC175" i="11"/>
  <c r="AG177" i="11"/>
  <c r="AC182" i="11"/>
  <c r="AG182" i="11"/>
  <c r="AF182" i="11"/>
  <c r="AG190" i="11"/>
  <c r="AC192" i="11"/>
  <c r="AG192" i="11"/>
  <c r="AF192" i="11"/>
  <c r="AD192" i="11"/>
  <c r="AG196" i="11"/>
  <c r="AF196" i="11"/>
  <c r="AC196" i="11"/>
  <c r="AC197" i="11"/>
  <c r="AC207" i="11"/>
  <c r="AG207" i="11"/>
  <c r="AF207" i="11"/>
  <c r="AD207" i="11"/>
  <c r="AG209" i="11"/>
  <c r="AF209" i="11"/>
  <c r="AD209" i="11"/>
  <c r="AC209" i="11"/>
  <c r="AD212" i="11"/>
  <c r="AF214" i="11"/>
  <c r="AD214" i="11"/>
  <c r="AC214" i="11"/>
  <c r="AF109" i="11"/>
  <c r="AF112" i="11"/>
  <c r="AF122" i="11"/>
  <c r="AF131" i="11"/>
  <c r="AC133" i="11"/>
  <c r="AG133" i="11"/>
  <c r="AF133" i="11"/>
  <c r="AC174" i="11"/>
  <c r="AG174" i="11"/>
  <c r="AF174" i="11"/>
  <c r="AC184" i="11"/>
  <c r="AG184" i="11"/>
  <c r="AF184" i="11"/>
  <c r="AD184" i="11"/>
  <c r="AG186" i="11"/>
  <c r="AD186" i="11"/>
  <c r="AC186" i="11"/>
  <c r="AG187" i="11"/>
  <c r="AD205" i="11"/>
  <c r="AC205" i="11"/>
  <c r="AG205" i="11"/>
  <c r="AF205" i="11"/>
  <c r="AF211" i="11"/>
  <c r="AD211" i="11"/>
  <c r="AG211" i="11"/>
  <c r="AG216" i="11"/>
  <c r="AF216" i="11"/>
  <c r="AD216" i="11"/>
  <c r="AC216" i="11"/>
  <c r="AC106" i="11"/>
  <c r="AF108" i="11"/>
  <c r="AG116" i="11"/>
  <c r="AC116" i="11"/>
  <c r="AC118" i="11"/>
  <c r="AC120" i="11"/>
  <c r="AG120" i="11"/>
  <c r="AF120" i="11"/>
  <c r="AD120" i="11"/>
  <c r="AG122" i="11"/>
  <c r="AC127" i="11"/>
  <c r="AG127" i="11"/>
  <c r="AF127" i="11"/>
  <c r="AD127" i="11"/>
  <c r="AG129" i="11"/>
  <c r="AD129" i="11"/>
  <c r="AC129" i="11"/>
  <c r="AC141" i="11"/>
  <c r="AG141" i="11"/>
  <c r="AF141" i="11"/>
  <c r="AG144" i="11"/>
  <c r="AC150" i="11"/>
  <c r="AG150" i="11"/>
  <c r="AF150" i="11"/>
  <c r="AG153" i="11"/>
  <c r="AC158" i="11"/>
  <c r="AG158" i="11"/>
  <c r="AF158" i="11"/>
  <c r="AG161" i="11"/>
  <c r="AC166" i="11"/>
  <c r="AG166" i="11"/>
  <c r="AF166" i="11"/>
  <c r="AC176" i="11"/>
  <c r="AG176" i="11"/>
  <c r="AF176" i="11"/>
  <c r="AD176" i="11"/>
  <c r="AG178" i="11"/>
  <c r="AD178" i="11"/>
  <c r="AC178" i="11"/>
  <c r="AG188" i="11"/>
  <c r="AC188" i="11"/>
  <c r="AE190" i="11"/>
  <c r="AC190" i="11"/>
  <c r="AF200" i="11"/>
  <c r="AD200" i="11"/>
  <c r="AC200" i="11"/>
  <c r="AD203" i="11"/>
  <c r="AG117" i="11"/>
  <c r="AG124" i="11"/>
  <c r="AG132" i="11"/>
  <c r="AG140" i="11"/>
  <c r="AG149" i="11"/>
  <c r="AG157" i="11"/>
  <c r="AG165" i="11"/>
  <c r="AG173" i="11"/>
  <c r="AG181" i="11"/>
  <c r="AG189" i="11"/>
  <c r="AF190" i="11"/>
  <c r="AF119" i="11"/>
  <c r="AF126" i="11"/>
  <c r="AF134" i="11"/>
  <c r="AF142" i="11"/>
  <c r="AF151" i="11"/>
  <c r="AF159" i="11"/>
  <c r="AC194" i="11"/>
  <c r="AC201" i="11"/>
  <c r="AF212" i="11"/>
  <c r="AC215" i="11"/>
  <c r="AG119" i="11"/>
  <c r="AG126" i="11"/>
  <c r="AG134" i="11"/>
  <c r="AG142" i="11"/>
  <c r="AG151" i="11"/>
  <c r="AG159" i="11"/>
  <c r="AD194" i="11"/>
  <c r="AD201" i="11"/>
  <c r="AG212" i="11"/>
  <c r="AD215" i="11"/>
  <c r="Q244" i="1"/>
  <c r="Q243" i="1"/>
  <c r="Q245" i="1"/>
  <c r="Q242" i="1"/>
  <c r="AE217" i="11" l="1"/>
  <c r="AG217" i="11"/>
  <c r="AC217" i="11"/>
  <c r="AD217" i="11"/>
  <c r="AF217" i="11"/>
  <c r="Q246" i="1"/>
  <c r="I218" i="1"/>
  <c r="I217" i="1"/>
  <c r="AI211" i="1"/>
  <c r="AI208" i="1"/>
  <c r="AI197" i="1"/>
  <c r="AI120" i="1"/>
  <c r="AI115" i="1"/>
  <c r="AI114" i="1"/>
  <c r="AI96" i="1"/>
  <c r="AI87" i="1"/>
  <c r="AI71" i="1"/>
  <c r="AI67" i="1"/>
  <c r="AI65" i="1"/>
  <c r="AI60" i="1"/>
  <c r="AI51" i="1"/>
  <c r="AI53" i="1"/>
  <c r="AI52" i="1"/>
  <c r="AI42" i="1"/>
  <c r="AI41" i="1"/>
  <c r="AI39" i="1"/>
  <c r="AI15" i="1"/>
  <c r="AI6" i="1"/>
  <c r="H227" i="1"/>
  <c r="H231" i="1"/>
  <c r="H229" i="1"/>
  <c r="H230" i="1"/>
  <c r="H228" i="1"/>
  <c r="AI217" i="1" l="1"/>
  <c r="H232" i="1"/>
  <c r="F65" i="3" l="1"/>
  <c r="F64" i="3"/>
  <c r="F63" i="3"/>
  <c r="F62" i="3"/>
  <c r="F61" i="3"/>
  <c r="F60" i="3"/>
  <c r="F59" i="3"/>
  <c r="F58" i="3"/>
  <c r="F57" i="3"/>
  <c r="F56" i="3"/>
  <c r="F55" i="3"/>
  <c r="D54" i="6"/>
  <c r="D53" i="6"/>
  <c r="D52" i="6"/>
  <c r="D51" i="6"/>
  <c r="D50" i="6"/>
  <c r="D49" i="6"/>
  <c r="D48" i="6"/>
  <c r="F66" i="3" l="1"/>
  <c r="D55" i="6"/>
  <c r="B40" i="6"/>
  <c r="B39" i="6"/>
  <c r="B38" i="6"/>
  <c r="B37" i="6"/>
  <c r="B36" i="6"/>
  <c r="B41" i="6" s="1"/>
  <c r="C47" i="3"/>
  <c r="C46" i="3"/>
  <c r="C45" i="3"/>
  <c r="C44" i="3"/>
  <c r="C43" i="3"/>
  <c r="C42" i="3"/>
  <c r="C48" i="3" s="1"/>
  <c r="O13" i="2" l="1"/>
  <c r="O11" i="2"/>
  <c r="S4" i="2"/>
  <c r="T217" i="1"/>
  <c r="O15" i="2" s="1"/>
  <c r="S217" i="1"/>
  <c r="AB212" i="1" l="1"/>
  <c r="AB213" i="1"/>
  <c r="AB214" i="1"/>
  <c r="AB215" i="1"/>
  <c r="AB216" i="1"/>
  <c r="AA212" i="1"/>
  <c r="AA213" i="1"/>
  <c r="AA214" i="1"/>
  <c r="AA215" i="1"/>
  <c r="AA21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E30" i="1" s="1"/>
  <c r="AA31" i="1"/>
  <c r="AA32" i="1"/>
  <c r="AA33" i="1"/>
  <c r="AA34" i="1"/>
  <c r="AA35" i="1"/>
  <c r="AA36" i="1"/>
  <c r="AA37" i="1"/>
  <c r="AA38" i="1"/>
  <c r="AE38" i="1" s="1"/>
  <c r="AA39" i="1"/>
  <c r="AE39" i="1" s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E55" i="1" s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E78" i="1" s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R212" i="1"/>
  <c r="R213" i="1"/>
  <c r="R214" i="1"/>
  <c r="R215" i="1"/>
  <c r="R216" i="1"/>
  <c r="Z216" i="1" s="1"/>
  <c r="R3" i="1"/>
  <c r="R4" i="1"/>
  <c r="R5" i="1"/>
  <c r="R6" i="1"/>
  <c r="R7" i="1"/>
  <c r="R8" i="1"/>
  <c r="R9" i="1"/>
  <c r="R10" i="1"/>
  <c r="Z10" i="1" s="1"/>
  <c r="R11" i="1"/>
  <c r="Z11" i="1" s="1"/>
  <c r="R12" i="1"/>
  <c r="R13" i="1"/>
  <c r="R14" i="1"/>
  <c r="R15" i="1"/>
  <c r="R16" i="1"/>
  <c r="R17" i="1"/>
  <c r="R18" i="1"/>
  <c r="Z18" i="1" s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Z34" i="1" s="1"/>
  <c r="R35" i="1"/>
  <c r="R36" i="1"/>
  <c r="R37" i="1"/>
  <c r="R38" i="1"/>
  <c r="R39" i="1"/>
  <c r="R40" i="1"/>
  <c r="R41" i="1"/>
  <c r="R42" i="1"/>
  <c r="Z42" i="1" s="1"/>
  <c r="R43" i="1"/>
  <c r="R44" i="1"/>
  <c r="R45" i="1"/>
  <c r="R46" i="1"/>
  <c r="R47" i="1"/>
  <c r="R48" i="1"/>
  <c r="R49" i="1"/>
  <c r="Z49" i="1" s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R57" i="1"/>
  <c r="Z57" i="1" s="1"/>
  <c r="R58" i="1"/>
  <c r="Z58" i="1" s="1"/>
  <c r="R59" i="1"/>
  <c r="Z59" i="1" s="1"/>
  <c r="R60" i="1"/>
  <c r="Z60" i="1" s="1"/>
  <c r="R61" i="1"/>
  <c r="R62" i="1"/>
  <c r="Z62" i="1" s="1"/>
  <c r="R63" i="1"/>
  <c r="Z63" i="1" s="1"/>
  <c r="R64" i="1"/>
  <c r="Z64" i="1" s="1"/>
  <c r="R65" i="1"/>
  <c r="Z65" i="1" s="1"/>
  <c r="R66" i="1"/>
  <c r="Z66" i="1" s="1"/>
  <c r="R67" i="1"/>
  <c r="Z67" i="1" s="1"/>
  <c r="R68" i="1"/>
  <c r="R69" i="1"/>
  <c r="Z69" i="1" s="1"/>
  <c r="R70" i="1"/>
  <c r="Z70" i="1" s="1"/>
  <c r="R71" i="1"/>
  <c r="Z71" i="1" s="1"/>
  <c r="R72" i="1"/>
  <c r="Z72" i="1" s="1"/>
  <c r="R73" i="1"/>
  <c r="Z73" i="1" s="1"/>
  <c r="R74" i="1"/>
  <c r="Z74" i="1" s="1"/>
  <c r="R75" i="1"/>
  <c r="Z75" i="1" s="1"/>
  <c r="R76" i="1"/>
  <c r="Z76" i="1" s="1"/>
  <c r="R77" i="1"/>
  <c r="Z77" i="1" s="1"/>
  <c r="R78" i="1"/>
  <c r="Z78" i="1" s="1"/>
  <c r="R79" i="1"/>
  <c r="R80" i="1"/>
  <c r="Z80" i="1" s="1"/>
  <c r="R81" i="1"/>
  <c r="Z81" i="1" s="1"/>
  <c r="R82" i="1"/>
  <c r="Z82" i="1" s="1"/>
  <c r="R83" i="1"/>
  <c r="Z83" i="1" s="1"/>
  <c r="R84" i="1"/>
  <c r="Z84" i="1" s="1"/>
  <c r="R85" i="1"/>
  <c r="Z85" i="1" s="1"/>
  <c r="R86" i="1"/>
  <c r="Z86" i="1" s="1"/>
  <c r="R87" i="1"/>
  <c r="R88" i="1"/>
  <c r="Z88" i="1" s="1"/>
  <c r="R89" i="1"/>
  <c r="Z89" i="1" s="1"/>
  <c r="R90" i="1"/>
  <c r="Z90" i="1" s="1"/>
  <c r="R91" i="1"/>
  <c r="R92" i="1"/>
  <c r="R93" i="1"/>
  <c r="R94" i="1"/>
  <c r="R95" i="1"/>
  <c r="R96" i="1"/>
  <c r="R97" i="1"/>
  <c r="R98" i="1"/>
  <c r="Z98" i="1" s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Z114" i="1" s="1"/>
  <c r="R115" i="1"/>
  <c r="R116" i="1"/>
  <c r="R117" i="1"/>
  <c r="R118" i="1"/>
  <c r="R119" i="1"/>
  <c r="R120" i="1"/>
  <c r="R121" i="1"/>
  <c r="R122" i="1"/>
  <c r="Z122" i="1" s="1"/>
  <c r="R123" i="1"/>
  <c r="R124" i="1"/>
  <c r="R125" i="1"/>
  <c r="R126" i="1"/>
  <c r="R127" i="1"/>
  <c r="R128" i="1"/>
  <c r="R129" i="1"/>
  <c r="R130" i="1"/>
  <c r="Z130" i="1" s="1"/>
  <c r="R131" i="1"/>
  <c r="R132" i="1"/>
  <c r="R133" i="1"/>
  <c r="R134" i="1"/>
  <c r="R135" i="1"/>
  <c r="R136" i="1"/>
  <c r="Z136" i="1" s="1"/>
  <c r="R137" i="1"/>
  <c r="Z137" i="1" s="1"/>
  <c r="R138" i="1"/>
  <c r="Z138" i="1" s="1"/>
  <c r="R139" i="1"/>
  <c r="R140" i="1"/>
  <c r="R141" i="1"/>
  <c r="Z141" i="1" s="1"/>
  <c r="R142" i="1"/>
  <c r="Z142" i="1" s="1"/>
  <c r="R143" i="1"/>
  <c r="R144" i="1"/>
  <c r="Z144" i="1" s="1"/>
  <c r="R145" i="1"/>
  <c r="Z145" i="1" s="1"/>
  <c r="R146" i="1"/>
  <c r="Z146" i="1" s="1"/>
  <c r="R148" i="1"/>
  <c r="Z148" i="1" s="1"/>
  <c r="R149" i="1"/>
  <c r="R150" i="1"/>
  <c r="Z150" i="1" s="1"/>
  <c r="R151" i="1"/>
  <c r="Z151" i="1" s="1"/>
  <c r="R152" i="1"/>
  <c r="Z152" i="1" s="1"/>
  <c r="R153" i="1"/>
  <c r="Z153" i="1" s="1"/>
  <c r="R154" i="1"/>
  <c r="Z154" i="1" s="1"/>
  <c r="R155" i="1"/>
  <c r="Z155" i="1" s="1"/>
  <c r="R156" i="1"/>
  <c r="Z156" i="1" s="1"/>
  <c r="R157" i="1"/>
  <c r="Z157" i="1" s="1"/>
  <c r="R158" i="1"/>
  <c r="R159" i="1"/>
  <c r="Z159" i="1" s="1"/>
  <c r="R160" i="1"/>
  <c r="Z160" i="1" s="1"/>
  <c r="R161" i="1"/>
  <c r="Z161" i="1" s="1"/>
  <c r="R162" i="1"/>
  <c r="Z162" i="1" s="1"/>
  <c r="R163" i="1"/>
  <c r="Z163" i="1" s="1"/>
  <c r="R164" i="1"/>
  <c r="Z164" i="1" s="1"/>
  <c r="R165" i="1"/>
  <c r="Z165" i="1" s="1"/>
  <c r="R166" i="1"/>
  <c r="Z166" i="1" s="1"/>
  <c r="R167" i="1"/>
  <c r="Z167" i="1" s="1"/>
  <c r="R168" i="1"/>
  <c r="Z168" i="1" s="1"/>
  <c r="R169" i="1"/>
  <c r="Z169" i="1" s="1"/>
  <c r="R170" i="1"/>
  <c r="R171" i="1"/>
  <c r="Z171" i="1" s="1"/>
  <c r="R172" i="1"/>
  <c r="Z172" i="1" s="1"/>
  <c r="R173" i="1"/>
  <c r="Z173" i="1" s="1"/>
  <c r="R174" i="1"/>
  <c r="Z174" i="1" s="1"/>
  <c r="R175" i="1"/>
  <c r="Z175" i="1" s="1"/>
  <c r="R176" i="1"/>
  <c r="Z176" i="1" s="1"/>
  <c r="R177" i="1"/>
  <c r="Z177" i="1" s="1"/>
  <c r="R178" i="1"/>
  <c r="Z178" i="1" s="1"/>
  <c r="R179" i="1"/>
  <c r="Z179" i="1" s="1"/>
  <c r="R180" i="1"/>
  <c r="Z180" i="1" s="1"/>
  <c r="R181" i="1"/>
  <c r="Z181" i="1" s="1"/>
  <c r="R182" i="1"/>
  <c r="Z182" i="1" s="1"/>
  <c r="R183" i="1"/>
  <c r="Z183" i="1" s="1"/>
  <c r="R184" i="1"/>
  <c r="Z184" i="1" s="1"/>
  <c r="R185" i="1"/>
  <c r="Z185" i="1" s="1"/>
  <c r="R186" i="1"/>
  <c r="Z186" i="1" s="1"/>
  <c r="R187" i="1"/>
  <c r="Z187" i="1" s="1"/>
  <c r="R188" i="1"/>
  <c r="R189" i="1"/>
  <c r="Z189" i="1" s="1"/>
  <c r="R190" i="1"/>
  <c r="Z190" i="1" s="1"/>
  <c r="R191" i="1"/>
  <c r="Z191" i="1" s="1"/>
  <c r="R192" i="1"/>
  <c r="Z192" i="1" s="1"/>
  <c r="R193" i="1"/>
  <c r="Z193" i="1" s="1"/>
  <c r="R194" i="1"/>
  <c r="R195" i="1"/>
  <c r="Z195" i="1" s="1"/>
  <c r="R196" i="1"/>
  <c r="R197" i="1"/>
  <c r="Z197" i="1" s="1"/>
  <c r="R198" i="1"/>
  <c r="R199" i="1"/>
  <c r="R200" i="1"/>
  <c r="Z200" i="1" s="1"/>
  <c r="R201" i="1"/>
  <c r="Z201" i="1" s="1"/>
  <c r="R202" i="1"/>
  <c r="Z202" i="1" s="1"/>
  <c r="R203" i="1"/>
  <c r="Z203" i="1" s="1"/>
  <c r="R204" i="1"/>
  <c r="Z204" i="1" s="1"/>
  <c r="R205" i="1"/>
  <c r="Z205" i="1" s="1"/>
  <c r="R206" i="1"/>
  <c r="Z206" i="1" s="1"/>
  <c r="R207" i="1"/>
  <c r="Z207" i="1" s="1"/>
  <c r="R208" i="1"/>
  <c r="Z208" i="1" s="1"/>
  <c r="R209" i="1"/>
  <c r="Z209" i="1" s="1"/>
  <c r="R210" i="1"/>
  <c r="Z210" i="1" s="1"/>
  <c r="R211" i="1"/>
  <c r="Z211" i="1" s="1"/>
  <c r="Z3" i="1" l="1"/>
  <c r="AE88" i="1"/>
  <c r="AE80" i="1"/>
  <c r="AE206" i="1"/>
  <c r="Z196" i="1"/>
  <c r="AG196" i="1" s="1"/>
  <c r="Z188" i="1"/>
  <c r="AF188" i="1" s="1"/>
  <c r="Z139" i="1"/>
  <c r="AG139" i="1" s="1"/>
  <c r="Z131" i="1"/>
  <c r="AG131" i="1" s="1"/>
  <c r="Z123" i="1"/>
  <c r="AF123" i="1" s="1"/>
  <c r="Z115" i="1"/>
  <c r="Z107" i="1"/>
  <c r="AG107" i="1" s="1"/>
  <c r="Z99" i="1"/>
  <c r="AG99" i="1" s="1"/>
  <c r="Z91" i="1"/>
  <c r="AG91" i="1" s="1"/>
  <c r="Z27" i="1"/>
  <c r="AG27" i="1" s="1"/>
  <c r="Z19" i="1"/>
  <c r="AG19" i="1" s="1"/>
  <c r="Z12" i="1"/>
  <c r="AC12" i="1" s="1"/>
  <c r="AE117" i="1"/>
  <c r="AE53" i="1"/>
  <c r="Z194" i="1"/>
  <c r="AG194" i="1" s="1"/>
  <c r="Z170" i="1"/>
  <c r="AG170" i="1" s="1"/>
  <c r="Z129" i="1"/>
  <c r="AG129" i="1" s="1"/>
  <c r="Z121" i="1"/>
  <c r="AD121" i="1" s="1"/>
  <c r="Z113" i="1"/>
  <c r="AG113" i="1" s="1"/>
  <c r="Z105" i="1"/>
  <c r="AG105" i="1" s="1"/>
  <c r="Z97" i="1"/>
  <c r="AG97" i="1" s="1"/>
  <c r="Z41" i="1"/>
  <c r="Z33" i="1"/>
  <c r="AD33" i="1" s="1"/>
  <c r="Z25" i="1"/>
  <c r="AG25" i="1" s="1"/>
  <c r="Z17" i="1"/>
  <c r="AC17" i="1" s="1"/>
  <c r="Z9" i="1"/>
  <c r="AD9" i="1" s="1"/>
  <c r="Z215" i="1"/>
  <c r="AF215" i="1" s="1"/>
  <c r="Z106" i="1"/>
  <c r="AG106" i="1" s="1"/>
  <c r="Z26" i="1"/>
  <c r="AG26" i="1" s="1"/>
  <c r="Z128" i="1"/>
  <c r="Z120" i="1"/>
  <c r="AG120" i="1" s="1"/>
  <c r="Z112" i="1"/>
  <c r="AD112" i="1" s="1"/>
  <c r="Z104" i="1"/>
  <c r="AF104" i="1" s="1"/>
  <c r="Z96" i="1"/>
  <c r="AD96" i="1" s="1"/>
  <c r="Z48" i="1"/>
  <c r="AF48" i="1" s="1"/>
  <c r="Z40" i="1"/>
  <c r="AG40" i="1" s="1"/>
  <c r="Z32" i="1"/>
  <c r="AF32" i="1" s="1"/>
  <c r="Z24" i="1"/>
  <c r="Z16" i="1"/>
  <c r="AG16" i="1" s="1"/>
  <c r="Z8" i="1"/>
  <c r="AG8" i="1" s="1"/>
  <c r="Z214" i="1"/>
  <c r="AC214" i="1" s="1"/>
  <c r="Z143" i="1"/>
  <c r="AF143" i="1" s="1"/>
  <c r="Z135" i="1"/>
  <c r="AG135" i="1" s="1"/>
  <c r="Z127" i="1"/>
  <c r="AF127" i="1" s="1"/>
  <c r="Z119" i="1"/>
  <c r="AG119" i="1" s="1"/>
  <c r="Z111" i="1"/>
  <c r="Z103" i="1"/>
  <c r="AF103" i="1" s="1"/>
  <c r="Z95" i="1"/>
  <c r="AD95" i="1" s="1"/>
  <c r="Z87" i="1"/>
  <c r="AG87" i="1" s="1"/>
  <c r="Z79" i="1"/>
  <c r="AD79" i="1" s="1"/>
  <c r="Z47" i="1"/>
  <c r="AF47" i="1" s="1"/>
  <c r="Z39" i="1"/>
  <c r="AG39" i="1" s="1"/>
  <c r="Z31" i="1"/>
  <c r="AG31" i="1" s="1"/>
  <c r="Z23" i="1"/>
  <c r="Z15" i="1"/>
  <c r="AC15" i="1" s="1"/>
  <c r="Z213" i="1"/>
  <c r="AF213" i="1" s="1"/>
  <c r="AE49" i="1"/>
  <c r="Z199" i="1"/>
  <c r="AG199" i="1" s="1"/>
  <c r="Z134" i="1"/>
  <c r="AG134" i="1" s="1"/>
  <c r="Z126" i="1"/>
  <c r="AD126" i="1" s="1"/>
  <c r="Z118" i="1"/>
  <c r="AG118" i="1" s="1"/>
  <c r="Z110" i="1"/>
  <c r="Z102" i="1"/>
  <c r="AG102" i="1" s="1"/>
  <c r="Z94" i="1"/>
  <c r="AD94" i="1" s="1"/>
  <c r="Z46" i="1"/>
  <c r="AD46" i="1" s="1"/>
  <c r="Z38" i="1"/>
  <c r="AG38" i="1" s="1"/>
  <c r="Z30" i="1"/>
  <c r="AF30" i="1" s="1"/>
  <c r="Z22" i="1"/>
  <c r="AG22" i="1" s="1"/>
  <c r="Z14" i="1"/>
  <c r="AD14" i="1" s="1"/>
  <c r="Z6" i="1"/>
  <c r="Z212" i="1"/>
  <c r="AG212" i="1" s="1"/>
  <c r="AE16" i="1"/>
  <c r="Z158" i="1"/>
  <c r="AD158" i="1" s="1"/>
  <c r="Z133" i="1"/>
  <c r="AG133" i="1" s="1"/>
  <c r="Z125" i="1"/>
  <c r="AD125" i="1" s="1"/>
  <c r="Z117" i="1"/>
  <c r="AG117" i="1" s="1"/>
  <c r="Z109" i="1"/>
  <c r="AG109" i="1" s="1"/>
  <c r="Z101" i="1"/>
  <c r="Z93" i="1"/>
  <c r="AG93" i="1" s="1"/>
  <c r="Z61" i="1"/>
  <c r="Z45" i="1"/>
  <c r="AG45" i="1" s="1"/>
  <c r="Z37" i="1"/>
  <c r="AF37" i="1" s="1"/>
  <c r="Z29" i="1"/>
  <c r="AC29" i="1" s="1"/>
  <c r="Z21" i="1"/>
  <c r="AF21" i="1" s="1"/>
  <c r="Z13" i="1"/>
  <c r="AF13" i="1" s="1"/>
  <c r="Z5" i="1"/>
  <c r="AC5" i="1" s="1"/>
  <c r="Z43" i="1"/>
  <c r="AG43" i="1" s="1"/>
  <c r="AE208" i="1"/>
  <c r="AE176" i="1"/>
  <c r="AE152" i="1"/>
  <c r="AE119" i="1"/>
  <c r="AD181" i="1"/>
  <c r="AD165" i="1"/>
  <c r="Z149" i="1"/>
  <c r="AD149" i="1" s="1"/>
  <c r="Z132" i="1"/>
  <c r="AD132" i="1" s="1"/>
  <c r="Z124" i="1"/>
  <c r="Z116" i="1"/>
  <c r="AF116" i="1" s="1"/>
  <c r="Z108" i="1"/>
  <c r="AG108" i="1" s="1"/>
  <c r="Z100" i="1"/>
  <c r="AD100" i="1" s="1"/>
  <c r="Z92" i="1"/>
  <c r="AG92" i="1" s="1"/>
  <c r="AD84" i="1"/>
  <c r="Z68" i="1"/>
  <c r="AD68" i="1" s="1"/>
  <c r="Z44" i="1"/>
  <c r="AD44" i="1" s="1"/>
  <c r="Z36" i="1"/>
  <c r="AD36" i="1" s="1"/>
  <c r="Z28" i="1"/>
  <c r="AC28" i="1" s="1"/>
  <c r="Z20" i="1"/>
  <c r="AF20" i="1" s="1"/>
  <c r="Z4" i="1"/>
  <c r="AC4" i="1" s="1"/>
  <c r="Z35" i="1"/>
  <c r="AG35" i="1" s="1"/>
  <c r="AE183" i="1"/>
  <c r="AE151" i="1"/>
  <c r="AE14" i="1"/>
  <c r="AC52" i="1"/>
  <c r="AD52" i="1"/>
  <c r="AE143" i="1"/>
  <c r="AE102" i="1"/>
  <c r="AE198" i="1"/>
  <c r="AE174" i="1"/>
  <c r="AE166" i="1"/>
  <c r="AE141" i="1"/>
  <c r="AE133" i="1"/>
  <c r="AE77" i="1"/>
  <c r="AE69" i="1"/>
  <c r="AE13" i="1"/>
  <c r="AE94" i="1"/>
  <c r="AE184" i="1"/>
  <c r="AE203" i="1"/>
  <c r="AE171" i="1"/>
  <c r="AE138" i="1"/>
  <c r="AE103" i="1"/>
  <c r="AE63" i="1"/>
  <c r="AE186" i="1"/>
  <c r="AE154" i="1"/>
  <c r="AE113" i="1"/>
  <c r="AE105" i="1"/>
  <c r="AE89" i="1"/>
  <c r="AE41" i="1"/>
  <c r="AE25" i="1"/>
  <c r="AE127" i="1"/>
  <c r="AE128" i="1"/>
  <c r="AE64" i="1"/>
  <c r="AE24" i="1"/>
  <c r="AE216" i="1"/>
  <c r="AD197" i="1"/>
  <c r="AE194" i="1"/>
  <c r="AE193" i="1"/>
  <c r="AA217" i="1"/>
  <c r="O19" i="2" s="1"/>
  <c r="AE162" i="1"/>
  <c r="AE161" i="1"/>
  <c r="AE5" i="1"/>
  <c r="AG209" i="1"/>
  <c r="AD209" i="1"/>
  <c r="AF209" i="1"/>
  <c r="AG169" i="1"/>
  <c r="AD169" i="1"/>
  <c r="AF169" i="1"/>
  <c r="AG204" i="1"/>
  <c r="AF204" i="1"/>
  <c r="AD204" i="1"/>
  <c r="AG180" i="1"/>
  <c r="AF180" i="1"/>
  <c r="AD180" i="1"/>
  <c r="AG172" i="1"/>
  <c r="AF172" i="1"/>
  <c r="AD172" i="1"/>
  <c r="AG164" i="1"/>
  <c r="AF164" i="1"/>
  <c r="AD164" i="1"/>
  <c r="AG156" i="1"/>
  <c r="AF156" i="1"/>
  <c r="AD156" i="1"/>
  <c r="AG148" i="1"/>
  <c r="AF148" i="1"/>
  <c r="AD148" i="1"/>
  <c r="AG115" i="1"/>
  <c r="AF115" i="1"/>
  <c r="AD115" i="1"/>
  <c r="AD107" i="1"/>
  <c r="AG83" i="1"/>
  <c r="AF83" i="1"/>
  <c r="AD83" i="1"/>
  <c r="AG75" i="1"/>
  <c r="AF75" i="1"/>
  <c r="AD75" i="1"/>
  <c r="AC75" i="1"/>
  <c r="AF166" i="1"/>
  <c r="AG166" i="1"/>
  <c r="AD166" i="1"/>
  <c r="AD101" i="1"/>
  <c r="AF101" i="1"/>
  <c r="AG101" i="1"/>
  <c r="AC69" i="1"/>
  <c r="AG69" i="1"/>
  <c r="AD69" i="1"/>
  <c r="AF69" i="1"/>
  <c r="AD5" i="1"/>
  <c r="AF5" i="1"/>
  <c r="AG5" i="1"/>
  <c r="AG161" i="1"/>
  <c r="AD161" i="1"/>
  <c r="AF161" i="1"/>
  <c r="AG203" i="1"/>
  <c r="AF203" i="1"/>
  <c r="AD203" i="1"/>
  <c r="AG187" i="1"/>
  <c r="AF187" i="1"/>
  <c r="AD187" i="1"/>
  <c r="AG163" i="1"/>
  <c r="AF163" i="1"/>
  <c r="AD163" i="1"/>
  <c r="AG146" i="1"/>
  <c r="AF146" i="1"/>
  <c r="AD146" i="1"/>
  <c r="AG130" i="1"/>
  <c r="AF130" i="1"/>
  <c r="AD130" i="1"/>
  <c r="AG114" i="1"/>
  <c r="AF114" i="1"/>
  <c r="AD114" i="1"/>
  <c r="AG98" i="1"/>
  <c r="AF98" i="1"/>
  <c r="AD98" i="1"/>
  <c r="AG90" i="1"/>
  <c r="AF90" i="1"/>
  <c r="AD90" i="1"/>
  <c r="AG82" i="1"/>
  <c r="AF82" i="1"/>
  <c r="AD82" i="1"/>
  <c r="AG74" i="1"/>
  <c r="AF74" i="1"/>
  <c r="AD74" i="1"/>
  <c r="AC74" i="1"/>
  <c r="AG66" i="1"/>
  <c r="AF66" i="1"/>
  <c r="AD66" i="1"/>
  <c r="AC66" i="1"/>
  <c r="AG58" i="1"/>
  <c r="AF58" i="1"/>
  <c r="AD58" i="1"/>
  <c r="AC58" i="1"/>
  <c r="AG50" i="1"/>
  <c r="AF50" i="1"/>
  <c r="AD50" i="1"/>
  <c r="AC50" i="1"/>
  <c r="AG42" i="1"/>
  <c r="AF42" i="1"/>
  <c r="AD42" i="1"/>
  <c r="AC42" i="1"/>
  <c r="AG34" i="1"/>
  <c r="AF34" i="1"/>
  <c r="AD34" i="1"/>
  <c r="AC34" i="1"/>
  <c r="AG18" i="1"/>
  <c r="AF18" i="1"/>
  <c r="AC18" i="1"/>
  <c r="AD18" i="1"/>
  <c r="AG10" i="1"/>
  <c r="AF10" i="1"/>
  <c r="AD10" i="1"/>
  <c r="AC10" i="1"/>
  <c r="AC216" i="1"/>
  <c r="AD216" i="1"/>
  <c r="AG177" i="1"/>
  <c r="AD177" i="1"/>
  <c r="AF177" i="1"/>
  <c r="AG211" i="1"/>
  <c r="AF211" i="1"/>
  <c r="AD211" i="1"/>
  <c r="AG195" i="1"/>
  <c r="AF195" i="1"/>
  <c r="AD195" i="1"/>
  <c r="AG179" i="1"/>
  <c r="AF179" i="1"/>
  <c r="AD179" i="1"/>
  <c r="AG171" i="1"/>
  <c r="AF171" i="1"/>
  <c r="AD171" i="1"/>
  <c r="AG155" i="1"/>
  <c r="AF155" i="1"/>
  <c r="AD155" i="1"/>
  <c r="AG138" i="1"/>
  <c r="AF138" i="1"/>
  <c r="AD138" i="1"/>
  <c r="AG122" i="1"/>
  <c r="AF122" i="1"/>
  <c r="AD122" i="1"/>
  <c r="AG210" i="1"/>
  <c r="AF210" i="1"/>
  <c r="AD210" i="1"/>
  <c r="AF202" i="1"/>
  <c r="AG202" i="1"/>
  <c r="AD202" i="1"/>
  <c r="AD194" i="1"/>
  <c r="AG186" i="1"/>
  <c r="AD186" i="1"/>
  <c r="AF186" i="1"/>
  <c r="AF178" i="1"/>
  <c r="AG178" i="1"/>
  <c r="AD178" i="1"/>
  <c r="AF170" i="1"/>
  <c r="AF162" i="1"/>
  <c r="AG162" i="1"/>
  <c r="AD162" i="1"/>
  <c r="AG154" i="1"/>
  <c r="AF154" i="1"/>
  <c r="AD154" i="1"/>
  <c r="AG145" i="1"/>
  <c r="AF145" i="1"/>
  <c r="AD145" i="1"/>
  <c r="AG137" i="1"/>
  <c r="AF137" i="1"/>
  <c r="AD137" i="1"/>
  <c r="AF129" i="1"/>
  <c r="AG121" i="1"/>
  <c r="AG89" i="1"/>
  <c r="AF89" i="1"/>
  <c r="AD89" i="1"/>
  <c r="AG81" i="1"/>
  <c r="AF81" i="1"/>
  <c r="AD81" i="1"/>
  <c r="AG73" i="1"/>
  <c r="AF73" i="1"/>
  <c r="AD73" i="1"/>
  <c r="AC73" i="1"/>
  <c r="AG65" i="1"/>
  <c r="AF65" i="1"/>
  <c r="AD65" i="1"/>
  <c r="AC65" i="1"/>
  <c r="AD57" i="1"/>
  <c r="AG57" i="1"/>
  <c r="AF57" i="1"/>
  <c r="AC57" i="1"/>
  <c r="AD49" i="1"/>
  <c r="AG49" i="1"/>
  <c r="AF49" i="1"/>
  <c r="AC49" i="1"/>
  <c r="AD41" i="1"/>
  <c r="AG41" i="1"/>
  <c r="AF41" i="1"/>
  <c r="AC41" i="1"/>
  <c r="AC33" i="1"/>
  <c r="AG17" i="1"/>
  <c r="AF190" i="1"/>
  <c r="AG190" i="1"/>
  <c r="AD190" i="1"/>
  <c r="AG158" i="1"/>
  <c r="AG128" i="1"/>
  <c r="AF128" i="1"/>
  <c r="AD128" i="1"/>
  <c r="AG32" i="1"/>
  <c r="AE204" i="1"/>
  <c r="AE196" i="1"/>
  <c r="AE188" i="1"/>
  <c r="AE180" i="1"/>
  <c r="AE172" i="1"/>
  <c r="AE164" i="1"/>
  <c r="AE156" i="1"/>
  <c r="AE148" i="1"/>
  <c r="AE139" i="1"/>
  <c r="AE131" i="1"/>
  <c r="AE123" i="1"/>
  <c r="AG201" i="1"/>
  <c r="AF201" i="1"/>
  <c r="AD201" i="1"/>
  <c r="AG153" i="1"/>
  <c r="AD153" i="1"/>
  <c r="AF153" i="1"/>
  <c r="AF120" i="1"/>
  <c r="AG96" i="1"/>
  <c r="AG72" i="1"/>
  <c r="AF72" i="1"/>
  <c r="AD72" i="1"/>
  <c r="AC72" i="1"/>
  <c r="AG61" i="1"/>
  <c r="AF61" i="1"/>
  <c r="AD61" i="1"/>
  <c r="AC61" i="1"/>
  <c r="AG208" i="1"/>
  <c r="AF208" i="1"/>
  <c r="AD208" i="1"/>
  <c r="AG184" i="1"/>
  <c r="AD184" i="1"/>
  <c r="AF184" i="1"/>
  <c r="AF160" i="1"/>
  <c r="AG160" i="1"/>
  <c r="AD160" i="1"/>
  <c r="AG111" i="1"/>
  <c r="AD111" i="1"/>
  <c r="AF111" i="1"/>
  <c r="AD63" i="1"/>
  <c r="AF63" i="1"/>
  <c r="AC63" i="1"/>
  <c r="AG63" i="1"/>
  <c r="AG55" i="1"/>
  <c r="AF55" i="1"/>
  <c r="AC55" i="1"/>
  <c r="AD55" i="1"/>
  <c r="AG23" i="1"/>
  <c r="AF23" i="1"/>
  <c r="AD23" i="1"/>
  <c r="AC23" i="1"/>
  <c r="AF15" i="1"/>
  <c r="AG15" i="1"/>
  <c r="Z7" i="1"/>
  <c r="AF182" i="1"/>
  <c r="AD182" i="1"/>
  <c r="AG182" i="1"/>
  <c r="AF150" i="1"/>
  <c r="AG150" i="1"/>
  <c r="AD150" i="1"/>
  <c r="AF85" i="1"/>
  <c r="AG85" i="1"/>
  <c r="AD85" i="1"/>
  <c r="AG185" i="1"/>
  <c r="AD185" i="1"/>
  <c r="AF185" i="1"/>
  <c r="AG136" i="1"/>
  <c r="AF136" i="1"/>
  <c r="AD136" i="1"/>
  <c r="AG104" i="1"/>
  <c r="AD104" i="1"/>
  <c r="AG80" i="1"/>
  <c r="AF80" i="1"/>
  <c r="AD80" i="1"/>
  <c r="AG56" i="1"/>
  <c r="AF56" i="1"/>
  <c r="AD56" i="1"/>
  <c r="AC56" i="1"/>
  <c r="AG24" i="1"/>
  <c r="AF24" i="1"/>
  <c r="AC24" i="1"/>
  <c r="AD24" i="1"/>
  <c r="AG200" i="1"/>
  <c r="AD200" i="1"/>
  <c r="AF200" i="1"/>
  <c r="AF176" i="1"/>
  <c r="AG176" i="1"/>
  <c r="AD176" i="1"/>
  <c r="AG152" i="1"/>
  <c r="AF152" i="1"/>
  <c r="AD152" i="1"/>
  <c r="AG103" i="1"/>
  <c r="AF79" i="1"/>
  <c r="AG79" i="1"/>
  <c r="AF207" i="1"/>
  <c r="AG207" i="1"/>
  <c r="AD207" i="1"/>
  <c r="AF191" i="1"/>
  <c r="AD191" i="1"/>
  <c r="AG191" i="1"/>
  <c r="AD175" i="1"/>
  <c r="AG175" i="1"/>
  <c r="AF175" i="1"/>
  <c r="AD159" i="1"/>
  <c r="AF159" i="1"/>
  <c r="AG159" i="1"/>
  <c r="AD142" i="1"/>
  <c r="AF142" i="1"/>
  <c r="AG142" i="1"/>
  <c r="AD110" i="1"/>
  <c r="AF110" i="1"/>
  <c r="AG110" i="1"/>
  <c r="AG70" i="1"/>
  <c r="AF70" i="1"/>
  <c r="AD70" i="1"/>
  <c r="AC70" i="1"/>
  <c r="AG54" i="1"/>
  <c r="AF54" i="1"/>
  <c r="AD54" i="1"/>
  <c r="AC54" i="1"/>
  <c r="AG6" i="1"/>
  <c r="AF6" i="1"/>
  <c r="AD6" i="1"/>
  <c r="AC6" i="1"/>
  <c r="AC212" i="1"/>
  <c r="AG13" i="1"/>
  <c r="AG193" i="1"/>
  <c r="AD193" i="1"/>
  <c r="AF193" i="1"/>
  <c r="AG144" i="1"/>
  <c r="AF144" i="1"/>
  <c r="AD144" i="1"/>
  <c r="AF112" i="1"/>
  <c r="AG88" i="1"/>
  <c r="AF88" i="1"/>
  <c r="AD88" i="1"/>
  <c r="AG64" i="1"/>
  <c r="AF64" i="1"/>
  <c r="AD64" i="1"/>
  <c r="AC64" i="1"/>
  <c r="AD16" i="1"/>
  <c r="AF192" i="1"/>
  <c r="AD192" i="1"/>
  <c r="AG192" i="1"/>
  <c r="AG168" i="1"/>
  <c r="AF168" i="1"/>
  <c r="AD168" i="1"/>
  <c r="AG95" i="1"/>
  <c r="AG71" i="1"/>
  <c r="AF71" i="1"/>
  <c r="AD71" i="1"/>
  <c r="AC71" i="1"/>
  <c r="AG183" i="1"/>
  <c r="AD183" i="1"/>
  <c r="AF183" i="1"/>
  <c r="AG167" i="1"/>
  <c r="AF167" i="1"/>
  <c r="AD167" i="1"/>
  <c r="AG151" i="1"/>
  <c r="AF151" i="1"/>
  <c r="AD151" i="1"/>
  <c r="AG86" i="1"/>
  <c r="AF86" i="1"/>
  <c r="AD86" i="1"/>
  <c r="AD78" i="1"/>
  <c r="AG78" i="1"/>
  <c r="AF78" i="1"/>
  <c r="AC78" i="1"/>
  <c r="AD62" i="1"/>
  <c r="AF62" i="1"/>
  <c r="AC62" i="1"/>
  <c r="AG62" i="1"/>
  <c r="AF206" i="1"/>
  <c r="AG206" i="1"/>
  <c r="AD206" i="1"/>
  <c r="AG174" i="1"/>
  <c r="AF174" i="1"/>
  <c r="AD174" i="1"/>
  <c r="AG141" i="1"/>
  <c r="AF141" i="1"/>
  <c r="AD141" i="1"/>
  <c r="AG77" i="1"/>
  <c r="AF77" i="1"/>
  <c r="AD77" i="1"/>
  <c r="AC77" i="1"/>
  <c r="AD53" i="1"/>
  <c r="AF53" i="1"/>
  <c r="AG53" i="1"/>
  <c r="AC53" i="1"/>
  <c r="AE107" i="1"/>
  <c r="AE59" i="1"/>
  <c r="AE3" i="1"/>
  <c r="AG173" i="1"/>
  <c r="AF173" i="1"/>
  <c r="AG60" i="1"/>
  <c r="AF60" i="1"/>
  <c r="AE195" i="1"/>
  <c r="AE187" i="1"/>
  <c r="AE179" i="1"/>
  <c r="AE163" i="1"/>
  <c r="AE155" i="1"/>
  <c r="AE146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D116" i="1"/>
  <c r="AE115" i="1"/>
  <c r="AE51" i="1"/>
  <c r="AE11" i="1"/>
  <c r="AG189" i="1"/>
  <c r="AF189" i="1"/>
  <c r="AG149" i="1"/>
  <c r="AF149" i="1"/>
  <c r="AG76" i="1"/>
  <c r="AF76" i="1"/>
  <c r="AD20" i="1"/>
  <c r="AG67" i="1"/>
  <c r="AF67" i="1"/>
  <c r="AD67" i="1"/>
  <c r="AC67" i="1"/>
  <c r="AG59" i="1"/>
  <c r="AF59" i="1"/>
  <c r="AD59" i="1"/>
  <c r="AC59" i="1"/>
  <c r="AG51" i="1"/>
  <c r="AF51" i="1"/>
  <c r="AD51" i="1"/>
  <c r="AC51" i="1"/>
  <c r="AC27" i="1"/>
  <c r="AG11" i="1"/>
  <c r="AF11" i="1"/>
  <c r="AD11" i="1"/>
  <c r="AC11" i="1"/>
  <c r="AG3" i="1"/>
  <c r="AF3" i="1"/>
  <c r="AD3" i="1"/>
  <c r="AC3" i="1"/>
  <c r="AE210" i="1"/>
  <c r="AE202" i="1"/>
  <c r="AE178" i="1"/>
  <c r="AE170" i="1"/>
  <c r="AE145" i="1"/>
  <c r="AE137" i="1"/>
  <c r="AE129" i="1"/>
  <c r="AE121" i="1"/>
  <c r="AE97" i="1"/>
  <c r="AE81" i="1"/>
  <c r="AE73" i="1"/>
  <c r="AE65" i="1"/>
  <c r="AE57" i="1"/>
  <c r="AE33" i="1"/>
  <c r="AE17" i="1"/>
  <c r="AE9" i="1"/>
  <c r="AE99" i="1"/>
  <c r="AE27" i="1"/>
  <c r="AG205" i="1"/>
  <c r="AF205" i="1"/>
  <c r="AG157" i="1"/>
  <c r="AF157" i="1"/>
  <c r="AE211" i="1"/>
  <c r="AE209" i="1"/>
  <c r="AE201" i="1"/>
  <c r="AE185" i="1"/>
  <c r="AE177" i="1"/>
  <c r="AE169" i="1"/>
  <c r="AE153" i="1"/>
  <c r="AE144" i="1"/>
  <c r="AE136" i="1"/>
  <c r="AE120" i="1"/>
  <c r="AE112" i="1"/>
  <c r="AE104" i="1"/>
  <c r="AE96" i="1"/>
  <c r="AE72" i="1"/>
  <c r="AE56" i="1"/>
  <c r="AE48" i="1"/>
  <c r="AE40" i="1"/>
  <c r="AE32" i="1"/>
  <c r="AE8" i="1"/>
  <c r="AC76" i="1"/>
  <c r="AE67" i="1"/>
  <c r="AG132" i="1"/>
  <c r="AG52" i="1"/>
  <c r="AF52" i="1"/>
  <c r="AE200" i="1"/>
  <c r="AE192" i="1"/>
  <c r="AE168" i="1"/>
  <c r="AE160" i="1"/>
  <c r="AE135" i="1"/>
  <c r="AE111" i="1"/>
  <c r="AE95" i="1"/>
  <c r="AE87" i="1"/>
  <c r="AE79" i="1"/>
  <c r="AE71" i="1"/>
  <c r="AE47" i="1"/>
  <c r="AE31" i="1"/>
  <c r="AE23" i="1"/>
  <c r="AE15" i="1"/>
  <c r="AE7" i="1"/>
  <c r="AC36" i="1"/>
  <c r="AE83" i="1"/>
  <c r="AE43" i="1"/>
  <c r="AG181" i="1"/>
  <c r="AF181" i="1"/>
  <c r="AG124" i="1"/>
  <c r="AF124" i="1"/>
  <c r="AE207" i="1"/>
  <c r="AE199" i="1"/>
  <c r="AE191" i="1"/>
  <c r="AE175" i="1"/>
  <c r="AE167" i="1"/>
  <c r="AE159" i="1"/>
  <c r="AE142" i="1"/>
  <c r="AE134" i="1"/>
  <c r="AE126" i="1"/>
  <c r="AE118" i="1"/>
  <c r="AE110" i="1"/>
  <c r="AE86" i="1"/>
  <c r="AE70" i="1"/>
  <c r="AE62" i="1"/>
  <c r="AE54" i="1"/>
  <c r="AE46" i="1"/>
  <c r="AE22" i="1"/>
  <c r="AE6" i="1"/>
  <c r="AC60" i="1"/>
  <c r="AD205" i="1"/>
  <c r="AD189" i="1"/>
  <c r="AD173" i="1"/>
  <c r="AD157" i="1"/>
  <c r="AD124" i="1"/>
  <c r="AD76" i="1"/>
  <c r="AD60" i="1"/>
  <c r="AE75" i="1"/>
  <c r="AE19" i="1"/>
  <c r="AG197" i="1"/>
  <c r="AF197" i="1"/>
  <c r="AG84" i="1"/>
  <c r="AF84" i="1"/>
  <c r="AE190" i="1"/>
  <c r="AE182" i="1"/>
  <c r="AE158" i="1"/>
  <c r="AE150" i="1"/>
  <c r="AE125" i="1"/>
  <c r="AE109" i="1"/>
  <c r="AE101" i="1"/>
  <c r="AE93" i="1"/>
  <c r="AE85" i="1"/>
  <c r="AE61" i="1"/>
  <c r="AE45" i="1"/>
  <c r="AE37" i="1"/>
  <c r="AE29" i="1"/>
  <c r="AE21" i="1"/>
  <c r="AE91" i="1"/>
  <c r="AE35" i="1"/>
  <c r="AG165" i="1"/>
  <c r="AF165" i="1"/>
  <c r="AG36" i="1"/>
  <c r="AF36" i="1"/>
  <c r="AE205" i="1"/>
  <c r="AE197" i="1"/>
  <c r="AE189" i="1"/>
  <c r="AE181" i="1"/>
  <c r="AE173" i="1"/>
  <c r="AE165" i="1"/>
  <c r="AE157" i="1"/>
  <c r="AE149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C44" i="1"/>
  <c r="AE36" i="1"/>
  <c r="AE28" i="1"/>
  <c r="AE20" i="1"/>
  <c r="AE12" i="1"/>
  <c r="AE4" i="1"/>
  <c r="AG216" i="1"/>
  <c r="AE215" i="1"/>
  <c r="AF216" i="1"/>
  <c r="AE212" i="1"/>
  <c r="AF214" i="1"/>
  <c r="AE213" i="1"/>
  <c r="AB217" i="1"/>
  <c r="N19" i="2" s="1"/>
  <c r="AE214" i="1"/>
  <c r="AD102" i="1" l="1"/>
  <c r="AC16" i="1"/>
  <c r="AD15" i="1"/>
  <c r="AF33" i="1"/>
  <c r="AF107" i="1"/>
  <c r="AF44" i="1"/>
  <c r="AG44" i="1"/>
  <c r="AF102" i="1"/>
  <c r="AF16" i="1"/>
  <c r="AG33" i="1"/>
  <c r="AF132" i="1"/>
  <c r="AD212" i="1"/>
  <c r="AD120" i="1"/>
  <c r="AF194" i="1"/>
  <c r="AF212" i="1"/>
  <c r="AD103" i="1"/>
  <c r="AF199" i="1"/>
  <c r="AF96" i="1"/>
  <c r="AF17" i="1"/>
  <c r="AF121" i="1"/>
  <c r="AF45" i="1"/>
  <c r="AD133" i="1"/>
  <c r="AC20" i="1"/>
  <c r="AD27" i="1"/>
  <c r="AG20" i="1"/>
  <c r="AG143" i="1"/>
  <c r="AF133" i="1"/>
  <c r="AG214" i="1"/>
  <c r="AD108" i="1"/>
  <c r="AF27" i="1"/>
  <c r="AD199" i="1"/>
  <c r="AD143" i="1"/>
  <c r="AC38" i="1"/>
  <c r="AG188" i="1"/>
  <c r="AF9" i="1"/>
  <c r="AG116" i="1"/>
  <c r="AG9" i="1"/>
  <c r="AD45" i="1"/>
  <c r="AD91" i="1"/>
  <c r="AG30" i="1"/>
  <c r="AD129" i="1"/>
  <c r="AC45" i="1"/>
  <c r="AD22" i="1"/>
  <c r="AC46" i="1"/>
  <c r="AC48" i="1"/>
  <c r="AD47" i="1"/>
  <c r="AF91" i="1"/>
  <c r="AD196" i="1"/>
  <c r="AC30" i="1"/>
  <c r="AD4" i="1"/>
  <c r="AD28" i="1"/>
  <c r="AG46" i="1"/>
  <c r="AD48" i="1"/>
  <c r="AD87" i="1"/>
  <c r="AF196" i="1"/>
  <c r="AF100" i="1"/>
  <c r="AF28" i="1"/>
  <c r="AF46" i="1"/>
  <c r="AD214" i="1"/>
  <c r="AF87" i="1"/>
  <c r="AF158" i="1"/>
  <c r="AD17" i="1"/>
  <c r="AG28" i="1"/>
  <c r="AG29" i="1"/>
  <c r="AD30" i="1"/>
  <c r="AC47" i="1"/>
  <c r="AG4" i="1"/>
  <c r="AG48" i="1"/>
  <c r="AD38" i="1"/>
  <c r="AC37" i="1"/>
  <c r="AG47" i="1"/>
  <c r="AD135" i="1"/>
  <c r="AF125" i="1"/>
  <c r="AD215" i="1"/>
  <c r="AF4" i="1"/>
  <c r="AG215" i="1"/>
  <c r="AC19" i="1"/>
  <c r="AF38" i="1"/>
  <c r="AD37" i="1"/>
  <c r="AF135" i="1"/>
  <c r="AG125" i="1"/>
  <c r="AC215" i="1"/>
  <c r="AD113" i="1"/>
  <c r="AD19" i="1"/>
  <c r="AF108" i="1"/>
  <c r="AD134" i="1"/>
  <c r="AG37" i="1"/>
  <c r="AF113" i="1"/>
  <c r="AD139" i="1"/>
  <c r="AG100" i="1"/>
  <c r="AF134" i="1"/>
  <c r="AC9" i="1"/>
  <c r="AF139" i="1"/>
  <c r="AD29" i="1"/>
  <c r="AF19" i="1"/>
  <c r="AD188" i="1"/>
  <c r="AF29" i="1"/>
  <c r="AC22" i="1"/>
  <c r="AC21" i="1"/>
  <c r="AD12" i="1"/>
  <c r="AF12" i="1"/>
  <c r="AF22" i="1"/>
  <c r="AD117" i="1"/>
  <c r="AC40" i="1"/>
  <c r="AD106" i="1"/>
  <c r="AG12" i="1"/>
  <c r="AG126" i="1"/>
  <c r="AD127" i="1"/>
  <c r="AF117" i="1"/>
  <c r="AD40" i="1"/>
  <c r="AD105" i="1"/>
  <c r="AF106" i="1"/>
  <c r="AD131" i="1"/>
  <c r="AD92" i="1"/>
  <c r="AF92" i="1"/>
  <c r="AC35" i="1"/>
  <c r="AF126" i="1"/>
  <c r="AG127" i="1"/>
  <c r="AC39" i="1"/>
  <c r="AF40" i="1"/>
  <c r="AF105" i="1"/>
  <c r="AF131" i="1"/>
  <c r="AD35" i="1"/>
  <c r="AD39" i="1"/>
  <c r="AG21" i="1"/>
  <c r="AF35" i="1"/>
  <c r="AF39" i="1"/>
  <c r="AD21" i="1"/>
  <c r="AC14" i="1"/>
  <c r="AD13" i="1"/>
  <c r="AD123" i="1"/>
  <c r="AG14" i="1"/>
  <c r="AD119" i="1"/>
  <c r="AD97" i="1"/>
  <c r="AG123" i="1"/>
  <c r="AF14" i="1"/>
  <c r="AD118" i="1"/>
  <c r="AF119" i="1"/>
  <c r="AF97" i="1"/>
  <c r="AD26" i="1"/>
  <c r="AF118" i="1"/>
  <c r="AF31" i="1"/>
  <c r="AC26" i="1"/>
  <c r="AD109" i="1"/>
  <c r="AC31" i="1"/>
  <c r="AC32" i="1"/>
  <c r="AF26" i="1"/>
  <c r="AF109" i="1"/>
  <c r="AC13" i="1"/>
  <c r="AD31" i="1"/>
  <c r="AD32" i="1"/>
  <c r="AG213" i="1"/>
  <c r="AF68" i="1"/>
  <c r="AF95" i="1"/>
  <c r="AG112" i="1"/>
  <c r="AD170" i="1"/>
  <c r="AG68" i="1"/>
  <c r="AC43" i="1"/>
  <c r="AG94" i="1"/>
  <c r="AD43" i="1"/>
  <c r="AF94" i="1"/>
  <c r="AC25" i="1"/>
  <c r="AD99" i="1"/>
  <c r="AF43" i="1"/>
  <c r="AD8" i="1"/>
  <c r="AC213" i="1"/>
  <c r="AD93" i="1"/>
  <c r="AD25" i="1"/>
  <c r="AF99" i="1"/>
  <c r="AC8" i="1"/>
  <c r="AD213" i="1"/>
  <c r="AF93" i="1"/>
  <c r="AF25" i="1"/>
  <c r="AC68" i="1"/>
  <c r="AF8" i="1"/>
  <c r="AG7" i="1"/>
  <c r="AF7" i="1"/>
  <c r="AD7" i="1"/>
  <c r="AC7" i="1"/>
  <c r="S8" i="2"/>
  <c r="S6" i="2"/>
  <c r="AB2" i="1"/>
  <c r="AB1" i="1"/>
  <c r="R2" i="1" l="1"/>
  <c r="R217" i="1" l="1"/>
  <c r="Z198" i="1" s="1"/>
  <c r="Z140" i="1"/>
  <c r="Z2" i="1"/>
  <c r="O8" i="2"/>
  <c r="O4" i="2"/>
  <c r="O6" i="2"/>
  <c r="AC2" i="1"/>
  <c r="B5" i="7"/>
  <c r="B4" i="7"/>
  <c r="B3" i="7"/>
  <c r="B2" i="7"/>
  <c r="B8" i="6"/>
  <c r="B7" i="6"/>
  <c r="B6" i="6"/>
  <c r="B5" i="6"/>
  <c r="B4" i="6"/>
  <c r="B3" i="6"/>
  <c r="B2" i="6"/>
  <c r="B2" i="5"/>
  <c r="AD140" i="1" l="1"/>
  <c r="AD217" i="1" s="1"/>
  <c r="Q19" i="2" s="1"/>
  <c r="AG140" i="1"/>
  <c r="AF140" i="1"/>
  <c r="Z217" i="1"/>
  <c r="M19" i="2" s="1"/>
  <c r="AD198" i="1"/>
  <c r="AG198" i="1"/>
  <c r="AF198" i="1"/>
  <c r="B4" i="4"/>
  <c r="AC166" i="1" l="1"/>
  <c r="AC143" i="1"/>
  <c r="AC194" i="1" l="1"/>
  <c r="AC201" i="1"/>
  <c r="AA2" i="1"/>
  <c r="AE2" i="1" l="1"/>
  <c r="AG2" i="1"/>
  <c r="AF2" i="1"/>
  <c r="AD2" i="1"/>
  <c r="B11" i="3"/>
  <c r="B10" i="3"/>
  <c r="B9" i="3"/>
  <c r="B8" i="3"/>
  <c r="B5" i="3"/>
  <c r="B7" i="3"/>
  <c r="B12" i="3"/>
  <c r="B6" i="3"/>
  <c r="B4" i="3"/>
  <c r="B3" i="3"/>
  <c r="B2" i="3"/>
  <c r="T18" i="2" l="1"/>
  <c r="AA1" i="1"/>
  <c r="O18" i="2" s="1"/>
  <c r="Z1" i="1"/>
  <c r="M18" i="2" s="1"/>
  <c r="N18" i="2"/>
  <c r="S18" i="2"/>
  <c r="Q18" i="2"/>
  <c r="R18" i="2"/>
  <c r="P18" i="2"/>
  <c r="AC180" i="1" l="1"/>
  <c r="AC193" i="1"/>
  <c r="AC187" i="1"/>
  <c r="AC185" i="1"/>
  <c r="AC184" i="1"/>
  <c r="AC183" i="1"/>
  <c r="AC192" i="1"/>
  <c r="AC191" i="1"/>
  <c r="AC167" i="1"/>
  <c r="AC123" i="1"/>
  <c r="AC144" i="1"/>
  <c r="AC182" i="1"/>
  <c r="AC190" i="1" l="1"/>
  <c r="B13" i="3" l="1"/>
  <c r="A2" i="5" s="1"/>
  <c r="AC176" i="1" l="1"/>
  <c r="AC134" i="1"/>
  <c r="AC131" i="1"/>
  <c r="AC103" i="1"/>
  <c r="AC110" i="1"/>
  <c r="AC135" i="1"/>
  <c r="AC208" i="1"/>
  <c r="AC128" i="1"/>
  <c r="AC119" i="1"/>
  <c r="AC92" i="1"/>
  <c r="AC85" i="1"/>
  <c r="AC202" i="1"/>
  <c r="AC200" i="1"/>
  <c r="AC178" i="1"/>
  <c r="AC163" i="1"/>
  <c r="AC161" i="1"/>
  <c r="AC108" i="1"/>
  <c r="AC106" i="1"/>
  <c r="AC137" i="1"/>
  <c r="AC210" i="1"/>
  <c r="AC207" i="1"/>
  <c r="AC203" i="1"/>
  <c r="AC102" i="1"/>
  <c r="AC153" i="1"/>
  <c r="AC188" i="1"/>
  <c r="AC96" i="1"/>
  <c r="AC148" i="1"/>
  <c r="AC141" i="1"/>
  <c r="AC109" i="1"/>
  <c r="AC107" i="1"/>
  <c r="AC211" i="1"/>
  <c r="AC136" i="1"/>
  <c r="AC205" i="1"/>
  <c r="AC209" i="1"/>
  <c r="AC206" i="1"/>
  <c r="AC165" i="1"/>
  <c r="AC150" i="1"/>
  <c r="AC95" i="1"/>
  <c r="AC157" i="1" l="1"/>
  <c r="AC172" i="1"/>
  <c r="AC90" i="1"/>
  <c r="AC175" i="1"/>
  <c r="AC133" i="1"/>
  <c r="AC132" i="1"/>
  <c r="AC100" i="1"/>
  <c r="AC114" i="1"/>
  <c r="AC142" i="1"/>
  <c r="AC117" i="1"/>
  <c r="AC125" i="1"/>
  <c r="AC97" i="1"/>
  <c r="AC177" i="1"/>
  <c r="AC86" i="1"/>
  <c r="AC83" i="1"/>
  <c r="AC111" i="1"/>
  <c r="AC139" i="1"/>
  <c r="AC126" i="1"/>
  <c r="AC156" i="1"/>
  <c r="AC81" i="1"/>
  <c r="AC158" i="1"/>
  <c r="AC181" i="1"/>
  <c r="AC160" i="1"/>
  <c r="AC91" i="1"/>
  <c r="AC115" i="1"/>
  <c r="AC120" i="1"/>
  <c r="AC129" i="1"/>
  <c r="AC140" i="1"/>
  <c r="AC162" i="1"/>
  <c r="AC171" i="1"/>
  <c r="AC186" i="1"/>
  <c r="AC197" i="1"/>
  <c r="AC98" i="1"/>
  <c r="AC104" i="1"/>
  <c r="AC138" i="1"/>
  <c r="AC121" i="1"/>
  <c r="AC130" i="1"/>
  <c r="AC198" i="1"/>
  <c r="AC155" i="1"/>
  <c r="AC164" i="1"/>
  <c r="AC116" i="1"/>
  <c r="AC124" i="1"/>
  <c r="AC127" i="1"/>
  <c r="AC146" i="1"/>
  <c r="AC101" i="1"/>
  <c r="AC149" i="1"/>
  <c r="AC151" i="1"/>
  <c r="AC154" i="1"/>
  <c r="AC159" i="1"/>
  <c r="AC196" i="1"/>
  <c r="AC145" i="1"/>
  <c r="AC152" i="1"/>
  <c r="AC174" i="1"/>
  <c r="AC112" i="1"/>
  <c r="AC179" i="1"/>
  <c r="AC169" i="1"/>
  <c r="AC173" i="1"/>
  <c r="AG217" i="1"/>
  <c r="T19" i="2" s="1"/>
  <c r="AC80" i="1"/>
  <c r="AC199" i="1"/>
  <c r="AC105" i="1"/>
  <c r="AC88" i="1"/>
  <c r="AC113" i="1"/>
  <c r="AC99" i="1"/>
  <c r="AC82" i="1"/>
  <c r="AC89" i="1"/>
  <c r="AC118" i="1"/>
  <c r="AC122" i="1"/>
  <c r="AC94" i="1"/>
  <c r="AC93" i="1"/>
  <c r="AC195" i="1"/>
  <c r="AC189" i="1"/>
  <c r="AC204" i="1"/>
  <c r="AC84" i="1"/>
  <c r="AC87" i="1"/>
  <c r="AC170" i="1"/>
  <c r="AC168" i="1"/>
  <c r="AC217" i="1" l="1"/>
  <c r="P19" i="2" s="1"/>
  <c r="AF217" i="1"/>
  <c r="S19" i="2" s="1"/>
  <c r="AE217" i="1"/>
  <c r="R19" i="2" s="1"/>
  <c r="R20" i="2" l="1"/>
  <c r="Q20" i="2"/>
  <c r="P20" i="2"/>
  <c r="O20" i="2" l="1"/>
  <c r="M20" i="2"/>
  <c r="N20" i="2"/>
  <c r="N25" i="2" l="1"/>
</calcChain>
</file>

<file path=xl/sharedStrings.xml><?xml version="1.0" encoding="utf-8"?>
<sst xmlns="http://schemas.openxmlformats.org/spreadsheetml/2006/main" count="5479" uniqueCount="1031">
  <si>
    <t>BRIDGE NAME</t>
  </si>
  <si>
    <t>OBSTACLE</t>
  </si>
  <si>
    <t>ROUTE</t>
  </si>
  <si>
    <t>REGION</t>
  </si>
  <si>
    <t>NEAREST TOWN</t>
  </si>
  <si>
    <t>NEXT TOWN</t>
  </si>
  <si>
    <t>MATERIAL</t>
  </si>
  <si>
    <t>NUMBER OF SPANS</t>
  </si>
  <si>
    <t>DEFECTS</t>
  </si>
  <si>
    <t>BRIDGE CONDITION</t>
  </si>
  <si>
    <t>REMEDY</t>
  </si>
  <si>
    <t>ADT</t>
  </si>
  <si>
    <t>% TRUCKS</t>
  </si>
  <si>
    <t>RIVER</t>
  </si>
  <si>
    <t>WESTERN</t>
  </si>
  <si>
    <t>STEEL</t>
  </si>
  <si>
    <t>DUNKWA</t>
  </si>
  <si>
    <t>ASHANTI</t>
  </si>
  <si>
    <t>ODA</t>
  </si>
  <si>
    <t>SILTATION, VEGETATION</t>
  </si>
  <si>
    <t>SILTATION</t>
  </si>
  <si>
    <t>VEGETATION</t>
  </si>
  <si>
    <t>ANWIANKWANTA</t>
  </si>
  <si>
    <t>NORTHERN</t>
  </si>
  <si>
    <t>UPPER EAST</t>
  </si>
  <si>
    <t>SINIENSI</t>
  </si>
  <si>
    <t>DONINGA</t>
  </si>
  <si>
    <t>GOOD</t>
  </si>
  <si>
    <t>BOLGATANGA</t>
  </si>
  <si>
    <t>VOLTA</t>
  </si>
  <si>
    <t>GREATER ACCRA</t>
  </si>
  <si>
    <t>ASHAIMAN</t>
  </si>
  <si>
    <t>UNSAFE</t>
  </si>
  <si>
    <t>SAFE</t>
  </si>
  <si>
    <t>NKROFUL</t>
  </si>
  <si>
    <t>ABURA</t>
  </si>
  <si>
    <t>ANKOBRA</t>
  </si>
  <si>
    <t>FIAN</t>
  </si>
  <si>
    <t>ASUKAWKAW</t>
  </si>
  <si>
    <t>KABUSO</t>
  </si>
  <si>
    <t>BAILEY</t>
  </si>
  <si>
    <t>CRACKS</t>
  </si>
  <si>
    <t>EASTERN</t>
  </si>
  <si>
    <t>DADIESO</t>
  </si>
  <si>
    <t>KYEKYEWERE</t>
  </si>
  <si>
    <t>SUBIN</t>
  </si>
  <si>
    <t>ZEBILLA</t>
  </si>
  <si>
    <t>TILLI</t>
  </si>
  <si>
    <t>SUIANO</t>
  </si>
  <si>
    <t>BRONG AHAFO</t>
  </si>
  <si>
    <t>UPPER WEST</t>
  </si>
  <si>
    <t>VEGETATION, NO TRAFFIC SIGNS</t>
  </si>
  <si>
    <t>TANO</t>
  </si>
  <si>
    <t>DETOUR LENGTH(KM)</t>
  </si>
  <si>
    <t>ASUOYAA</t>
  </si>
  <si>
    <t>FUNCTIONALLY OBSELETE</t>
  </si>
  <si>
    <t>STRUCTURALLY DEFICIENT</t>
  </si>
  <si>
    <t>NO</t>
  </si>
  <si>
    <t>DESRCIPTION</t>
  </si>
  <si>
    <t>1960-1969</t>
  </si>
  <si>
    <t>1970-1979</t>
  </si>
  <si>
    <t>1980-1989</t>
  </si>
  <si>
    <t>1990-1999</t>
  </si>
  <si>
    <t>2000-2009</t>
  </si>
  <si>
    <t>2010-2019</t>
  </si>
  <si>
    <t>UNKNOWN</t>
  </si>
  <si>
    <t>NO. OF BRIDGES</t>
  </si>
  <si>
    <t>CRACKS, VEGETATION</t>
  </si>
  <si>
    <t>VEGETATION, SILTATION</t>
  </si>
  <si>
    <t>VEGETATION, DEBRIS</t>
  </si>
  <si>
    <t xml:space="preserve">PERMANENT </t>
  </si>
  <si>
    <t>TEMPORARY</t>
  </si>
  <si>
    <t>TOTAL</t>
  </si>
  <si>
    <t>OK</t>
  </si>
  <si>
    <t>NARROW</t>
  </si>
  <si>
    <t>BLANK</t>
  </si>
  <si>
    <t>FCTN OBSOLETE</t>
  </si>
  <si>
    <t>STRCT DEFICIENT</t>
  </si>
  <si>
    <t>YES</t>
  </si>
  <si>
    <t>SFTY INCONSISTENT</t>
  </si>
  <si>
    <t>FO/SI</t>
  </si>
  <si>
    <t>FO/SD</t>
  </si>
  <si>
    <t>SD/SI</t>
  </si>
  <si>
    <t>FO/SD/SI</t>
  </si>
  <si>
    <t>(SD/SI)'</t>
  </si>
  <si>
    <t>(FO/SI)'</t>
  </si>
  <si>
    <t>(FO/SD)'</t>
  </si>
  <si>
    <t>NOT FO/SD/SI</t>
  </si>
  <si>
    <t>MAXIMUM SPAN</t>
  </si>
  <si>
    <t>BEFORE 1930</t>
  </si>
  <si>
    <t>1930-1939</t>
  </si>
  <si>
    <t>1940-1949</t>
  </si>
  <si>
    <t>1950-1959</t>
  </si>
  <si>
    <t>LENGTH OF BRIDGES</t>
  </si>
  <si>
    <t>LENGHT OF ROAD</t>
  </si>
  <si>
    <t>12-19.9</t>
  </si>
  <si>
    <t>20-29.9</t>
  </si>
  <si>
    <t>30-39.9</t>
  </si>
  <si>
    <t>40 - 49.9</t>
  </si>
  <si>
    <t>50 AND ABOVE</t>
  </si>
  <si>
    <t>BELOW 12</t>
  </si>
  <si>
    <t>NUMBER</t>
  </si>
  <si>
    <t>POOR</t>
  </si>
  <si>
    <t>BOKAZO</t>
  </si>
  <si>
    <t>SUBULE</t>
  </si>
  <si>
    <t>NORBAYAA</t>
  </si>
  <si>
    <t>BRUMA</t>
  </si>
  <si>
    <t xml:space="preserve">ABOKYIA </t>
  </si>
  <si>
    <t>TUTOA</t>
  </si>
  <si>
    <t>DAMANG</t>
  </si>
  <si>
    <t>PRASOKUMA</t>
  </si>
  <si>
    <t>ABOMOSU</t>
  </si>
  <si>
    <t>FAWOMANYE</t>
  </si>
  <si>
    <t>AGONA NYARKROM</t>
  </si>
  <si>
    <t>ASIKUMA</t>
  </si>
  <si>
    <t>ASSIN TABIL</t>
  </si>
  <si>
    <t>AMANFOPON</t>
  </si>
  <si>
    <t>ESUAKYIA</t>
  </si>
  <si>
    <t>FOSUANSA</t>
  </si>
  <si>
    <t xml:space="preserve">BREMANG KOKOSO RELIEF </t>
  </si>
  <si>
    <t>JUKWA</t>
  </si>
  <si>
    <t>BREMANG KOKOSO</t>
  </si>
  <si>
    <t>ABANKROM</t>
  </si>
  <si>
    <t>TWIFO MINTASO</t>
  </si>
  <si>
    <t>BANIN RELIEF</t>
  </si>
  <si>
    <t>TWIFO KYEREKUM</t>
  </si>
  <si>
    <t>AWISEM</t>
  </si>
  <si>
    <t>TWIFO PRASO</t>
  </si>
  <si>
    <t>BADOA</t>
  </si>
  <si>
    <t>AMOAFO</t>
  </si>
  <si>
    <t>EDWUMAN</t>
  </si>
  <si>
    <t>KAKUMDO</t>
  </si>
  <si>
    <t xml:space="preserve">TWIFO MINTASO </t>
  </si>
  <si>
    <t>TWIFO DWABENG</t>
  </si>
  <si>
    <t>TWIFO AGONA</t>
  </si>
  <si>
    <t>BUABENSO</t>
  </si>
  <si>
    <t xml:space="preserve">ABURA </t>
  </si>
  <si>
    <t xml:space="preserve">SUBRI </t>
  </si>
  <si>
    <t>TRAIN STATION</t>
  </si>
  <si>
    <t>SUBRI</t>
  </si>
  <si>
    <t>ANKOASO</t>
  </si>
  <si>
    <t>FURE</t>
  </si>
  <si>
    <t>NTAABO</t>
  </si>
  <si>
    <t>AMOAKU</t>
  </si>
  <si>
    <t>KOTOTSEI</t>
  </si>
  <si>
    <t>DWENASE</t>
  </si>
  <si>
    <t>SAMELE</t>
  </si>
  <si>
    <t>HIAWA</t>
  </si>
  <si>
    <t>PANTUSO</t>
  </si>
  <si>
    <t>ACHIMFO</t>
  </si>
  <si>
    <t>AMUMU</t>
  </si>
  <si>
    <t xml:space="preserve">BIA </t>
  </si>
  <si>
    <t>ENCHI</t>
  </si>
  <si>
    <t>KRONPONG</t>
  </si>
  <si>
    <t>MAA DJANYE</t>
  </si>
  <si>
    <t>SUI</t>
  </si>
  <si>
    <t>DEKYEDO BRIDGE</t>
  </si>
  <si>
    <t>BOKASO</t>
  </si>
  <si>
    <t>SEFWI BEPOSO</t>
  </si>
  <si>
    <t>BEPONG</t>
  </si>
  <si>
    <t>BEDIESI</t>
  </si>
  <si>
    <t>ABUKYANE</t>
  </si>
  <si>
    <t xml:space="preserve">CAMP </t>
  </si>
  <si>
    <t>BOADUA</t>
  </si>
  <si>
    <t>OPPONG VALLY</t>
  </si>
  <si>
    <t>NEW ABIREM</t>
  </si>
  <si>
    <t>OLD ABIREM</t>
  </si>
  <si>
    <t>FUTUERNYA BRIDGE</t>
  </si>
  <si>
    <t>ANYUNGBO BRIDGE</t>
  </si>
  <si>
    <t>AGBOGA BRIDGE</t>
  </si>
  <si>
    <t>GBAGBAWUI BRIDGE</t>
  </si>
  <si>
    <t>GBEMI BRIDGE</t>
  </si>
  <si>
    <t>KWAE</t>
  </si>
  <si>
    <t>AKROMSO</t>
  </si>
  <si>
    <t>ASUBONE</t>
  </si>
  <si>
    <t>LOMEH</t>
  </si>
  <si>
    <t>OKWEI</t>
  </si>
  <si>
    <t>ABENE</t>
  </si>
  <si>
    <t>AGUSU</t>
  </si>
  <si>
    <t>OYIMSO</t>
  </si>
  <si>
    <t>MANKRAN</t>
  </si>
  <si>
    <t>ANKAASE</t>
  </si>
  <si>
    <t>DEI</t>
  </si>
  <si>
    <t>AKWADUM</t>
  </si>
  <si>
    <t>ANUM APAPAM</t>
  </si>
  <si>
    <t>KUAW</t>
  </si>
  <si>
    <t>ASAMANKESE</t>
  </si>
  <si>
    <t>KWABENG</t>
  </si>
  <si>
    <t>AKYEM TAKYIMAN</t>
  </si>
  <si>
    <t>OKYE</t>
  </si>
  <si>
    <t>AKIM SWEDRU</t>
  </si>
  <si>
    <t>KOSIKO</t>
  </si>
  <si>
    <t>AKIM ODA</t>
  </si>
  <si>
    <t>BONE</t>
  </si>
  <si>
    <t>ASUOKAW</t>
  </si>
  <si>
    <t>KPOGLU</t>
  </si>
  <si>
    <t>APATAASE</t>
  </si>
  <si>
    <t>TORDZE</t>
  </si>
  <si>
    <t>KPODEKPODE</t>
  </si>
  <si>
    <t>TABEN</t>
  </si>
  <si>
    <t>DAYI</t>
  </si>
  <si>
    <t>CHEE</t>
  </si>
  <si>
    <t>SARBO</t>
  </si>
  <si>
    <t>KOLOE</t>
  </si>
  <si>
    <t>AKYEM ABODOM</t>
  </si>
  <si>
    <t>ASUOM</t>
  </si>
  <si>
    <t>AWURAM</t>
  </si>
  <si>
    <t>TWERETI</t>
  </si>
  <si>
    <t>GOA</t>
  </si>
  <si>
    <t>KALANGMUA</t>
  </si>
  <si>
    <t>ONYIM</t>
  </si>
  <si>
    <t>NUNU</t>
  </si>
  <si>
    <t>ANYUNUSO</t>
  </si>
  <si>
    <t>AMOAKO</t>
  </si>
  <si>
    <t>MAABANG</t>
  </si>
  <si>
    <t>KUME</t>
  </si>
  <si>
    <t>WAHABU</t>
  </si>
  <si>
    <t>ABU</t>
  </si>
  <si>
    <t>KRONWI</t>
  </si>
  <si>
    <t>BOAFA</t>
  </si>
  <si>
    <t>HWEDA</t>
  </si>
  <si>
    <t>BEKWAI</t>
  </si>
  <si>
    <t>EFUDIASE</t>
  </si>
  <si>
    <t>ANTUAKROM</t>
  </si>
  <si>
    <t>AKEEMU</t>
  </si>
  <si>
    <t>NWENE</t>
  </si>
  <si>
    <t>SUBIRI</t>
  </si>
  <si>
    <t>ANKOMA</t>
  </si>
  <si>
    <t>BANKO</t>
  </si>
  <si>
    <t>KUNTENASE</t>
  </si>
  <si>
    <t>BANIN</t>
  </si>
  <si>
    <t>ELOBANKATA</t>
  </si>
  <si>
    <t>NTAAKROM</t>
  </si>
  <si>
    <t>VOLO-ADIDOME</t>
  </si>
  <si>
    <t>ALABO</t>
  </si>
  <si>
    <t>WULUBU</t>
  </si>
  <si>
    <t>WUTOR</t>
  </si>
  <si>
    <t>TSAWE</t>
  </si>
  <si>
    <t>DONINGA 1</t>
  </si>
  <si>
    <t>DONINGA 2</t>
  </si>
  <si>
    <t>NYIWU</t>
  </si>
  <si>
    <t>DUOBAA</t>
  </si>
  <si>
    <t>JUMO WARE</t>
  </si>
  <si>
    <t>KAMBA</t>
  </si>
  <si>
    <t>KPLIKPA</t>
  </si>
  <si>
    <t>DINIHI</t>
  </si>
  <si>
    <t>TAMFI</t>
  </si>
  <si>
    <t>PRU</t>
  </si>
  <si>
    <t>ASEKYEKRUKESE</t>
  </si>
  <si>
    <t>KUMFA</t>
  </si>
  <si>
    <t>TANOSO</t>
  </si>
  <si>
    <t>KONTONTRI</t>
  </si>
  <si>
    <t>SUBRE</t>
  </si>
  <si>
    <t>KWASU</t>
  </si>
  <si>
    <t>WORAMUMU</t>
  </si>
  <si>
    <t>NANTAGRE</t>
  </si>
  <si>
    <t>NSUHUNU</t>
  </si>
  <si>
    <t>TAIN</t>
  </si>
  <si>
    <t>NYINIBIRI</t>
  </si>
  <si>
    <t>TAINSO</t>
  </si>
  <si>
    <t>SABARE</t>
  </si>
  <si>
    <t>KUKPALIGU</t>
  </si>
  <si>
    <t>TALE</t>
  </si>
  <si>
    <t>ODOME</t>
  </si>
  <si>
    <t>KONKOR</t>
  </si>
  <si>
    <t>JIMILL</t>
  </si>
  <si>
    <t>KPALBO</t>
  </si>
  <si>
    <t>KANBONA</t>
  </si>
  <si>
    <t>NAAGA</t>
  </si>
  <si>
    <t>BASIIK</t>
  </si>
  <si>
    <t>NANGODE</t>
  </si>
  <si>
    <t>KOLA</t>
  </si>
  <si>
    <t>NAVORE</t>
  </si>
  <si>
    <t>ASSIN MANSO</t>
  </si>
  <si>
    <t>SUABAN OWROBON</t>
  </si>
  <si>
    <t>AMU</t>
  </si>
  <si>
    <t>MOTORWAY OVERHEAD BRIDGE</t>
  </si>
  <si>
    <t>OSENASE</t>
  </si>
  <si>
    <t>KADE</t>
  </si>
  <si>
    <t>(R086/01) - 13</t>
  </si>
  <si>
    <t>(R088/00) - 1.8</t>
  </si>
  <si>
    <t>(R088/01) - 1</t>
  </si>
  <si>
    <t>(R088/01) - 3</t>
  </si>
  <si>
    <t>(R123/03) - 11.3</t>
  </si>
  <si>
    <t>(R121/04) - 6.63</t>
  </si>
  <si>
    <t>(R124/02) - 2</t>
  </si>
  <si>
    <t>(R129/00) - 1</t>
  </si>
  <si>
    <t>R-064-07-01-02</t>
  </si>
  <si>
    <t>R-067-01-01-05</t>
  </si>
  <si>
    <t>(R017/03) - 16.02</t>
  </si>
  <si>
    <t>(R041/01) - 6.4</t>
  </si>
  <si>
    <t>(R041/05) - 0.2</t>
  </si>
  <si>
    <t>(R041/08) - 1.16</t>
  </si>
  <si>
    <t>(R062/05) - 21</t>
  </si>
  <si>
    <t>(R062/03) - 0.47</t>
  </si>
  <si>
    <t>(R062/05) - 11.8</t>
  </si>
  <si>
    <t>(R062/05) - 14.91</t>
  </si>
  <si>
    <t>(R082/01) - 19</t>
  </si>
  <si>
    <t>(R089/01) - 13</t>
  </si>
  <si>
    <t>(R100/01) - 14.78</t>
  </si>
  <si>
    <t>(R062/05) - 5.03</t>
  </si>
  <si>
    <t>(R100/01) - 22.64</t>
  </si>
  <si>
    <t>(R100/01) - 28.53</t>
  </si>
  <si>
    <t>(R081/01) - 36.3</t>
  </si>
  <si>
    <t>(R100/01) - 41.56</t>
  </si>
  <si>
    <t>(R100/01) - 45.43</t>
  </si>
  <si>
    <t>(R100/01) - 48.33</t>
  </si>
  <si>
    <t>(R100/01) - 53.38</t>
  </si>
  <si>
    <t>(R100/01) - 53.93</t>
  </si>
  <si>
    <t>(R082/01) - 3.4</t>
  </si>
  <si>
    <t>(R100/01) - 14.0</t>
  </si>
  <si>
    <t>(R100/01) - 16.99</t>
  </si>
  <si>
    <t>(R100/01) - 39.07</t>
  </si>
  <si>
    <t>(R100/01) - 6.2</t>
  </si>
  <si>
    <t>(R100/01) - 62.3</t>
  </si>
  <si>
    <t>(R086/01) - 2</t>
  </si>
  <si>
    <t>(R086/01) - 5</t>
  </si>
  <si>
    <t>(R088/01) - 23</t>
  </si>
  <si>
    <t>(R121/01) - 9</t>
  </si>
  <si>
    <t>(R124/01) - 4</t>
  </si>
  <si>
    <t>(R088/01) - 7</t>
  </si>
  <si>
    <t>(R125/03) - 8</t>
  </si>
  <si>
    <t>(R121/03) - 35.45</t>
  </si>
  <si>
    <t>(R121/03) - 72.1</t>
  </si>
  <si>
    <t>(R121/03) - 87.1</t>
  </si>
  <si>
    <t>(R121/04)  - 11</t>
  </si>
  <si>
    <t>(R121/04) - 19.68</t>
  </si>
  <si>
    <t>(R125/05) - 4</t>
  </si>
  <si>
    <t>(R126/01) - 17</t>
  </si>
  <si>
    <t>(R123/01) - 22</t>
  </si>
  <si>
    <t>(R123/01) - 9</t>
  </si>
  <si>
    <t>(R123/03) - 1.9</t>
  </si>
  <si>
    <t>(R123/03) - 19.1</t>
  </si>
  <si>
    <t>(R123/03) - 6.1</t>
  </si>
  <si>
    <t>(R129/01) - 54</t>
  </si>
  <si>
    <t>(R136/01) - 1</t>
  </si>
  <si>
    <t>(R212/04) - 21</t>
  </si>
  <si>
    <t>R-013-01-01-02</t>
  </si>
  <si>
    <t>(R125/06) - 11.5</t>
  </si>
  <si>
    <t>R-013-02-01-01</t>
  </si>
  <si>
    <t>(R126/02) - 5</t>
  </si>
  <si>
    <t>(R127/02) - 0.81</t>
  </si>
  <si>
    <t>R-035-01-01-01</t>
  </si>
  <si>
    <t>(R129/01) - 13</t>
  </si>
  <si>
    <t>R-041-01-01-01</t>
  </si>
  <si>
    <t>R-064-01-01-01</t>
  </si>
  <si>
    <t>(R212/04) - 15</t>
  </si>
  <si>
    <t>R-064-03-01-03</t>
  </si>
  <si>
    <t>(R212/04) - 5</t>
  </si>
  <si>
    <t>R-064-06-01-03</t>
  </si>
  <si>
    <t>R-018-02-01-01</t>
  </si>
  <si>
    <t>R-020-01-01-01</t>
  </si>
  <si>
    <t>R-032-01-01-01</t>
  </si>
  <si>
    <t>R-033-01-01-01</t>
  </si>
  <si>
    <t>R-096-02-01-01</t>
  </si>
  <si>
    <t>R-096-03-01-01</t>
  </si>
  <si>
    <t>R-034-03-01-01</t>
  </si>
  <si>
    <t>R-034-03-01-02</t>
  </si>
  <si>
    <t>R-065-01-1.0</t>
  </si>
  <si>
    <t>R-039-01-01-01</t>
  </si>
  <si>
    <t>R-038-01-1.8</t>
  </si>
  <si>
    <t>R-041-02-01-01</t>
  </si>
  <si>
    <t>R-041-03-01-01</t>
  </si>
  <si>
    <t>R-061-01-01-03</t>
  </si>
  <si>
    <t>R-062-06-01-01</t>
  </si>
  <si>
    <t>R-062-08-01-02</t>
  </si>
  <si>
    <t>R-062-08-01-03</t>
  </si>
  <si>
    <t>R-087-02-13.1</t>
  </si>
  <si>
    <t>R-010-03-01</t>
  </si>
  <si>
    <t>R-064-03-01-02</t>
  </si>
  <si>
    <t>R-010-04-01</t>
  </si>
  <si>
    <t>R-064-06-01-01</t>
  </si>
  <si>
    <t>R-026-01-01</t>
  </si>
  <si>
    <t>R-026-03-01</t>
  </si>
  <si>
    <t>R-027-01-01</t>
  </si>
  <si>
    <t>R-070-01-01</t>
  </si>
  <si>
    <t>R-083-01-01-05</t>
  </si>
  <si>
    <t>R-083-02-01-03</t>
  </si>
  <si>
    <t>R-0633-04-22.3</t>
  </si>
  <si>
    <t>R-012-003-01-02</t>
  </si>
  <si>
    <t>R-005-01-1.3</t>
  </si>
  <si>
    <t>R-034-04-1.1</t>
  </si>
  <si>
    <t>R-038-01-6.1</t>
  </si>
  <si>
    <t>R-043-01-24.6</t>
  </si>
  <si>
    <t>R-043-03-17.2</t>
  </si>
  <si>
    <t>R-052-01-18.1</t>
  </si>
  <si>
    <t>R-064-08-10</t>
  </si>
  <si>
    <t>R-181-003-01-01</t>
  </si>
  <si>
    <t>R-065-01-43.5</t>
  </si>
  <si>
    <t>R-087-01-13</t>
  </si>
  <si>
    <t>R-087-02-2.6</t>
  </si>
  <si>
    <t>(R062/01) - 8.33</t>
  </si>
  <si>
    <t>R-104-01-3.9</t>
  </si>
  <si>
    <t>R-104-02-0.8</t>
  </si>
  <si>
    <t>R-104-02-39.6</t>
  </si>
  <si>
    <t>R-105-01-22.7</t>
  </si>
  <si>
    <t>R-105-01-1.3</t>
  </si>
  <si>
    <t>R-105-01-22.3</t>
  </si>
  <si>
    <t>R-105-05-01</t>
  </si>
  <si>
    <t>R-034-01-01-02</t>
  </si>
  <si>
    <t>(R002/01) - 71.7</t>
  </si>
  <si>
    <t>R-087-02-2.7</t>
  </si>
  <si>
    <t>(R041/05) - 11.2</t>
  </si>
  <si>
    <t>(R062/05) - 14.3</t>
  </si>
  <si>
    <t>(R062/05) - 4.3</t>
  </si>
  <si>
    <t>(R077/01) - 7</t>
  </si>
  <si>
    <t>(R077/01) - 8.5</t>
  </si>
  <si>
    <t>R-024-02-01</t>
  </si>
  <si>
    <t>R-024-03-01</t>
  </si>
  <si>
    <t>R-050-01-01</t>
  </si>
  <si>
    <t>R-095-03-01</t>
  </si>
  <si>
    <t>R-181-001-01-01</t>
  </si>
  <si>
    <t>R-181-001-01-02</t>
  </si>
  <si>
    <t>R-028-03-01-01</t>
  </si>
  <si>
    <t>R-160-001-01-02</t>
  </si>
  <si>
    <t>R-181-004-01-01</t>
  </si>
  <si>
    <t>R-132-001-01-03</t>
  </si>
  <si>
    <t>R-044-02-14.0</t>
  </si>
  <si>
    <t>R-044-02-28.3</t>
  </si>
  <si>
    <t>R-044-02-3</t>
  </si>
  <si>
    <t>R-044-04-5.2</t>
  </si>
  <si>
    <t>R-047-02-101.3</t>
  </si>
  <si>
    <t>R-047-02-20</t>
  </si>
  <si>
    <t>R-063-01-36.4</t>
  </si>
  <si>
    <t>R-063-01-927.1</t>
  </si>
  <si>
    <t>R-063-02-27.0</t>
  </si>
  <si>
    <t>R-063-02-8+800</t>
  </si>
  <si>
    <t>R-063-04-17.0</t>
  </si>
  <si>
    <t>R-063-04-4.0</t>
  </si>
  <si>
    <t>R-063-04-6.0</t>
  </si>
  <si>
    <t>R-063-04-8.4</t>
  </si>
  <si>
    <t>R-068-04-54.4</t>
  </si>
  <si>
    <t>R-068-01-40.9</t>
  </si>
  <si>
    <t>R-068-03-19.8</t>
  </si>
  <si>
    <t>R-093-01-5.7</t>
  </si>
  <si>
    <t>R-093-01-7.7</t>
  </si>
  <si>
    <t>R-093-01-13.3</t>
  </si>
  <si>
    <t>R-093-01-14.2</t>
  </si>
  <si>
    <t>R-093-05-21.4</t>
  </si>
  <si>
    <t>R029/01 - 15.7</t>
  </si>
  <si>
    <t>R029/01 - 16.3</t>
  </si>
  <si>
    <t>R029/02 - 12.3</t>
  </si>
  <si>
    <t>R029/02 - 25.1</t>
  </si>
  <si>
    <t>R029/02 - 3.4</t>
  </si>
  <si>
    <t>R029/02 - 56.6</t>
  </si>
  <si>
    <t>R201/02 - 1.4</t>
  </si>
  <si>
    <t>R204/01 - 32.2</t>
  </si>
  <si>
    <t>R204/01 - 83.3</t>
  </si>
  <si>
    <t>R018/01 - 14.4</t>
  </si>
  <si>
    <t>R018/07 - 26.3</t>
  </si>
  <si>
    <t>R113/01 - 21.3</t>
  </si>
  <si>
    <t>R181/01 - 14.4</t>
  </si>
  <si>
    <t>R181/01 - 19.5</t>
  </si>
  <si>
    <t>(R041/08) - 2.28</t>
  </si>
  <si>
    <t>R-103-01-27.1</t>
  </si>
  <si>
    <t>R-016-01-01</t>
  </si>
  <si>
    <t>R-064-04-01-01</t>
  </si>
  <si>
    <t>ASUBUEI</t>
  </si>
  <si>
    <t>TELEKU BOKASU</t>
  </si>
  <si>
    <t>AWIA</t>
  </si>
  <si>
    <t>ASEIMA</t>
  </si>
  <si>
    <t>ESIEMA</t>
  </si>
  <si>
    <t>KUSIKROM</t>
  </si>
  <si>
    <t>ABOKYIA JUNCTION</t>
  </si>
  <si>
    <t>ABOKYIA</t>
  </si>
  <si>
    <t>SAMREBOI</t>
  </si>
  <si>
    <t>SIKA NTI</t>
  </si>
  <si>
    <t>AFOSU</t>
  </si>
  <si>
    <t>ASANTE AKYEM</t>
  </si>
  <si>
    <t>AKROFUFU</t>
  </si>
  <si>
    <t>AGONA KWANYARKO</t>
  </si>
  <si>
    <t>AYHIASE</t>
  </si>
  <si>
    <t>ESUAHYIA</t>
  </si>
  <si>
    <t>ESAAKYIRE</t>
  </si>
  <si>
    <t>DOMEABRA</t>
  </si>
  <si>
    <t>NYSAKYERE</t>
  </si>
  <si>
    <t>KOTOKYE</t>
  </si>
  <si>
    <t>OKYSUA</t>
  </si>
  <si>
    <t>OBRAYEKU</t>
  </si>
  <si>
    <t>BUKARI</t>
  </si>
  <si>
    <t>MANKATA</t>
  </si>
  <si>
    <t>AWOROSU</t>
  </si>
  <si>
    <t>DENKYIRA FOSU</t>
  </si>
  <si>
    <t>DUNKWAFA KYEKYEWERE</t>
  </si>
  <si>
    <t>EDUMAN</t>
  </si>
  <si>
    <t>ESUEKYIRE</t>
  </si>
  <si>
    <t>AGONA PEWODIE</t>
  </si>
  <si>
    <t>DENKYIERA FOSO</t>
  </si>
  <si>
    <t>TWIFO BREMANG</t>
  </si>
  <si>
    <t>11</t>
  </si>
  <si>
    <t>TUMANTU</t>
  </si>
  <si>
    <t>ABAASE</t>
  </si>
  <si>
    <t>DOMINASE</t>
  </si>
  <si>
    <t>MAME BAMIAKOR YIESE</t>
  </si>
  <si>
    <t>INSU SIDING</t>
  </si>
  <si>
    <t>ASANKRAGUA</t>
  </si>
  <si>
    <t>ASANKRA-SAA</t>
  </si>
  <si>
    <t>ALUKU</t>
  </si>
  <si>
    <t>PRESTIA ASUOHIAMI</t>
  </si>
  <si>
    <t>BISAASO</t>
  </si>
  <si>
    <t>WOMAN NO GOOD</t>
  </si>
  <si>
    <t>MUMUNI</t>
  </si>
  <si>
    <t>SEFWI DWENASE</t>
  </si>
  <si>
    <t>SEFWI TANOSO</t>
  </si>
  <si>
    <t>BOPA NKWANTA</t>
  </si>
  <si>
    <t>SEFWI NSAWORA</t>
  </si>
  <si>
    <t>PENSANUM</t>
  </si>
  <si>
    <t>GRANT</t>
  </si>
  <si>
    <t>JOMORO ENCHI</t>
  </si>
  <si>
    <t>PENKROM</t>
  </si>
  <si>
    <t>ASANTEKROM</t>
  </si>
  <si>
    <t>YIWABRA NKWANTA</t>
  </si>
  <si>
    <t>KWABENA NARTEY</t>
  </si>
  <si>
    <t>LABIKROM</t>
  </si>
  <si>
    <t>NINGO</t>
  </si>
  <si>
    <t>PRAMPRAM</t>
  </si>
  <si>
    <t>SEFWI ASAFO</t>
  </si>
  <si>
    <t>ABE</t>
  </si>
  <si>
    <t>AFIENYA</t>
  </si>
  <si>
    <t>ABRONIHIA</t>
  </si>
  <si>
    <t>ASAWINSO A</t>
  </si>
  <si>
    <t>KAYIRA</t>
  </si>
  <si>
    <t>R.C.</t>
  </si>
  <si>
    <t>PROSO KOFIKROM</t>
  </si>
  <si>
    <t>KWASI ADEIKROM</t>
  </si>
  <si>
    <t>OBOGU</t>
  </si>
  <si>
    <t>CAMP</t>
  </si>
  <si>
    <t>ADONKRONO</t>
  </si>
  <si>
    <t>OPPONG VALLEY</t>
  </si>
  <si>
    <t>AMPONSAKROM</t>
  </si>
  <si>
    <t>ADEISO</t>
  </si>
  <si>
    <t>SOLIKOPE</t>
  </si>
  <si>
    <t>CLINIC JUNCTION</t>
  </si>
  <si>
    <t>NUTA</t>
  </si>
  <si>
    <t>AVEYIME</t>
  </si>
  <si>
    <t>AGBOGAWU</t>
  </si>
  <si>
    <t>MENUAKOPE</t>
  </si>
  <si>
    <t>AGBOGANU</t>
  </si>
  <si>
    <t>VUTSUAMEKOPE</t>
  </si>
  <si>
    <t>SECOND STOP</t>
  </si>
  <si>
    <t>NEWTOWN JCTN.</t>
  </si>
  <si>
    <t>PIPIMSU</t>
  </si>
  <si>
    <t xml:space="preserve">OBEMEN </t>
  </si>
  <si>
    <t>NKAWKAW</t>
  </si>
  <si>
    <t>AKUSE</t>
  </si>
  <si>
    <t>ASUTWARE</t>
  </si>
  <si>
    <t>OKWEINYA</t>
  </si>
  <si>
    <t>ABENE TOWN</t>
  </si>
  <si>
    <t>AGOGO</t>
  </si>
  <si>
    <t>PETA</t>
  </si>
  <si>
    <t>YAW TENKORANG</t>
  </si>
  <si>
    <t>BEGORO</t>
  </si>
  <si>
    <t>TEPA</t>
  </si>
  <si>
    <t>KUKURANTUMI</t>
  </si>
  <si>
    <t>21.9</t>
  </si>
  <si>
    <t>KUANO</t>
  </si>
  <si>
    <t>AKROSO</t>
  </si>
  <si>
    <t>ANYINAM</t>
  </si>
  <si>
    <t>APAM</t>
  </si>
  <si>
    <t>5.4`</t>
  </si>
  <si>
    <t>WUDUABA</t>
  </si>
  <si>
    <t>EBE</t>
  </si>
  <si>
    <t>KPOTOE</t>
  </si>
  <si>
    <t>65.7</t>
  </si>
  <si>
    <t>VAKPO ANETA</t>
  </si>
  <si>
    <t>VAKPO NEW ADOME</t>
  </si>
  <si>
    <t>KECHEIBI</t>
  </si>
  <si>
    <t>NSUOGYA</t>
  </si>
  <si>
    <t>KORENTENG</t>
  </si>
  <si>
    <t>ODUMASI</t>
  </si>
  <si>
    <t>TOGANU</t>
  </si>
  <si>
    <t>TORGBADZA</t>
  </si>
  <si>
    <t>SUBI</t>
  </si>
  <si>
    <t>ASUBOA</t>
  </si>
  <si>
    <t>GOASO</t>
  </si>
  <si>
    <t>NKASEM</t>
  </si>
  <si>
    <t>PIDO</t>
  </si>
  <si>
    <t>BANU</t>
  </si>
  <si>
    <t xml:space="preserve">ANWIANKWANTA </t>
  </si>
  <si>
    <t>BEHENASE</t>
  </si>
  <si>
    <t>ONYINSO</t>
  </si>
  <si>
    <t>OTIKROM</t>
  </si>
  <si>
    <t>KWAMA</t>
  </si>
  <si>
    <t>BAREKESE</t>
  </si>
  <si>
    <t>KAJUKPERE</t>
  </si>
  <si>
    <t>PEMINASI</t>
  </si>
  <si>
    <t>BONFA</t>
  </si>
  <si>
    <t>GOMOA DAGO</t>
  </si>
  <si>
    <t>ESSUMEJA</t>
  </si>
  <si>
    <t>EJISU</t>
  </si>
  <si>
    <t>AKROPOAG</t>
  </si>
  <si>
    <t>BOEKROM</t>
  </si>
  <si>
    <t>ATIGO</t>
  </si>
  <si>
    <t>NGOLIKOPE</t>
  </si>
  <si>
    <t>DZIFOR DOKOSI</t>
  </si>
  <si>
    <t>ANEGAM</t>
  </si>
  <si>
    <t>TUTUKPENU</t>
  </si>
  <si>
    <t>HO</t>
  </si>
  <si>
    <t>DZOLO KPUITA</t>
  </si>
  <si>
    <t>JUAPONG</t>
  </si>
  <si>
    <t>KPEVE</t>
  </si>
  <si>
    <t>SANTIJAN</t>
  </si>
  <si>
    <t>KPOGALIE</t>
  </si>
  <si>
    <t>TSETSEKPE</t>
  </si>
  <si>
    <t>FAALU</t>
  </si>
  <si>
    <t>FUNSI</t>
  </si>
  <si>
    <t>JUMO</t>
  </si>
  <si>
    <t>KONWOB NO. 2</t>
  </si>
  <si>
    <t>TAMFIA</t>
  </si>
  <si>
    <t>BARNAFOUR</t>
  </si>
  <si>
    <t>ABOUNTEM</t>
  </si>
  <si>
    <t>SESIMAN</t>
  </si>
  <si>
    <t xml:space="preserve">KUMFIA(BOSI </t>
  </si>
  <si>
    <t>SEBIDI</t>
  </si>
  <si>
    <t>AKYERENSUA</t>
  </si>
  <si>
    <t>MABANG</t>
  </si>
  <si>
    <t>KOKOFO</t>
  </si>
  <si>
    <t>DUORI</t>
  </si>
  <si>
    <t>NJAU</t>
  </si>
  <si>
    <t>OFORIKROM</t>
  </si>
  <si>
    <t>WENCHI</t>
  </si>
  <si>
    <t>NAMASA</t>
  </si>
  <si>
    <t>DEBIBI</t>
  </si>
  <si>
    <t>NAKPAH</t>
  </si>
  <si>
    <t>KPASOE</t>
  </si>
  <si>
    <t>TANAYIH</t>
  </si>
  <si>
    <t>BALAKA</t>
  </si>
  <si>
    <t>BIMBILLA</t>
  </si>
  <si>
    <t>SABONGIDO</t>
  </si>
  <si>
    <t>TUGU</t>
  </si>
  <si>
    <t>CHEBONI</t>
  </si>
  <si>
    <t>NNAMBIN</t>
  </si>
  <si>
    <t>ZUARUGU</t>
  </si>
  <si>
    <t>KALSARI</t>
  </si>
  <si>
    <t>TUORI</t>
  </si>
  <si>
    <t>SROGBE</t>
  </si>
  <si>
    <t>SALE</t>
  </si>
  <si>
    <t>TEMA GENERAL HOSPITAL</t>
  </si>
  <si>
    <t>CORROSION OF STEEL MEMBERS, MISSING ELEMENTS, REDUCTION SECTION, BUCKLING AND FASTENERS EFFECT, SEGREGATION, POTHOLES, DEPRESSION, VEGETATION</t>
  </si>
  <si>
    <t>VEGETATION, DISORGANISED STEEL PLATE, POTHOLES, DEPRESSION STEP, EROSION</t>
  </si>
  <si>
    <t>CORRODED STEEL MEMBERS, VEGETATION, MISSING TIMBER BEAM, POTHOLES, DEPRESSION STEP, EROSION</t>
  </si>
  <si>
    <t>CORRODED STEEL MEMBERS, MISSING ELEMENTS, VEGETATION, POTHOLES, DEPRESSION</t>
  </si>
  <si>
    <t>VEGETATION, SILT, CORRODED STEEL MEMBERS, DAMAGED METAL KERBS, SETTLEMENT, POTHOLES</t>
  </si>
  <si>
    <t>VEGETATION, CORRODED STEEL MEMBERS, DAMAGED METAL KERBS, SETTLEMENT, GULLIES, VEGETATION, POTHOLES</t>
  </si>
  <si>
    <t>NO WALKWAYS, VEGETATION</t>
  </si>
  <si>
    <t>LOOSE CONNECTIONS AND STEEL DECK MEMBERS, VEGETATION</t>
  </si>
  <si>
    <t>DAMAGED CRASH BARRIERS, CHOKE DRAINAGE PIPES, VEGETATION, SCOURING</t>
  </si>
  <si>
    <t>POTHOLES, VEGETATION, MISSING PARAPET CAP, SEGREGATION</t>
  </si>
  <si>
    <t>BROKEN PARAPETS, VEGETATION, SEGREGATION, SPALLING, DEPRESSION AT APPROACHES, SILTATION</t>
  </si>
  <si>
    <t>SHORT DRAINAGE PIPES, VEGETATION</t>
  </si>
  <si>
    <t>NO PARAPET WALL (PARAPET WALL AND CARRIAGEWAY ON THE SAME LEVEL</t>
  </si>
  <si>
    <t>CORRODED STEEL RAILINGS, SILTED DRAINS, SEGREGATION, VEGETATION, CRACKS</t>
  </si>
  <si>
    <t>BROKEN HEADWALL, POTHOLES, DEPRESSION, VEGETATION</t>
  </si>
  <si>
    <t>VEGETATION, SETTLEMENT, GULLIES, POTHOLES, CRACKS, CORROSION</t>
  </si>
  <si>
    <t>CHIPPING OFF, SPALLING, SEGREGATION AND CRACKS IN BOTH DECK AND ABUTMENTS</t>
  </si>
  <si>
    <t>CRACKS IN DECK AND ABUTMENT</t>
  </si>
  <si>
    <t>CRACKS, SEGREGATION</t>
  </si>
  <si>
    <t>SILTED SPANS, DAMAGED RAILINGS, CHIPPING OFF, SEGREGATION, MISSING RAILINGS, VEGETATION</t>
  </si>
  <si>
    <t>SEGREGATION IN BOTH DECK AND ABUTMENTS</t>
  </si>
  <si>
    <t>SEGREGATION, CRACKS IN ABUTMENTS AND PIER</t>
  </si>
  <si>
    <t>SERIOUS CRACKS, SILTED DRAINS, VEGETATION, GULLIES, POTHOLES, SCOURING, SEGREGATION</t>
  </si>
  <si>
    <t>CRACKS, DEPRESSION, GULLIES, SETTLEMENT</t>
  </si>
  <si>
    <t>CRACKS, SILTED DRAINS, POTHOLES, GULLIES, VEGETATION</t>
  </si>
  <si>
    <t>POTHOLES, CRACKS, CORROSION, SERGEGATION, SETTLEMENTS, GULLIES, DEPRESSION</t>
  </si>
  <si>
    <t>SEGREGATION, VEGETATION, GULLIES, POTHOLES, SCOURING, DEPRESSION AT APPROACHES</t>
  </si>
  <si>
    <t>BROKEN PARAPET WALL, CRACKS, CHIPPED OFF, SEGREGATION, VEGETATION</t>
  </si>
  <si>
    <t>BROKEN PARAPET RAILNG, SPALLING, CHIPPING OFF, CRACKS, CORRODED STEEL BEAMS, SEGREGATION, VEGGETATION, POTHOLES, SCOURING, SILTED DRAINS</t>
  </si>
  <si>
    <t>SILTED DRAINS, BROKEN RAILINGS</t>
  </si>
  <si>
    <t>CRASH BARRIERS NOT AVAILABLE</t>
  </si>
  <si>
    <t>VEGETATION, POTHOLES, VIBRATIONS ON DECK, SILTED DRAINS, CORRODED STEEL MEMBERS, MISSING STEEL MEMBERS, BROKEN NOSING OF JOINTS, CRACKS, GULLIES</t>
  </si>
  <si>
    <t xml:space="preserve">DEPRESSION, POTHOLES, MISSING CONCRETE CAP, </t>
  </si>
  <si>
    <t>SILTED DRAINS, VEGETATION,BROKEN AND CORRODED RAILING, POTHOLES</t>
  </si>
  <si>
    <t>NO VISIBLE DEFECTS</t>
  </si>
  <si>
    <t>CORRODED STEEL MEMBERS</t>
  </si>
  <si>
    <t>VEGETATION, CORROSION</t>
  </si>
  <si>
    <t>VEGETATION, CORRODED STEEL MEMBERS</t>
  </si>
  <si>
    <t>VEGETATION, SILT, MISSING EXPANSION JOINT PLATE</t>
  </si>
  <si>
    <t>SILTED, VEGETATION</t>
  </si>
  <si>
    <t>CORRODED STEEL MEMBERS, VEGETATION, STEELEMENT, POTHOLES, STEP</t>
  </si>
  <si>
    <t>BROKEN CONCRETE CAP, CRACKS</t>
  </si>
  <si>
    <t>BROKEN PARAPET WALL, SILTED DRAINS, VEGETATION, SEGREGATION, NO DRAIN PIPES, DEPRESSION, GULLIES, SETTLEMENT</t>
  </si>
  <si>
    <t>ABUTMENTS LACK PROTECTION HENCE PRONE TO SCOURING</t>
  </si>
  <si>
    <t>DISTORTION BUCKLING, MISSING BOLTS</t>
  </si>
  <si>
    <t>VEGETATION, SILT,CORRODED STEEL MEMBERS</t>
  </si>
  <si>
    <t>VEGETATION, CRACKS, SILTED DRAINS</t>
  </si>
  <si>
    <t>VEGETATION, SILTATION, DAMAGED PARAPET WALL, DAMAGED WING WALL</t>
  </si>
  <si>
    <t>VEGETATION, DAMAGED RAILINGS</t>
  </si>
  <si>
    <t>VEGETATION, SILT</t>
  </si>
  <si>
    <t>REDUCED SECTIONS, VEGETATION, DEBRIS, MISSING DRAINS</t>
  </si>
  <si>
    <t>DAMAGED PARAPET, VEGETATION, DEBRIS</t>
  </si>
  <si>
    <t>CRACKS ON PARAPET, POTHOLES, SETTLEMENT, VEGETATION</t>
  </si>
  <si>
    <t>DAMAGED PARAPET WALL, VEGETATION, DEBRIS</t>
  </si>
  <si>
    <t>RUSTED GIRDERS, REDUCED SECTIONS, LOOSE BOLTS, MISSING BOLTS, NO WALKWAYS, VIBRATES WHEN DRIVEN OVER, BAD APPROACHES</t>
  </si>
  <si>
    <t>DEFLECTION IN MIDDLE SPAN, SILTATION</t>
  </si>
  <si>
    <t>VEGETATION, INSUFFICIENT HYDRAULIC CAPACITY</t>
  </si>
  <si>
    <t>VEGETATION, DEBRIS, CLOGGED SPAN</t>
  </si>
  <si>
    <t>VEGETATION, DEBRIS, MISSING PARAPETS</t>
  </si>
  <si>
    <t>DEFLECTION OF BEAMS, SPALLING</t>
  </si>
  <si>
    <t xml:space="preserve">VEGETATION, DEBRIS </t>
  </si>
  <si>
    <t>MISSING PARAPET</t>
  </si>
  <si>
    <t>VEGETAITION, DEBRIS</t>
  </si>
  <si>
    <t>SILTATION, DAMAGED PARAPETS, DAMAGED EXPANSION JOINTS</t>
  </si>
  <si>
    <t>RUSTING PARAPETS, LEAKING EPANSION JOINTS, VEGETATION</t>
  </si>
  <si>
    <t>VEGETAION, DEBRIS</t>
  </si>
  <si>
    <t>DAMAGED PARAPET, MISSING ELEMENTS</t>
  </si>
  <si>
    <t xml:space="preserve">DAMAGED METAL GUARD RAIL, </t>
  </si>
  <si>
    <t>VEGETATION, DEBRIS, BROKEN CONCRETE RAIL</t>
  </si>
  <si>
    <t>VEGETATION, DEBRIS, BROKEN ABUTMENT</t>
  </si>
  <si>
    <t>MISSING STEEL GUARD RAIL</t>
  </si>
  <si>
    <t>VEGETATION, SILTATION, DEBRIS</t>
  </si>
  <si>
    <t>VEGETAION</t>
  </si>
  <si>
    <t>SILTATION, DAMAGED GUARDRAIILS</t>
  </si>
  <si>
    <t>MISSING CRASH BARRIERS, VEGETATION, DAMAGED GRILLS, BLOCKED EXPANSION JOINTS</t>
  </si>
  <si>
    <t>UNDER CONSTRUCTION</t>
  </si>
  <si>
    <t>MISSING GUARDRAILS, BROKEN FOOTPATHS, VEGETATION</t>
  </si>
  <si>
    <t>CRACKS, SPALLING, SEGREGATION</t>
  </si>
  <si>
    <t>DAMAGED STEEL KERBS, MISSING OR LOOSENED ELEMENTS, CORRODED STEEL ELEMENTS, SEGREGATION ATA ABUTMENTS, VEGETATION</t>
  </si>
  <si>
    <t>VEGETATION, DEBRIS, LOOSE BOLTS AND NUTS, UNSTABLE ABUTMENT</t>
  </si>
  <si>
    <t>RUSTING, VEGETATION</t>
  </si>
  <si>
    <t>WEAK DECK SLAB, VEGETATION</t>
  </si>
  <si>
    <t>SILTED</t>
  </si>
  <si>
    <t>MISSING GUARDRAILS</t>
  </si>
  <si>
    <t>SILTATION, CRACKS</t>
  </si>
  <si>
    <t xml:space="preserve">POTHOLES, VEGETATION </t>
  </si>
  <si>
    <t>SEGREGATION, CHIPPING OFF, SPALLING, VEGETATION, SETTLEMENT, DEPRESSION AT APPROACHES</t>
  </si>
  <si>
    <t>DAMAGED PARAPET WALL</t>
  </si>
  <si>
    <t>LOOSE TIMBER SLABS</t>
  </si>
  <si>
    <t>RUSTING PARAPET, VEGETATION</t>
  </si>
  <si>
    <t>RUSTING, REDUCED SECTIONS, DEFLECTION OF SOME MEMBERS, VEGETATION, DEBRIS</t>
  </si>
  <si>
    <t>COLLAPSED PORTION OF WALKWAY, INSUFFICIENT HANDRAILS, VEGETATION, DEBRIS</t>
  </si>
  <si>
    <t>ROUTINE MAINTENANCE</t>
  </si>
  <si>
    <t>PERIODIC MAINTENANCE</t>
  </si>
  <si>
    <t xml:space="preserve">REHABILITATION  </t>
  </si>
  <si>
    <t>REPLACE BRIDGE</t>
  </si>
  <si>
    <t>SIA REQUIRED</t>
  </si>
  <si>
    <t>ADT RANGE</t>
  </si>
  <si>
    <t>0-4000</t>
  </si>
  <si>
    <t>4000-8000</t>
  </si>
  <si>
    <t>8000 AND ABOVE</t>
  </si>
  <si>
    <t>ITEM No.</t>
  </si>
  <si>
    <t>SAFETY NONCOMPLIANCE</t>
  </si>
  <si>
    <t>DECK WIDTH (M)</t>
  </si>
  <si>
    <t>YEAR COMPLETED</t>
  </si>
  <si>
    <t>LENGTH OF BRIDGE (M)</t>
  </si>
  <si>
    <t>KEDZI</t>
  </si>
  <si>
    <t>HAVEDZI</t>
  </si>
  <si>
    <t>LAGOON</t>
  </si>
  <si>
    <t>KETA LAGOON BRIDGE</t>
  </si>
  <si>
    <t>R-011-001-01</t>
  </si>
  <si>
    <t>CENTRAL REGION</t>
  </si>
  <si>
    <t>BROKEN PARAPETS, VEGETATION, CORROSION OF STEEL GIRDERS, POTHOLES, DEPRESSION AT APPROACHES, SILTATION</t>
  </si>
  <si>
    <t>ABASE</t>
  </si>
  <si>
    <t xml:space="preserve">RUSTED AND CORRODED STEEL MEMBERS, MISSING ELEMENTS, POOR JOINTS, REDUCED SECTIONS IN BEAMS, </t>
  </si>
  <si>
    <t>BMU MAINTENANCE</t>
  </si>
  <si>
    <t>VEGETATION, DAMAGED STEEL KERBS, POOR JOINTS, POTHOLES, EROSION, STEP</t>
  </si>
  <si>
    <t>POOR CONDITION OF APPROACHES AND CARRIAGEWAYS, DAMAGED HANDRAILS</t>
  </si>
  <si>
    <t>KRONWI(BONI RIVER)</t>
  </si>
  <si>
    <t>VEGETATION, PARTIALLY SILTED</t>
  </si>
  <si>
    <t>ANTUAKROM(NWENE)</t>
  </si>
  <si>
    <t>R-012-002-01</t>
  </si>
  <si>
    <t>KONTONTRI(KWASU)</t>
  </si>
  <si>
    <t>NSUHUNU(NYINBIRI)</t>
  </si>
  <si>
    <t>ROOTINE MAINTENANCE</t>
  </si>
  <si>
    <t>SABARE(OTI RIVER)</t>
  </si>
  <si>
    <t>R201/02 - 37.1</t>
  </si>
  <si>
    <t>GHANI</t>
  </si>
  <si>
    <t>MISSING BOLTS AND NUTS,CRACKS AND SPALLING IN PIERS, SCOURING</t>
  </si>
  <si>
    <t>KUKPALIGU(TAKPA RIVER)</t>
  </si>
  <si>
    <t>TALE(BLIGA RIVER)</t>
  </si>
  <si>
    <t>ODOME(KUMBA RIVER)</t>
  </si>
  <si>
    <t>BALAKU(WAMPULI RIVER)</t>
  </si>
  <si>
    <t>KONKOR(DAKA RIVER)</t>
  </si>
  <si>
    <t>VEGETATION, BLOCKED DRAINS, SCOURING, CORRODED RAILINGS</t>
  </si>
  <si>
    <t>GIMBARI</t>
  </si>
  <si>
    <t>R151/001-01-01</t>
  </si>
  <si>
    <t>GBINTIRI</t>
  </si>
  <si>
    <t>GBANDAA</t>
  </si>
  <si>
    <t>DAMAGED STONE PITCHING, VEGETATION, CRACKS IN SLAB</t>
  </si>
  <si>
    <t>KPALBA KENYABO</t>
  </si>
  <si>
    <t>R204/001-01-01</t>
  </si>
  <si>
    <t>KPALBA</t>
  </si>
  <si>
    <t>SABOBA</t>
  </si>
  <si>
    <t>VEGETATION, LOOSE BOLTS</t>
  </si>
  <si>
    <t>KPASENKPE</t>
  </si>
  <si>
    <t>R116/002-01-01</t>
  </si>
  <si>
    <t>KUNKWA</t>
  </si>
  <si>
    <t>KPASESENKPE</t>
  </si>
  <si>
    <t>DAKA</t>
  </si>
  <si>
    <t>R201/01-97.0</t>
  </si>
  <si>
    <t>YENDI</t>
  </si>
  <si>
    <t>SAMBU</t>
  </si>
  <si>
    <t>DAMAGED PIER PROTECTION, VEGETATION, BLOCKED EXPANSION JOINTS</t>
  </si>
  <si>
    <t>KUMBONI</t>
  </si>
  <si>
    <t>R143/002-01-01</t>
  </si>
  <si>
    <t>WULENSI</t>
  </si>
  <si>
    <t>CHAMBA</t>
  </si>
  <si>
    <t>VEGETATION, DAMAGED STONE PITCHING, BLOCKED EXPANSION JOINTS</t>
  </si>
  <si>
    <t>KUMDI DAKA</t>
  </si>
  <si>
    <t>R049/002-01-01</t>
  </si>
  <si>
    <t>KUMDI WEST BANK</t>
  </si>
  <si>
    <t>KUMDI</t>
  </si>
  <si>
    <t>DAMAGED STONE PITCHING, VEGETATION, BLOCKED EXPANSION JOINTS</t>
  </si>
  <si>
    <t>VEGETATION IN CHANNEL, BROKEN PRECAST SLAB IN WALKWAY</t>
  </si>
  <si>
    <t>LOOSE BOLTS, VEGETATION</t>
  </si>
  <si>
    <t>SABONJIDA</t>
  </si>
  <si>
    <t>R029/001-01-01</t>
  </si>
  <si>
    <t>SALAGA</t>
  </si>
  <si>
    <t>N = 63</t>
  </si>
  <si>
    <t>Age of Bridge</t>
  </si>
  <si>
    <t>Year</t>
  </si>
  <si>
    <t>No. of Bridges</t>
  </si>
  <si>
    <t>&gt; 50 years</t>
  </si>
  <si>
    <t>before 1967</t>
  </si>
  <si>
    <t>up to 25 years</t>
  </si>
  <si>
    <t>b/w 1967 - 1992</t>
  </si>
  <si>
    <t>up to 10 years</t>
  </si>
  <si>
    <t>b/w 1992 - 2007</t>
  </si>
  <si>
    <t>up to 5 years</t>
  </si>
  <si>
    <t>b/w 2007 - 2013</t>
  </si>
  <si>
    <t>&lt; 5 years</t>
  </si>
  <si>
    <t>after 2013</t>
  </si>
  <si>
    <t>Unknown</t>
  </si>
  <si>
    <t>Range of Max. Span (m)</t>
  </si>
  <si>
    <t>&lt; 12m</t>
  </si>
  <si>
    <t>b/w 12 - 20m</t>
  </si>
  <si>
    <t>b/w 20 - 50m</t>
  </si>
  <si>
    <t>&gt; 50m</t>
  </si>
  <si>
    <t>b/w 20 - 30m</t>
  </si>
  <si>
    <t>b/w 30 - 40m</t>
  </si>
  <si>
    <t>b/w 40 - 50m</t>
  </si>
  <si>
    <t>&gt; 88 years</t>
  </si>
  <si>
    <t>before 1930</t>
  </si>
  <si>
    <t>88 to 78 years</t>
  </si>
  <si>
    <t>b/w 1930 - 1940</t>
  </si>
  <si>
    <t>78 to 68 years</t>
  </si>
  <si>
    <t>b/w 1940 - 1950</t>
  </si>
  <si>
    <t>68 to 58 years</t>
  </si>
  <si>
    <t>b/w 1950 - 1960</t>
  </si>
  <si>
    <t>58 to 48 years</t>
  </si>
  <si>
    <t>b/w 1960 - 1970</t>
  </si>
  <si>
    <t>48 to 38 years</t>
  </si>
  <si>
    <t>b/w 1970 - 1980</t>
  </si>
  <si>
    <t>38 to 28 years</t>
  </si>
  <si>
    <t>b/w 1980 - 1990</t>
  </si>
  <si>
    <t>28 to 18 years</t>
  </si>
  <si>
    <t>b/w 1990 - 2000</t>
  </si>
  <si>
    <t>18 to 8 years</t>
  </si>
  <si>
    <t>b/w 2000 - 2010</t>
  </si>
  <si>
    <t>8 to 1 year</t>
  </si>
  <si>
    <t>b/w 2010 - 2017</t>
  </si>
  <si>
    <t>YEAR RECONSTRUCTED</t>
  </si>
  <si>
    <t>COMPOSITE</t>
  </si>
  <si>
    <t>B.C</t>
  </si>
  <si>
    <t xml:space="preserve">BAILEY </t>
  </si>
  <si>
    <t xml:space="preserve">COMPOSITE </t>
  </si>
  <si>
    <t>BAILEY (M)</t>
  </si>
  <si>
    <t>20NR</t>
  </si>
  <si>
    <t>FAIR</t>
  </si>
  <si>
    <t>SEGREGATTION, SPALLING, VISIBLE AND CORRODED REINFORCEMENT</t>
  </si>
  <si>
    <t>TOTAL DAMAGE OF RAILINGS, CRACKS, CHIPPING OFF, CORRODEDREINFORCEMENTS, VEGETATION</t>
  </si>
  <si>
    <t>POTHOLES, DEPRESSION, SILTED DRAINS, CORRODED STEEL RAILING, NO DRAIN PIPES, SPALLING, VISIBLEREINFORCEMENTS, GULLIES, VEGETATION</t>
  </si>
  <si>
    <t>OPENING IN DECK, EXPOSED REINFORCEMENT, CHIIPING OFF, SEGREGATION, SPALLING, CRACKS, BAD APPROACH CONDITIONS, POTHOLES, SCOURING</t>
  </si>
  <si>
    <t>VEGETATION, EXPOSED REINFORCEMENT, CORRODED AND MISSING RAILING, DEPRESSION, CRACKS, SETTLEMENT</t>
  </si>
  <si>
    <t>DAMAGED PARAPET WALL, POTHOLE, CHIPPING OFF, SEGREGATION, EXPOSED REINFORCEMENT, CRACKS, SILTATION</t>
  </si>
  <si>
    <t>BROKEN PARAPET WALL, VISIBLE REINFORCEMENTS, CRACKS, DRY STALACTITE, CORROSION, SEGREGATION, SILTATION</t>
  </si>
  <si>
    <t>BROKEN PARAPET, VISIBLE REINFORCEMENTS, CRACKS</t>
  </si>
  <si>
    <t>CHIPPING OFF, SEGREGATION, SPALLING, VISIBLE REINFORCEMENTS, CRACKS, CORROSION OF STEEL GIRDERS, POOR ALIGNMENT, GULLIES, SETTLEMENT</t>
  </si>
  <si>
    <t>CHIPPING OFF, SEGREGATION, SPALLING, CORRODED REINFORCEMENTS, CRACKS, CORROSION OF STEEL GIRLDERS</t>
  </si>
  <si>
    <t>CRACKS, SILTED DRAINS, BROKEN CONCRETE CAPS, CHIPPING OFF</t>
  </si>
  <si>
    <t>BADUA</t>
  </si>
  <si>
    <t>TOTAL DAMAGE OF RAILING, DEFERENCE IN LEVELS, CHIPPING OFF, SEGREGATION, SPALLING, VISIBLE REINFORCEMENTS, CRACKS</t>
  </si>
  <si>
    <t>PRESTEA</t>
  </si>
  <si>
    <t>VEGETATION, MISSING STEEL RAILINGS, SILTED DRAINS, BLOCKED EXPANSION JOINTS, POTHOLES, DEPRESSION, STEP</t>
  </si>
  <si>
    <t>BROKEN PARAPET, SEGREGATION ON  ABUTMENT</t>
  </si>
  <si>
    <t>EXPOSED REINFORCEMENTS, SETTLEMENT, DEPRESSION</t>
  </si>
  <si>
    <t>VEGETATION, SILTED DRAINS, CORRODED RAILING, EXPOSED REINFORCEMENTS, SETTLEMENT, DEPRESSION, POTHOLES</t>
  </si>
  <si>
    <t>DAMAGES WITH BEARINGS, VISIBLE REINFORCEMENTS</t>
  </si>
  <si>
    <t>SPALLING ON GIRDERS, VISIBLE REINFORCEMENTS</t>
  </si>
  <si>
    <t>EXPOSED REINFORCEMENTS, CRACKS, SPALLING, VEGETATION</t>
  </si>
  <si>
    <t>EXPOSED REINFORCEMENTS, POROUS CONCRETE, SILTATION, VEGETATION</t>
  </si>
  <si>
    <t>EXPOSED REINFORCEMENTS, RUSTED SECTIONS, VEGETATION, DEBRIS</t>
  </si>
  <si>
    <t>EXPOSED REINFORCEMENTS, VEGETATION, DEBRIS</t>
  </si>
  <si>
    <t>VISIBLE REINFORCEMENTS, NARROW CARRIAGEWAY, CHIPPING OFF, SEGREGATION, DAMAGED PARAPET</t>
  </si>
  <si>
    <t>VISIBLE REINFORCEMENTS, CHIPPING OFF, SEGREGATION, BROKEN PARAPET</t>
  </si>
  <si>
    <t>VEGETATION, SCOURING OF ABUTMENTS BLOCKED EXPANSION JOINTS</t>
  </si>
  <si>
    <t>CENTRAL</t>
  </si>
  <si>
    <r>
      <rPr>
        <sz val="12"/>
        <color rgb="FFFF0000"/>
        <rFont val="Calibri"/>
        <family val="2"/>
        <scheme val="minor"/>
      </rPr>
      <t>STEEL</t>
    </r>
    <r>
      <rPr>
        <sz val="12"/>
        <color rgb="FF000000"/>
        <rFont val="Calibri"/>
        <family val="2"/>
        <scheme val="minor"/>
      </rPr>
      <t>.</t>
    </r>
  </si>
  <si>
    <t>RIVER  PRA</t>
  </si>
  <si>
    <t>RIVER AYENSU</t>
  </si>
  <si>
    <t>ORAPO RIVER</t>
  </si>
  <si>
    <t>OCHI RIVER</t>
  </si>
  <si>
    <t>BOYO RIVER</t>
  </si>
  <si>
    <t>RIVER OKYE</t>
  </si>
  <si>
    <t>AMISA OKYI RIVER</t>
  </si>
  <si>
    <t>BAKA RIVER</t>
  </si>
  <si>
    <t>SONSUA RIVER</t>
  </si>
  <si>
    <t>RIVER ASON</t>
  </si>
  <si>
    <t>ABUNAN RIVER</t>
  </si>
  <si>
    <t>OKYI RIVER</t>
  </si>
  <si>
    <t>RELIEF RIVER</t>
  </si>
  <si>
    <t>BINIBIN RIVER</t>
  </si>
  <si>
    <t>SOROWI RIVER</t>
  </si>
  <si>
    <t>KAKUM RIVER</t>
  </si>
  <si>
    <t>APLAPLE RIVER</t>
  </si>
  <si>
    <t>MINTA RIVER</t>
  </si>
  <si>
    <t>KAMEYANFO RIVER</t>
  </si>
  <si>
    <t>KOTOKYIE RIVER</t>
  </si>
  <si>
    <t>KYEREKUM RIVER</t>
  </si>
  <si>
    <t>SUBIRI RIVER</t>
  </si>
  <si>
    <t>APLAPU RIVER</t>
  </si>
  <si>
    <t>AKLESU RIVER</t>
  </si>
  <si>
    <t>SUBIN RIVER</t>
  </si>
  <si>
    <t>JUBRO RIVER</t>
  </si>
  <si>
    <t>RELEIF</t>
  </si>
  <si>
    <t>NANA APAKAMA RIVER</t>
  </si>
  <si>
    <t>NANA RANSU RIVER</t>
  </si>
  <si>
    <t>## RIVER</t>
  </si>
  <si>
    <t>SUONEE  RIVER</t>
  </si>
  <si>
    <t>GYIN RIVER</t>
  </si>
  <si>
    <t>DUABUNU RIVER</t>
  </si>
  <si>
    <t>BAZIE RIVER</t>
  </si>
  <si>
    <t>SUBRI RIVER</t>
  </si>
  <si>
    <t>SUBULE RIVER</t>
  </si>
  <si>
    <t>NORBAYAA RIVER</t>
  </si>
  <si>
    <t>ANKORA RIVER</t>
  </si>
  <si>
    <t>BRUMA RIVER</t>
  </si>
  <si>
    <t>NANA PEME RIVER</t>
  </si>
  <si>
    <t>FURE RIVER</t>
  </si>
  <si>
    <t>BISAA RIVER</t>
  </si>
  <si>
    <t>SAMRE RIVER</t>
  </si>
  <si>
    <t>ANKOBRA RIVER</t>
  </si>
  <si>
    <t>NANA KOTOTSEI RIVER</t>
  </si>
  <si>
    <t>ADJO RIVER</t>
  </si>
  <si>
    <t>TANO RIVER</t>
  </si>
  <si>
    <t>NANA SAMELE RIVER</t>
  </si>
  <si>
    <t>RIVER AKOBRA RIVER</t>
  </si>
  <si>
    <t>DESUE RIVER</t>
  </si>
  <si>
    <t>AMUMU RIVER</t>
  </si>
  <si>
    <t>SUBRI  RIVER</t>
  </si>
  <si>
    <t>TUTOA RIVER</t>
  </si>
  <si>
    <t>SUI RIVER</t>
  </si>
  <si>
    <t>FAWUMA RIVER</t>
  </si>
  <si>
    <t>BONSA RIVER</t>
  </si>
  <si>
    <t>BIA RIVER</t>
  </si>
  <si>
    <t>OPPONG RIVER</t>
  </si>
  <si>
    <t>PENE RIVER</t>
  </si>
  <si>
    <t>RIVER ASUBONE</t>
  </si>
  <si>
    <t>RIVER OWROBON</t>
  </si>
  <si>
    <t>RIVER SUBIRI</t>
  </si>
  <si>
    <t>RIVER AGUSU</t>
  </si>
  <si>
    <t>RIVER OYIM</t>
  </si>
  <si>
    <t>RIVER ASUKESE</t>
  </si>
  <si>
    <t>RIVER PRAM</t>
  </si>
  <si>
    <t>RIVER ASUABENA</t>
  </si>
  <si>
    <t>RIVER KOSIKO</t>
  </si>
  <si>
    <t>RIVER BONGHOLI</t>
  </si>
  <si>
    <t>BIRIM RIVER</t>
  </si>
  <si>
    <t xml:space="preserve"> RIVER BOAHEMASU</t>
  </si>
  <si>
    <t>RIVER BOBIRI</t>
  </si>
  <si>
    <t>RIVER PRA</t>
  </si>
  <si>
    <t>RIVER PONPON</t>
  </si>
  <si>
    <t>RIVER BEDIESI</t>
  </si>
  <si>
    <t>RIVER DENSU</t>
  </si>
  <si>
    <t xml:space="preserve"> RIVER AYENSU</t>
  </si>
  <si>
    <t>RIVER KUA</t>
  </si>
  <si>
    <t xml:space="preserve"> RIVER ABUKYANE</t>
  </si>
  <si>
    <t>RIVER SUPONG YAA</t>
  </si>
  <si>
    <t>RIVER GOLDA</t>
  </si>
  <si>
    <t>RIVER ABUKYENE</t>
  </si>
  <si>
    <t>RIVER MOR</t>
  </si>
  <si>
    <t>RIVER TABEN</t>
  </si>
  <si>
    <t>RIVER MAMAN</t>
  </si>
  <si>
    <t>RIVER BIRIM</t>
  </si>
  <si>
    <t>RIVER APEM</t>
  </si>
  <si>
    <t>RIVER AWURAM</t>
  </si>
  <si>
    <t>RIVER TWERETI</t>
  </si>
  <si>
    <t>RIVER OKWEI</t>
  </si>
  <si>
    <t>RIVER ONYIM</t>
  </si>
  <si>
    <t>RIVER NUNU</t>
  </si>
  <si>
    <t>RIVER KUMESO</t>
  </si>
  <si>
    <t>RIVER MAKRAN</t>
  </si>
  <si>
    <t>RIVER ABU</t>
  </si>
  <si>
    <t>RIVER ODA</t>
  </si>
  <si>
    <t>RIVER NWENE</t>
  </si>
  <si>
    <t>RIVER DEI</t>
  </si>
  <si>
    <t>RIVER BONE</t>
  </si>
  <si>
    <t>RAILWAY</t>
  </si>
  <si>
    <t>##</t>
  </si>
  <si>
    <t>RIVER AKEE</t>
  </si>
  <si>
    <t>RIVER BANKO</t>
  </si>
  <si>
    <t>RIVER KPOGLU</t>
  </si>
  <si>
    <t>RIVER TORDZE</t>
  </si>
  <si>
    <t>RIVER KPODEKPODE</t>
  </si>
  <si>
    <t>RIVER AMU</t>
  </si>
  <si>
    <t>RIVER ATOGO</t>
  </si>
  <si>
    <t>RIVER ALABO</t>
  </si>
  <si>
    <t>RIVER DAYI</t>
  </si>
  <si>
    <t>RIVER ASUKAWKAW</t>
  </si>
  <si>
    <t>RIVER CHEE</t>
  </si>
  <si>
    <t>RIVER WULUBU</t>
  </si>
  <si>
    <t>RIVER SARBO</t>
  </si>
  <si>
    <t>RIVER NYIWU</t>
  </si>
  <si>
    <t>RIVER WUTOR</t>
  </si>
  <si>
    <t>RIVER KOLOE</t>
  </si>
  <si>
    <t>RIVER TSAWE</t>
  </si>
  <si>
    <t>RIVER  KPLIKPA</t>
  </si>
  <si>
    <t>DINHI RIVER</t>
  </si>
  <si>
    <t>TAMFI RIVER</t>
  </si>
  <si>
    <t>PRU RIVER</t>
  </si>
  <si>
    <t>FIAN RIVER</t>
  </si>
  <si>
    <t>RIVER TANO</t>
  </si>
  <si>
    <t>SUBRE RIVER</t>
  </si>
  <si>
    <t>KWASU RIVER</t>
  </si>
  <si>
    <t>WORAMUMU RIVER</t>
  </si>
  <si>
    <t>GOA RIVER</t>
  </si>
  <si>
    <t>NYINBIRI RIVER</t>
  </si>
  <si>
    <t>TAIN RIVER</t>
  </si>
  <si>
    <t>##RIVER</t>
  </si>
  <si>
    <t>OTI RIVER</t>
  </si>
  <si>
    <t>TAKPA RIVER</t>
  </si>
  <si>
    <t>BLIGA RIVER</t>
  </si>
  <si>
    <t>KUMBA RIVER</t>
  </si>
  <si>
    <t>WAMPULI RIVER</t>
  </si>
  <si>
    <t>DAKA RIVER</t>
  </si>
  <si>
    <t>RIVER TILLI</t>
  </si>
  <si>
    <t>BASICA RIVER</t>
  </si>
  <si>
    <t>RIVER DUOBAA</t>
  </si>
  <si>
    <t>RIVER JUMO WARE</t>
  </si>
  <si>
    <t>RIVER KALANGMUA</t>
  </si>
  <si>
    <t>RIVER KAMBA</t>
  </si>
  <si>
    <t>RIVER KOLPONG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</si>
</sst>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9" fillId="0" borderId="0"/>
  </cellStyleXfs>
  <cellXfs count="128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/>
    <xf numFmtId="164" fontId="0" fillId="0" borderId="0" xfId="3" applyNumberFormat="1" applyFont="1"/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9" borderId="1" xfId="0" applyFont="1" applyFill="1" applyBorder="1" applyAlignment="1" applyProtection="1">
      <alignment horizontal="center" vertical="center"/>
    </xf>
    <xf numFmtId="0" fontId="2" fillId="9" borderId="0" xfId="0" applyFont="1" applyFill="1" applyAlignment="1" applyProtection="1">
      <alignment horizontal="center"/>
    </xf>
    <xf numFmtId="164" fontId="0" fillId="0" borderId="1" xfId="3" applyNumberFormat="1" applyFont="1" applyBorder="1"/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3" fillId="0" borderId="1" xfId="0" applyFont="1" applyBorder="1"/>
    <xf numFmtId="0" fontId="11" fillId="0" borderId="1" xfId="0" applyFont="1" applyBorder="1"/>
    <xf numFmtId="0" fontId="0" fillId="0" borderId="0" xfId="0" applyFill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6" fillId="9" borderId="1" xfId="0" applyFont="1" applyFill="1" applyBorder="1" applyAlignment="1" applyProtection="1">
      <alignment horizontal="center" vertical="center" wrapText="1"/>
    </xf>
    <xf numFmtId="0" fontId="10" fillId="9" borderId="0" xfId="0" applyFont="1" applyFill="1" applyAlignment="1" applyProtection="1">
      <alignment horizontal="center"/>
    </xf>
    <xf numFmtId="0" fontId="10" fillId="9" borderId="0" xfId="0" applyFont="1" applyFill="1" applyAlignment="1" applyProtection="1">
      <alignment horizontal="center" vertical="center"/>
    </xf>
    <xf numFmtId="3" fontId="12" fillId="0" borderId="1" xfId="0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vertical="center"/>
    </xf>
    <xf numFmtId="0" fontId="4" fillId="0" borderId="1" xfId="4" applyFont="1" applyFill="1" applyBorder="1" applyAlignment="1">
      <alignment horizontal="left" vertical="top" wrapText="1"/>
    </xf>
    <xf numFmtId="0" fontId="4" fillId="0" borderId="1" xfId="4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0" fontId="4" fillId="0" borderId="1" xfId="4" applyFont="1" applyFill="1" applyBorder="1" applyAlignment="1">
      <alignment vertical="center" wrapText="1"/>
    </xf>
    <xf numFmtId="0" fontId="4" fillId="0" borderId="1" xfId="4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6" fillId="9" borderId="1" xfId="0" applyFont="1" applyFill="1" applyBorder="1" applyAlignment="1" applyProtection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7" fillId="0" borderId="1" xfId="4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4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5">
    <cellStyle name="Comma" xfId="3" builtinId="3"/>
    <cellStyle name="Normal" xfId="0" builtinId="0"/>
    <cellStyle name="Normal 2" xfId="4"/>
    <cellStyle name="Normal 2 2" xfId="1"/>
    <cellStyle name="Normal 2 3" xfId="2"/>
  </cellStyles>
  <dxfs count="0"/>
  <tableStyles count="0" defaultTableStyle="TableStyleMedium2" defaultPivotStyle="PivotStyleLight16"/>
  <colors>
    <mruColors>
      <color rgb="FF99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47430289162576"/>
          <c:y val="0.12286544045456588"/>
          <c:w val="0.80652569710837452"/>
          <c:h val="0.66051621727930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BUILT'!$B$1</c:f>
              <c:strCache>
                <c:ptCount val="1"/>
                <c:pt idx="0">
                  <c:v>NO. OF BRIDGES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BUILT'!$A$2:$A$12</c:f>
              <c:strCache>
                <c:ptCount val="11"/>
                <c:pt idx="0">
                  <c:v>BEFORE 1930</c:v>
                </c:pt>
                <c:pt idx="1">
                  <c:v>1930-1939</c:v>
                </c:pt>
                <c:pt idx="2">
                  <c:v>1940-1949</c:v>
                </c:pt>
                <c:pt idx="3">
                  <c:v>1950-1959</c:v>
                </c:pt>
                <c:pt idx="4">
                  <c:v>1960-1969</c:v>
                </c:pt>
                <c:pt idx="5">
                  <c:v>1970-1979</c:v>
                </c:pt>
                <c:pt idx="6">
                  <c:v>1980-1989</c:v>
                </c:pt>
                <c:pt idx="7">
                  <c:v>1990-1999</c:v>
                </c:pt>
                <c:pt idx="8">
                  <c:v>2000-2009</c:v>
                </c:pt>
                <c:pt idx="9">
                  <c:v>2010-2019</c:v>
                </c:pt>
                <c:pt idx="10">
                  <c:v>UNKNOWN</c:v>
                </c:pt>
              </c:strCache>
            </c:strRef>
          </c:cat>
          <c:val>
            <c:numRef>
              <c:f>'YEAR BUILT'!$B$2:$B$12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ED-4AD0-90A3-89E86B55B3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332898976"/>
        <c:axId val="-332895168"/>
      </c:barChart>
      <c:catAx>
        <c:axId val="-3328989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CONSTRUCTION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5168"/>
        <c:crosses val="autoZero"/>
        <c:auto val="1"/>
        <c:lblAlgn val="ctr"/>
        <c:lblOffset val="100"/>
        <c:noMultiLvlLbl val="0"/>
      </c:catAx>
      <c:valAx>
        <c:axId val="-332895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BRIDGES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TEMPORARY</a:t>
            </a:r>
            <a:r>
              <a:rPr lang="en-US" baseline="0"/>
              <a:t> vs PERMANENT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'TEMPORARY VS PERMANENT'!$A$1</c:f>
              <c:strCache>
                <c:ptCount val="1"/>
                <c:pt idx="0">
                  <c:v>PERMANENT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'TEMPORARY VS PERMANENT'!$A$2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13-46C1-9502-6265A8149052}"/>
            </c:ext>
          </c:extLst>
        </c:ser>
        <c:ser>
          <c:idx val="1"/>
          <c:order val="1"/>
          <c:tx>
            <c:strRef>
              <c:f>'TEMPORARY VS PERMANENT'!$B$1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'TEMPORARY VS PERMANENT'!$B$2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13-46C1-9502-6265A8149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332894624"/>
        <c:axId val="-332894080"/>
      </c:barChart>
      <c:catAx>
        <c:axId val="-3328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4080"/>
        <c:crosses val="autoZero"/>
        <c:auto val="1"/>
        <c:lblAlgn val="ctr"/>
        <c:lblOffset val="100"/>
        <c:noMultiLvlLbl val="0"/>
      </c:catAx>
      <c:valAx>
        <c:axId val="-332894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328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'LENGTH OF BRIDGES'!$A$3</c:f>
              <c:strCache>
                <c:ptCount val="1"/>
                <c:pt idx="0">
                  <c:v>LENGHT OF ROAD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'LENGTH OF BRIDGES'!$A$4</c:f>
              <c:numCache>
                <c:formatCode>_(* #,##0_);_(* \(#,##0\);_(* "-"??_);_(@_)</c:formatCode>
                <c:ptCount val="1"/>
                <c:pt idx="0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F6-4571-A1CC-F9618C6FF62C}"/>
            </c:ext>
          </c:extLst>
        </c:ser>
        <c:ser>
          <c:idx val="1"/>
          <c:order val="1"/>
          <c:tx>
            <c:strRef>
              <c:f>'LENGTH OF BRIDGES'!$B$3</c:f>
              <c:strCache>
                <c:ptCount val="1"/>
                <c:pt idx="0">
                  <c:v>LENGTH OF BRIDGES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'LENGTH OF BRIDGES'!$B$4</c:f>
              <c:numCache>
                <c:formatCode>_(* #,##0_);_(* \(#,##0\);_(* "-"??_);_(@_)</c:formatCode>
                <c:ptCount val="1"/>
                <c:pt idx="0">
                  <c:v>18.399999999999999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F6-4571-A1CC-F9618C6FF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332893536"/>
        <c:axId val="-332902240"/>
      </c:barChart>
      <c:catAx>
        <c:axId val="-3328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02240"/>
        <c:crosses val="autoZero"/>
        <c:auto val="1"/>
        <c:lblAlgn val="ctr"/>
        <c:lblOffset val="100"/>
        <c:noMultiLvlLbl val="0"/>
      </c:catAx>
      <c:valAx>
        <c:axId val="-33290224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-332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'MAXIMUM SPAN'!$B$1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'MAXIMUM SPAN'!$A$2:$A$8</c:f>
              <c:strCache>
                <c:ptCount val="7"/>
                <c:pt idx="0">
                  <c:v>BELOW 12</c:v>
                </c:pt>
                <c:pt idx="1">
                  <c:v>12-19.9</c:v>
                </c:pt>
                <c:pt idx="2">
                  <c:v>20-29.9</c:v>
                </c:pt>
                <c:pt idx="3">
                  <c:v>30-39.9</c:v>
                </c:pt>
                <c:pt idx="4">
                  <c:v>40 - 49.9</c:v>
                </c:pt>
                <c:pt idx="5">
                  <c:v>50 AND ABOVE</c:v>
                </c:pt>
                <c:pt idx="6">
                  <c:v>UNKNOWN</c:v>
                </c:pt>
              </c:strCache>
            </c:strRef>
          </c:cat>
          <c:val>
            <c:numRef>
              <c:f>'MAXIMUM SPAN'!$B$2:$B$8</c:f>
              <c:numCache>
                <c:formatCode>General</c:formatCode>
                <c:ptCount val="7"/>
                <c:pt idx="0">
                  <c:v>78</c:v>
                </c:pt>
                <c:pt idx="1">
                  <c:v>18</c:v>
                </c:pt>
                <c:pt idx="2">
                  <c:v>26</c:v>
                </c:pt>
                <c:pt idx="3">
                  <c:v>12</c:v>
                </c:pt>
                <c:pt idx="4">
                  <c:v>1</c:v>
                </c:pt>
                <c:pt idx="5">
                  <c:v>6</c:v>
                </c:pt>
                <c:pt idx="6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E9-4B5A-A185-6E9F57B78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32901152"/>
        <c:axId val="-332897888"/>
      </c:barChart>
      <c:catAx>
        <c:axId val="-3329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7888"/>
        <c:crosses val="autoZero"/>
        <c:auto val="1"/>
        <c:lblAlgn val="ctr"/>
        <c:lblOffset val="100"/>
        <c:noMultiLvlLbl val="0"/>
      </c:catAx>
      <c:valAx>
        <c:axId val="-3328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ADT!$B$1</c:f>
              <c:strCache>
                <c:ptCount val="1"/>
                <c:pt idx="0">
                  <c:v>NO. OF BRIDGES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ADT!$A$2:$A$5</c:f>
              <c:strCache>
                <c:ptCount val="4"/>
                <c:pt idx="0">
                  <c:v>0-4000</c:v>
                </c:pt>
                <c:pt idx="1">
                  <c:v>4000-8000</c:v>
                </c:pt>
                <c:pt idx="2">
                  <c:v>8000 AND ABOVE</c:v>
                </c:pt>
                <c:pt idx="3">
                  <c:v>UNKNOWN</c:v>
                </c:pt>
              </c:strCache>
            </c:strRef>
          </c:cat>
          <c:val>
            <c:numRef>
              <c:f>ADT!$B$2:$B$5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4D-40D9-8D12-AAA4796A1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32897344"/>
        <c:axId val="-372086768"/>
      </c:barChart>
      <c:catAx>
        <c:axId val="-332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086768"/>
        <c:crosses val="autoZero"/>
        <c:auto val="1"/>
        <c:lblAlgn val="ctr"/>
        <c:lblOffset val="100"/>
        <c:noMultiLvlLbl val="0"/>
      </c:catAx>
      <c:valAx>
        <c:axId val="-372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BFD4EEA-6570-4E2B-BE34-3EEA29E07436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F9256A10-AB40-4B05-9579-7C484F88F350}">
      <dgm:prSet phldrT="[Text]" custT="1"/>
      <dgm:spPr>
        <a:solidFill>
          <a:srgbClr val="0070C0">
            <a:alpha val="50000"/>
          </a:srgbClr>
        </a:solidFill>
      </dgm:spPr>
      <dgm:t>
        <a:bodyPr/>
        <a:lstStyle/>
        <a:p>
          <a:endParaRPr lang="en-US"/>
        </a:p>
      </dgm:t>
    </dgm:pt>
    <dgm:pt modelId="{78D21D82-0D50-4A65-B041-0428E0011466}" type="parTrans" cxnId="{20B76AAF-0232-4AB1-B902-95CC21FECA95}">
      <dgm:prSet/>
      <dgm:spPr/>
      <dgm:t>
        <a:bodyPr/>
        <a:lstStyle/>
        <a:p>
          <a:endParaRPr lang="en-US"/>
        </a:p>
      </dgm:t>
    </dgm:pt>
    <dgm:pt modelId="{4647EB4A-2517-4D3F-9E9F-E528937EB43F}" type="sibTrans" cxnId="{20B76AAF-0232-4AB1-B902-95CC21FECA95}">
      <dgm:prSet/>
      <dgm:spPr/>
      <dgm:t>
        <a:bodyPr/>
        <a:lstStyle/>
        <a:p>
          <a:endParaRPr lang="en-US"/>
        </a:p>
      </dgm:t>
    </dgm:pt>
    <dgm:pt modelId="{4B7A9E78-E44C-4C60-9465-0FB7DC88CFDB}">
      <dgm:prSet phldrT="[Text]" custT="1"/>
      <dgm:spPr>
        <a:solidFill>
          <a:srgbClr val="FFFF00">
            <a:alpha val="50000"/>
          </a:srgbClr>
        </a:solidFill>
      </dgm:spPr>
      <dgm:t>
        <a:bodyPr/>
        <a:lstStyle/>
        <a:p>
          <a:r>
            <a:rPr lang="en-US" sz="1800"/>
            <a:t> </a:t>
          </a:r>
        </a:p>
      </dgm:t>
    </dgm:pt>
    <dgm:pt modelId="{418ED074-4D14-48B5-94E3-62EC99E4A5EF}" type="parTrans" cxnId="{20EE08E1-AF98-4D2B-9568-30DD4EF21003}">
      <dgm:prSet/>
      <dgm:spPr/>
      <dgm:t>
        <a:bodyPr/>
        <a:lstStyle/>
        <a:p>
          <a:endParaRPr lang="en-US"/>
        </a:p>
      </dgm:t>
    </dgm:pt>
    <dgm:pt modelId="{40FD3B07-D981-46AE-9871-2461BD2D1546}" type="sibTrans" cxnId="{20EE08E1-AF98-4D2B-9568-30DD4EF21003}">
      <dgm:prSet/>
      <dgm:spPr/>
      <dgm:t>
        <a:bodyPr/>
        <a:lstStyle/>
        <a:p>
          <a:endParaRPr lang="en-US"/>
        </a:p>
      </dgm:t>
    </dgm:pt>
    <dgm:pt modelId="{AADC97AC-ACB2-4D80-98CD-8469370EE2FA}">
      <dgm:prSet phldrT="[Text]" custT="1"/>
      <dgm:spPr>
        <a:solidFill>
          <a:srgbClr val="FF0000">
            <a:alpha val="50000"/>
          </a:srgbClr>
        </a:solidFill>
      </dgm:spPr>
      <dgm:t>
        <a:bodyPr/>
        <a:lstStyle/>
        <a:p>
          <a:endParaRPr lang="en-US" sz="1800"/>
        </a:p>
      </dgm:t>
    </dgm:pt>
    <dgm:pt modelId="{1794330B-C245-4CB2-945A-C6C6359DF7C7}" type="sibTrans" cxnId="{EC6E673F-63AB-4FF9-93DB-88919D6B222E}">
      <dgm:prSet/>
      <dgm:spPr/>
      <dgm:t>
        <a:bodyPr/>
        <a:lstStyle/>
        <a:p>
          <a:endParaRPr lang="en-US"/>
        </a:p>
      </dgm:t>
    </dgm:pt>
    <dgm:pt modelId="{0B7DACE3-E791-4FC5-AA35-60B74A175C8E}" type="parTrans" cxnId="{EC6E673F-63AB-4FF9-93DB-88919D6B222E}">
      <dgm:prSet/>
      <dgm:spPr/>
      <dgm:t>
        <a:bodyPr/>
        <a:lstStyle/>
        <a:p>
          <a:endParaRPr lang="en-US"/>
        </a:p>
      </dgm:t>
    </dgm:pt>
    <dgm:pt modelId="{BA2407B4-B9FB-487C-B72C-CC079086EE77}" type="pres">
      <dgm:prSet presAssocID="{7BFD4EEA-6570-4E2B-BE34-3EEA29E07436}" presName="compositeShape" presStyleCnt="0">
        <dgm:presLayoutVars>
          <dgm:chMax val="7"/>
          <dgm:dir/>
          <dgm:resizeHandles val="exact"/>
        </dgm:presLayoutVars>
      </dgm:prSet>
      <dgm:spPr/>
    </dgm:pt>
    <dgm:pt modelId="{AFF599D3-9FD7-48C0-9C6C-D419884613B6}" type="pres">
      <dgm:prSet presAssocID="{AADC97AC-ACB2-4D80-98CD-8469370EE2FA}" presName="circ1" presStyleLbl="vennNode1" presStyleIdx="0" presStyleCnt="3" custLinFactNeighborX="-685" custLinFactNeighborY="-4676"/>
      <dgm:spPr/>
      <dgm:t>
        <a:bodyPr/>
        <a:lstStyle/>
        <a:p>
          <a:endParaRPr lang="en-US"/>
        </a:p>
      </dgm:t>
    </dgm:pt>
    <dgm:pt modelId="{0948AA97-6811-458C-A4F4-45892B0C05DB}" type="pres">
      <dgm:prSet presAssocID="{AADC97AC-ACB2-4D80-98CD-8469370EE2FA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5446D67-A025-4CDA-AA8B-D5680FE7B73D}" type="pres">
      <dgm:prSet presAssocID="{F9256A10-AB40-4B05-9579-7C484F88F350}" presName="circ2" presStyleLbl="vennNode1" presStyleIdx="1" presStyleCnt="3" custLinFactNeighborX="3029" custLinFactNeighborY="-20677"/>
      <dgm:spPr/>
      <dgm:t>
        <a:bodyPr/>
        <a:lstStyle/>
        <a:p>
          <a:endParaRPr lang="en-US"/>
        </a:p>
      </dgm:t>
    </dgm:pt>
    <dgm:pt modelId="{EAADE4C0-C5ED-4865-9896-5418E91CC812}" type="pres">
      <dgm:prSet presAssocID="{F9256A10-AB40-4B05-9579-7C484F88F350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5DD3CFC-3F43-4D90-BCCA-A2540C1B8577}" type="pres">
      <dgm:prSet presAssocID="{4B7A9E78-E44C-4C60-9465-0FB7DC88CFDB}" presName="circ3" presStyleLbl="vennNode1" presStyleIdx="2" presStyleCnt="3" custLinFactNeighborX="9883" custLinFactNeighborY="-18701"/>
      <dgm:spPr/>
      <dgm:t>
        <a:bodyPr/>
        <a:lstStyle/>
        <a:p>
          <a:endParaRPr lang="en-US"/>
        </a:p>
      </dgm:t>
    </dgm:pt>
    <dgm:pt modelId="{598A9D86-A6F1-450C-9DC0-739CDC1DE69F}" type="pres">
      <dgm:prSet presAssocID="{4B7A9E78-E44C-4C60-9465-0FB7DC88CFDB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C6E673F-63AB-4FF9-93DB-88919D6B222E}" srcId="{7BFD4EEA-6570-4E2B-BE34-3EEA29E07436}" destId="{AADC97AC-ACB2-4D80-98CD-8469370EE2FA}" srcOrd="0" destOrd="0" parTransId="{0B7DACE3-E791-4FC5-AA35-60B74A175C8E}" sibTransId="{1794330B-C245-4CB2-945A-C6C6359DF7C7}"/>
    <dgm:cxn modelId="{20EE08E1-AF98-4D2B-9568-30DD4EF21003}" srcId="{7BFD4EEA-6570-4E2B-BE34-3EEA29E07436}" destId="{4B7A9E78-E44C-4C60-9465-0FB7DC88CFDB}" srcOrd="2" destOrd="0" parTransId="{418ED074-4D14-48B5-94E3-62EC99E4A5EF}" sibTransId="{40FD3B07-D981-46AE-9871-2461BD2D1546}"/>
    <dgm:cxn modelId="{A2792675-F7FA-423D-BBFB-134EA5535B96}" type="presOf" srcId="{AADC97AC-ACB2-4D80-98CD-8469370EE2FA}" destId="{0948AA97-6811-458C-A4F4-45892B0C05DB}" srcOrd="1" destOrd="0" presId="urn:microsoft.com/office/officeart/2005/8/layout/venn1"/>
    <dgm:cxn modelId="{7E2C88F8-9D1B-47C0-A8B6-F1A8E844A4AF}" type="presOf" srcId="{4B7A9E78-E44C-4C60-9465-0FB7DC88CFDB}" destId="{C5DD3CFC-3F43-4D90-BCCA-A2540C1B8577}" srcOrd="0" destOrd="0" presId="urn:microsoft.com/office/officeart/2005/8/layout/venn1"/>
    <dgm:cxn modelId="{20B76AAF-0232-4AB1-B902-95CC21FECA95}" srcId="{7BFD4EEA-6570-4E2B-BE34-3EEA29E07436}" destId="{F9256A10-AB40-4B05-9579-7C484F88F350}" srcOrd="1" destOrd="0" parTransId="{78D21D82-0D50-4A65-B041-0428E0011466}" sibTransId="{4647EB4A-2517-4D3F-9E9F-E528937EB43F}"/>
    <dgm:cxn modelId="{B74D30E9-5D96-4F1D-9A29-CD08C8D94482}" type="presOf" srcId="{4B7A9E78-E44C-4C60-9465-0FB7DC88CFDB}" destId="{598A9D86-A6F1-450C-9DC0-739CDC1DE69F}" srcOrd="1" destOrd="0" presId="urn:microsoft.com/office/officeart/2005/8/layout/venn1"/>
    <dgm:cxn modelId="{50C2AA8B-025C-407D-8DBB-EE417F1B6681}" type="presOf" srcId="{7BFD4EEA-6570-4E2B-BE34-3EEA29E07436}" destId="{BA2407B4-B9FB-487C-B72C-CC079086EE77}" srcOrd="0" destOrd="0" presId="urn:microsoft.com/office/officeart/2005/8/layout/venn1"/>
    <dgm:cxn modelId="{02FA2B9C-F519-4CE3-B5DF-CF1C577FE698}" type="presOf" srcId="{AADC97AC-ACB2-4D80-98CD-8469370EE2FA}" destId="{AFF599D3-9FD7-48C0-9C6C-D419884613B6}" srcOrd="0" destOrd="0" presId="urn:microsoft.com/office/officeart/2005/8/layout/venn1"/>
    <dgm:cxn modelId="{497E8091-DC62-4DF7-B7B1-A68A9D2C9C9D}" type="presOf" srcId="{F9256A10-AB40-4B05-9579-7C484F88F350}" destId="{85446D67-A025-4CDA-AA8B-D5680FE7B73D}" srcOrd="0" destOrd="0" presId="urn:microsoft.com/office/officeart/2005/8/layout/venn1"/>
    <dgm:cxn modelId="{24F90CFC-7D76-4C09-84DC-15585EDFFE0B}" type="presOf" srcId="{F9256A10-AB40-4B05-9579-7C484F88F350}" destId="{EAADE4C0-C5ED-4865-9896-5418E91CC812}" srcOrd="1" destOrd="0" presId="urn:microsoft.com/office/officeart/2005/8/layout/venn1"/>
    <dgm:cxn modelId="{EAA1062B-49EE-4EC1-9023-E5AF3984787A}" type="presParOf" srcId="{BA2407B4-B9FB-487C-B72C-CC079086EE77}" destId="{AFF599D3-9FD7-48C0-9C6C-D419884613B6}" srcOrd="0" destOrd="0" presId="urn:microsoft.com/office/officeart/2005/8/layout/venn1"/>
    <dgm:cxn modelId="{39A7618E-6420-4B05-968E-56AA019F9E0C}" type="presParOf" srcId="{BA2407B4-B9FB-487C-B72C-CC079086EE77}" destId="{0948AA97-6811-458C-A4F4-45892B0C05DB}" srcOrd="1" destOrd="0" presId="urn:microsoft.com/office/officeart/2005/8/layout/venn1"/>
    <dgm:cxn modelId="{CF60BA06-90FF-4808-BED5-C8BE7AF7DC5B}" type="presParOf" srcId="{BA2407B4-B9FB-487C-B72C-CC079086EE77}" destId="{85446D67-A025-4CDA-AA8B-D5680FE7B73D}" srcOrd="2" destOrd="0" presId="urn:microsoft.com/office/officeart/2005/8/layout/venn1"/>
    <dgm:cxn modelId="{C9C62749-08A4-4B41-AA11-C7D5168E2315}" type="presParOf" srcId="{BA2407B4-B9FB-487C-B72C-CC079086EE77}" destId="{EAADE4C0-C5ED-4865-9896-5418E91CC812}" srcOrd="3" destOrd="0" presId="urn:microsoft.com/office/officeart/2005/8/layout/venn1"/>
    <dgm:cxn modelId="{64C7D8FD-9BCC-403F-802A-80CB90760B80}" type="presParOf" srcId="{BA2407B4-B9FB-487C-B72C-CC079086EE77}" destId="{C5DD3CFC-3F43-4D90-BCCA-A2540C1B8577}" srcOrd="4" destOrd="0" presId="urn:microsoft.com/office/officeart/2005/8/layout/venn1"/>
    <dgm:cxn modelId="{0F2FDA85-7405-454D-9A7A-9E9188B42F8A}" type="presParOf" srcId="{BA2407B4-B9FB-487C-B72C-CC079086EE77}" destId="{598A9D86-A6F1-450C-9DC0-739CDC1DE69F}" srcOrd="5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10</xdr:col>
      <xdr:colOff>666751</xdr:colOff>
      <xdr:row>26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523875</xdr:colOff>
      <xdr:row>17</xdr:row>
      <xdr:rowOff>180975</xdr:rowOff>
    </xdr:from>
    <xdr:to>
      <xdr:col>4</xdr:col>
      <xdr:colOff>428625</xdr:colOff>
      <xdr:row>19</xdr:row>
      <xdr:rowOff>9525</xdr:rowOff>
    </xdr:to>
    <xdr:sp macro="" textlink="$Q$20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4314825" y="3419475"/>
          <a:ext cx="5143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7619EF-3BC3-44FA-9152-89EF13ED93F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17</a:t>
          </a:fld>
          <a:endParaRPr lang="en-US" sz="1100"/>
        </a:p>
      </xdr:txBody>
    </xdr:sp>
    <xdr:clientData/>
  </xdr:twoCellAnchor>
  <xdr:twoCellAnchor>
    <xdr:from>
      <xdr:col>3</xdr:col>
      <xdr:colOff>476250</xdr:colOff>
      <xdr:row>13</xdr:row>
      <xdr:rowOff>142874</xdr:rowOff>
    </xdr:from>
    <xdr:to>
      <xdr:col>4</xdr:col>
      <xdr:colOff>381000</xdr:colOff>
      <xdr:row>14</xdr:row>
      <xdr:rowOff>152399</xdr:rowOff>
    </xdr:to>
    <xdr:sp macro="" textlink="S19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4267200" y="2619374"/>
          <a:ext cx="5143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748C1D-08A3-417E-9727-053802A3219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</a:t>
          </a:fld>
          <a:endParaRPr lang="en-US" sz="1100"/>
        </a:p>
      </xdr:txBody>
    </xdr:sp>
    <xdr:clientData/>
  </xdr:twoCellAnchor>
  <xdr:twoCellAnchor>
    <xdr:from>
      <xdr:col>5</xdr:col>
      <xdr:colOff>56029</xdr:colOff>
      <xdr:row>10</xdr:row>
      <xdr:rowOff>177613</xdr:rowOff>
    </xdr:from>
    <xdr:to>
      <xdr:col>5</xdr:col>
      <xdr:colOff>570379</xdr:colOff>
      <xdr:row>12</xdr:row>
      <xdr:rowOff>6163</xdr:rowOff>
    </xdr:to>
    <xdr:sp macro="" textlink="$P$2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5053853" y="2082613"/>
          <a:ext cx="5143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8A4BD1-5649-4FB3-8EC3-EDCFDCB7E63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</a:t>
          </a:fld>
          <a:endParaRPr lang="en-US" sz="1100"/>
        </a:p>
      </xdr:txBody>
    </xdr:sp>
    <xdr:clientData/>
  </xdr:twoCellAnchor>
  <xdr:twoCellAnchor>
    <xdr:from>
      <xdr:col>2</xdr:col>
      <xdr:colOff>257175</xdr:colOff>
      <xdr:row>11</xdr:row>
      <xdr:rowOff>95250</xdr:rowOff>
    </xdr:from>
    <xdr:to>
      <xdr:col>3</xdr:col>
      <xdr:colOff>95250</xdr:colOff>
      <xdr:row>12</xdr:row>
      <xdr:rowOff>114300</xdr:rowOff>
    </xdr:to>
    <xdr:sp macro="" textlink="$R$20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3371850" y="2190750"/>
          <a:ext cx="5143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6DD4A6-63CA-4F7C-861D-8770C9BA97A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13</a:t>
          </a:fld>
          <a:endParaRPr lang="en-US" sz="1100"/>
        </a:p>
      </xdr:txBody>
    </xdr:sp>
    <xdr:clientData/>
  </xdr:twoCellAnchor>
  <xdr:twoCellAnchor>
    <xdr:from>
      <xdr:col>0</xdr:col>
      <xdr:colOff>1357594</xdr:colOff>
      <xdr:row>8</xdr:row>
      <xdr:rowOff>118221</xdr:rowOff>
    </xdr:from>
    <xdr:to>
      <xdr:col>1</xdr:col>
      <xdr:colOff>616323</xdr:colOff>
      <xdr:row>11</xdr:row>
      <xdr:rowOff>13446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1357594" y="1642221"/>
          <a:ext cx="1208553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SAFETY INCONSISTENT</a:t>
          </a:r>
        </a:p>
      </xdr:txBody>
    </xdr:sp>
    <xdr:clientData/>
  </xdr:twoCellAnchor>
  <xdr:twoCellAnchor>
    <xdr:from>
      <xdr:col>2</xdr:col>
      <xdr:colOff>400049</xdr:colOff>
      <xdr:row>0</xdr:row>
      <xdr:rowOff>38100</xdr:rowOff>
    </xdr:from>
    <xdr:to>
      <xdr:col>5</xdr:col>
      <xdr:colOff>400049</xdr:colOff>
      <xdr:row>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3514724" y="38100"/>
          <a:ext cx="1895475" cy="257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STRUCTURALLY DEFICIENT</a:t>
          </a:r>
        </a:p>
      </xdr:txBody>
    </xdr:sp>
    <xdr:clientData/>
  </xdr:twoCellAnchor>
  <xdr:twoCellAnchor>
    <xdr:from>
      <xdr:col>6</xdr:col>
      <xdr:colOff>609600</xdr:colOff>
      <xdr:row>6</xdr:row>
      <xdr:rowOff>171449</xdr:rowOff>
    </xdr:from>
    <xdr:to>
      <xdr:col>8</xdr:col>
      <xdr:colOff>485775</xdr:colOff>
      <xdr:row>9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6229350" y="1314449"/>
          <a:ext cx="1162050" cy="45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FUNCTIONALLY OBSOLETE</a:t>
          </a:r>
        </a:p>
      </xdr:txBody>
    </xdr:sp>
    <xdr:clientData/>
  </xdr:twoCellAnchor>
  <xdr:twoCellAnchor>
    <xdr:from>
      <xdr:col>3</xdr:col>
      <xdr:colOff>469527</xdr:colOff>
      <xdr:row>5</xdr:row>
      <xdr:rowOff>128867</xdr:rowOff>
    </xdr:from>
    <xdr:to>
      <xdr:col>4</xdr:col>
      <xdr:colOff>374837</xdr:colOff>
      <xdr:row>6</xdr:row>
      <xdr:rowOff>147917</xdr:rowOff>
    </xdr:to>
    <xdr:sp macro="" textlink="$N$20">
      <xdr:nvSpPr>
        <xdr:cNvPr id="11" name="TextBox 10">
          <a:extLst>
            <a:ext uri="{FF2B5EF4-FFF2-40B4-BE49-F238E27FC236}">
              <a16:creationId xmlns:a16="http://schemas.microsoft.com/office/drawing/2014/main" xmlns="" id="{1346DA47-EF64-49A9-B699-C99D19294C88}"/>
            </a:ext>
          </a:extLst>
        </xdr:cNvPr>
        <xdr:cNvSpPr txBox="1"/>
      </xdr:nvSpPr>
      <xdr:spPr>
        <a:xfrm>
          <a:off x="4257115" y="1081367"/>
          <a:ext cx="510428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2C0F30-604F-4DCB-AD42-B253A5688ED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</a:t>
          </a:fld>
          <a:endParaRPr lang="en-US" sz="1100"/>
        </a:p>
      </xdr:txBody>
    </xdr:sp>
    <xdr:clientData/>
  </xdr:twoCellAnchor>
  <xdr:twoCellAnchor>
    <xdr:from>
      <xdr:col>6</xdr:col>
      <xdr:colOff>207309</xdr:colOff>
      <xdr:row>15</xdr:row>
      <xdr:rowOff>169208</xdr:rowOff>
    </xdr:from>
    <xdr:to>
      <xdr:col>7</xdr:col>
      <xdr:colOff>45384</xdr:colOff>
      <xdr:row>16</xdr:row>
      <xdr:rowOff>188258</xdr:rowOff>
    </xdr:to>
    <xdr:sp macro="" textlink="M20">
      <xdr:nvSpPr>
        <xdr:cNvPr id="12" name="TextBox 11">
          <a:extLst>
            <a:ext uri="{FF2B5EF4-FFF2-40B4-BE49-F238E27FC236}">
              <a16:creationId xmlns:a16="http://schemas.microsoft.com/office/drawing/2014/main" xmlns="" id="{876424E6-0BEF-4A42-B147-4107E0803E41}"/>
            </a:ext>
          </a:extLst>
        </xdr:cNvPr>
        <xdr:cNvSpPr txBox="1"/>
      </xdr:nvSpPr>
      <xdr:spPr>
        <a:xfrm>
          <a:off x="5810250" y="3026708"/>
          <a:ext cx="510428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9BC1C1-A08F-4D22-9311-F6B36B70190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41</a:t>
          </a:fld>
          <a:endParaRPr lang="en-US" sz="1100"/>
        </a:p>
      </xdr:txBody>
    </xdr:sp>
    <xdr:clientData/>
  </xdr:twoCellAnchor>
  <xdr:twoCellAnchor>
    <xdr:from>
      <xdr:col>1</xdr:col>
      <xdr:colOff>964826</xdr:colOff>
      <xdr:row>17</xdr:row>
      <xdr:rowOff>97491</xdr:rowOff>
    </xdr:from>
    <xdr:to>
      <xdr:col>2</xdr:col>
      <xdr:colOff>309843</xdr:colOff>
      <xdr:row>18</xdr:row>
      <xdr:rowOff>116541</xdr:rowOff>
    </xdr:to>
    <xdr:sp macro="" textlink="$O$20">
      <xdr:nvSpPr>
        <xdr:cNvPr id="13" name="TextBox 12">
          <a:extLst>
            <a:ext uri="{FF2B5EF4-FFF2-40B4-BE49-F238E27FC236}">
              <a16:creationId xmlns:a16="http://schemas.microsoft.com/office/drawing/2014/main" xmlns="" id="{7F8CFC01-BD7C-4301-8FC7-7B85B3021B21}"/>
            </a:ext>
          </a:extLst>
        </xdr:cNvPr>
        <xdr:cNvSpPr txBox="1"/>
      </xdr:nvSpPr>
      <xdr:spPr>
        <a:xfrm>
          <a:off x="2914650" y="3335991"/>
          <a:ext cx="510428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39D06FB-BD89-48E5-900B-662CC5FC5D5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34</a:t>
          </a:fld>
          <a:endParaRPr lang="en-US" sz="1100"/>
        </a:p>
      </xdr:txBody>
    </xdr:sp>
    <xdr:clientData/>
  </xdr:twoCellAnchor>
  <xdr:twoCellAnchor>
    <xdr:from>
      <xdr:col>0</xdr:col>
      <xdr:colOff>918883</xdr:colOff>
      <xdr:row>21</xdr:row>
      <xdr:rowOff>168088</xdr:rowOff>
    </xdr:from>
    <xdr:to>
      <xdr:col>1</xdr:col>
      <xdr:colOff>369795</xdr:colOff>
      <xdr:row>29</xdr:row>
      <xdr:rowOff>67235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F03B655-08C0-44CC-82BD-76E9B05495C8}"/>
            </a:ext>
          </a:extLst>
        </xdr:cNvPr>
        <xdr:cNvSpPr/>
      </xdr:nvSpPr>
      <xdr:spPr>
        <a:xfrm>
          <a:off x="918883" y="4168588"/>
          <a:ext cx="1400736" cy="1423147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1395132</xdr:colOff>
      <xdr:row>25</xdr:row>
      <xdr:rowOff>23532</xdr:rowOff>
    </xdr:from>
    <xdr:to>
      <xdr:col>0</xdr:col>
      <xdr:colOff>1905560</xdr:colOff>
      <xdr:row>26</xdr:row>
      <xdr:rowOff>42582</xdr:rowOff>
    </xdr:to>
    <xdr:sp macro="" textlink="$T$19">
      <xdr:nvSpPr>
        <xdr:cNvPr id="16" name="TextBox 15">
          <a:extLst>
            <a:ext uri="{FF2B5EF4-FFF2-40B4-BE49-F238E27FC236}">
              <a16:creationId xmlns:a16="http://schemas.microsoft.com/office/drawing/2014/main" xmlns="" id="{F2425C38-0E89-488F-BE4D-969F8763CBEB}"/>
            </a:ext>
          </a:extLst>
        </xdr:cNvPr>
        <xdr:cNvSpPr txBox="1"/>
      </xdr:nvSpPr>
      <xdr:spPr>
        <a:xfrm>
          <a:off x="1395132" y="4786032"/>
          <a:ext cx="510428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5533F9-8E3E-4AD2-81A3-500B773D2E9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60</a:t>
          </a:fld>
          <a:endParaRPr lang="en-US" sz="1100"/>
        </a:p>
      </xdr:txBody>
    </xdr:sp>
    <xdr:clientData/>
  </xdr:twoCellAnchor>
  <xdr:twoCellAnchor>
    <xdr:from>
      <xdr:col>0</xdr:col>
      <xdr:colOff>515472</xdr:colOff>
      <xdr:row>18</xdr:row>
      <xdr:rowOff>81803</xdr:rowOff>
    </xdr:from>
    <xdr:to>
      <xdr:col>0</xdr:col>
      <xdr:colOff>1490384</xdr:colOff>
      <xdr:row>21</xdr:row>
      <xdr:rowOff>112059</xdr:rowOff>
    </xdr:to>
    <xdr:sp macro="" textlink="$N$20">
      <xdr:nvSpPr>
        <xdr:cNvPr id="17" name="TextBox 16">
          <a:extLst>
            <a:ext uri="{FF2B5EF4-FFF2-40B4-BE49-F238E27FC236}">
              <a16:creationId xmlns:a16="http://schemas.microsoft.com/office/drawing/2014/main" xmlns="" id="{C565045D-4E94-44C8-B4BB-296AF87BCB6D}"/>
            </a:ext>
          </a:extLst>
        </xdr:cNvPr>
        <xdr:cNvSpPr txBox="1"/>
      </xdr:nvSpPr>
      <xdr:spPr>
        <a:xfrm>
          <a:off x="515472" y="3510803"/>
          <a:ext cx="974912" cy="601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NEITHER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OF THE THREE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122463</xdr:rowOff>
    </xdr:from>
    <xdr:to>
      <xdr:col>19</xdr:col>
      <xdr:colOff>381000</xdr:colOff>
      <xdr:row>24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47625</xdr:rowOff>
    </xdr:from>
    <xdr:to>
      <xdr:col>4</xdr:col>
      <xdr:colOff>892869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13907F-B63A-4D4D-AD68-57BA6CC7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5</xdr:col>
      <xdr:colOff>352425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DE8D7E-EEAD-472B-8E37-A30D0614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438150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27EAEC-A0CC-4A37-90BD-B3980F1F8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57150</xdr:rowOff>
    </xdr:from>
    <xdr:to>
      <xdr:col>12</xdr:col>
      <xdr:colOff>314325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46468E-2E22-4962-99EC-B5E6D2E1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ODB/PROJECTS/GHA/BRIDGE%20MTCE%20&amp;%20PLANNING/BRIDGE%20CONDITION/BRIDGE%20REGISTER/Register_23-06-18/NATIONAL%20ROUTE%20BRIDGES_2509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ENN DIAGRAM"/>
      <sheetName val="YEAR BUILT"/>
      <sheetName val="TEMPORARY VS PERMANENT"/>
      <sheetName val="LENGTH OF BRIDGES"/>
      <sheetName val="MAXIMUM SPAN"/>
      <sheetName val="ADT"/>
    </sheetNames>
    <sheetDataSet>
      <sheetData sheetId="0">
        <row r="2">
          <cell r="M2">
            <v>3</v>
          </cell>
        </row>
        <row r="3">
          <cell r="M3">
            <v>9.7799999999999994</v>
          </cell>
        </row>
        <row r="4">
          <cell r="M4">
            <v>11.7</v>
          </cell>
        </row>
        <row r="5">
          <cell r="M5">
            <v>8.5</v>
          </cell>
          <cell r="O5">
            <v>1967</v>
          </cell>
        </row>
        <row r="6">
          <cell r="M6">
            <v>5</v>
          </cell>
        </row>
        <row r="7">
          <cell r="M7">
            <v>31.1</v>
          </cell>
          <cell r="O7">
            <v>2015</v>
          </cell>
        </row>
        <row r="8">
          <cell r="M8">
            <v>3</v>
          </cell>
        </row>
        <row r="9">
          <cell r="M9">
            <v>20.53</v>
          </cell>
        </row>
        <row r="10">
          <cell r="M10">
            <v>2</v>
          </cell>
        </row>
        <row r="11">
          <cell r="M11">
            <v>12.4</v>
          </cell>
          <cell r="O11">
            <v>1965</v>
          </cell>
        </row>
        <row r="12">
          <cell r="M12">
            <v>12.4</v>
          </cell>
          <cell r="O12">
            <v>1965</v>
          </cell>
        </row>
        <row r="13">
          <cell r="M13">
            <v>12.4</v>
          </cell>
          <cell r="O13">
            <v>1965</v>
          </cell>
        </row>
        <row r="14">
          <cell r="M14">
            <v>12.4</v>
          </cell>
          <cell r="O14">
            <v>1965</v>
          </cell>
        </row>
        <row r="15">
          <cell r="M15">
            <v>20.399999999999999</v>
          </cell>
          <cell r="O15">
            <v>2004</v>
          </cell>
        </row>
        <row r="16">
          <cell r="M16">
            <v>20.399999999999999</v>
          </cell>
          <cell r="O16">
            <v>2004</v>
          </cell>
        </row>
        <row r="17">
          <cell r="M17">
            <v>9.5</v>
          </cell>
          <cell r="O17">
            <v>1960</v>
          </cell>
        </row>
        <row r="18">
          <cell r="M18">
            <v>9.5</v>
          </cell>
          <cell r="O18">
            <v>1960</v>
          </cell>
        </row>
        <row r="19">
          <cell r="M19">
            <v>19</v>
          </cell>
        </row>
        <row r="20">
          <cell r="M20">
            <v>19</v>
          </cell>
        </row>
        <row r="21">
          <cell r="M21">
            <v>26.6</v>
          </cell>
          <cell r="O21">
            <v>2012</v>
          </cell>
        </row>
        <row r="22">
          <cell r="M22">
            <v>26.6</v>
          </cell>
          <cell r="O22">
            <v>2012</v>
          </cell>
        </row>
        <row r="23">
          <cell r="M23">
            <v>26.6</v>
          </cell>
          <cell r="O23">
            <v>2012</v>
          </cell>
        </row>
        <row r="24">
          <cell r="M24">
            <v>30.5</v>
          </cell>
        </row>
        <row r="25">
          <cell r="M25">
            <v>17.5</v>
          </cell>
          <cell r="O25">
            <v>2013</v>
          </cell>
        </row>
        <row r="26">
          <cell r="M26">
            <v>12.8</v>
          </cell>
        </row>
        <row r="27">
          <cell r="M27">
            <v>12.35</v>
          </cell>
        </row>
        <row r="28">
          <cell r="M28">
            <v>12.2</v>
          </cell>
        </row>
        <row r="29">
          <cell r="M29">
            <v>8.6</v>
          </cell>
        </row>
        <row r="32">
          <cell r="M32">
            <v>13.1</v>
          </cell>
        </row>
        <row r="33">
          <cell r="M33">
            <v>143.1</v>
          </cell>
          <cell r="O33">
            <v>1995</v>
          </cell>
        </row>
        <row r="34">
          <cell r="M34">
            <v>5</v>
          </cell>
        </row>
        <row r="35">
          <cell r="M35">
            <v>9</v>
          </cell>
        </row>
        <row r="36">
          <cell r="M36">
            <v>9.35</v>
          </cell>
        </row>
        <row r="37">
          <cell r="M37">
            <v>16.8</v>
          </cell>
        </row>
        <row r="38">
          <cell r="M38">
            <v>12.2</v>
          </cell>
        </row>
        <row r="39">
          <cell r="M39">
            <v>24.8</v>
          </cell>
          <cell r="O39">
            <v>1998</v>
          </cell>
        </row>
        <row r="40">
          <cell r="O40">
            <v>1998</v>
          </cell>
        </row>
        <row r="41">
          <cell r="M41">
            <v>22.7</v>
          </cell>
        </row>
        <row r="42">
          <cell r="M42">
            <v>22.7</v>
          </cell>
        </row>
        <row r="45">
          <cell r="M45">
            <v>4.0999999999999996</v>
          </cell>
        </row>
        <row r="46">
          <cell r="M46">
            <v>41.6</v>
          </cell>
        </row>
        <row r="47">
          <cell r="M47">
            <v>41.6</v>
          </cell>
        </row>
        <row r="48">
          <cell r="M48">
            <v>41.6</v>
          </cell>
        </row>
        <row r="49">
          <cell r="M49">
            <v>32.5</v>
          </cell>
        </row>
        <row r="50">
          <cell r="M50">
            <v>13.6</v>
          </cell>
        </row>
        <row r="51">
          <cell r="M51">
            <v>12.2</v>
          </cell>
        </row>
        <row r="52">
          <cell r="M52">
            <v>12</v>
          </cell>
        </row>
        <row r="53">
          <cell r="M53">
            <v>15</v>
          </cell>
          <cell r="O53">
            <v>1956</v>
          </cell>
        </row>
        <row r="54">
          <cell r="M54">
            <v>15</v>
          </cell>
          <cell r="O54">
            <v>1956</v>
          </cell>
        </row>
        <row r="55">
          <cell r="M55">
            <v>248</v>
          </cell>
          <cell r="O55">
            <v>1956</v>
          </cell>
        </row>
        <row r="56">
          <cell r="M56">
            <v>9.1</v>
          </cell>
        </row>
        <row r="57">
          <cell r="M57">
            <v>13.7</v>
          </cell>
        </row>
        <row r="58">
          <cell r="M58">
            <v>14.2</v>
          </cell>
        </row>
        <row r="59">
          <cell r="M59">
            <v>8</v>
          </cell>
        </row>
        <row r="60">
          <cell r="M60">
            <v>14.8</v>
          </cell>
        </row>
        <row r="61">
          <cell r="M61">
            <v>10</v>
          </cell>
        </row>
        <row r="62">
          <cell r="M62">
            <v>10</v>
          </cell>
        </row>
        <row r="63">
          <cell r="M63">
            <v>12</v>
          </cell>
        </row>
        <row r="64">
          <cell r="M64">
            <v>4</v>
          </cell>
        </row>
        <row r="65">
          <cell r="M65">
            <v>12.1</v>
          </cell>
        </row>
        <row r="66">
          <cell r="M66">
            <v>5</v>
          </cell>
        </row>
        <row r="67">
          <cell r="M67">
            <v>14.54</v>
          </cell>
        </row>
        <row r="68">
          <cell r="M68">
            <v>22.66</v>
          </cell>
        </row>
        <row r="69">
          <cell r="M69">
            <v>10.75</v>
          </cell>
        </row>
        <row r="70">
          <cell r="M70">
            <v>12.8</v>
          </cell>
        </row>
        <row r="71">
          <cell r="M71">
            <v>79.75</v>
          </cell>
        </row>
        <row r="74">
          <cell r="M74">
            <v>12.3</v>
          </cell>
        </row>
        <row r="75">
          <cell r="M75">
            <v>19.100000000000001</v>
          </cell>
        </row>
        <row r="76">
          <cell r="M76">
            <v>15.8</v>
          </cell>
        </row>
        <row r="77">
          <cell r="M77">
            <v>16.100000000000001</v>
          </cell>
        </row>
        <row r="78">
          <cell r="M78">
            <v>20.350000000000001</v>
          </cell>
        </row>
        <row r="79">
          <cell r="M79">
            <v>20.350000000000001</v>
          </cell>
        </row>
        <row r="80">
          <cell r="M80">
            <v>10</v>
          </cell>
        </row>
        <row r="85">
          <cell r="M85">
            <v>57.6</v>
          </cell>
        </row>
        <row r="86">
          <cell r="M86">
            <v>67.069999999999993</v>
          </cell>
        </row>
        <row r="87">
          <cell r="M87">
            <v>20.6</v>
          </cell>
          <cell r="O87">
            <v>1987</v>
          </cell>
        </row>
        <row r="88">
          <cell r="M88">
            <v>13</v>
          </cell>
          <cell r="O88">
            <v>1921</v>
          </cell>
        </row>
        <row r="89">
          <cell r="M89">
            <v>18.3</v>
          </cell>
          <cell r="O89">
            <v>2012</v>
          </cell>
        </row>
        <row r="90">
          <cell r="M90">
            <v>10.5</v>
          </cell>
          <cell r="O90">
            <v>1905</v>
          </cell>
        </row>
        <row r="91">
          <cell r="M91">
            <v>10.9</v>
          </cell>
        </row>
        <row r="92">
          <cell r="M92">
            <v>12</v>
          </cell>
        </row>
        <row r="93">
          <cell r="M93">
            <v>20.5</v>
          </cell>
          <cell r="O93">
            <v>2009</v>
          </cell>
        </row>
        <row r="94">
          <cell r="M94">
            <v>20.5</v>
          </cell>
          <cell r="O94">
            <v>2009</v>
          </cell>
        </row>
        <row r="95">
          <cell r="M95">
            <v>39</v>
          </cell>
          <cell r="O95">
            <v>2009</v>
          </cell>
        </row>
        <row r="96">
          <cell r="M96">
            <v>6.5</v>
          </cell>
          <cell r="O96">
            <v>2009</v>
          </cell>
        </row>
        <row r="97">
          <cell r="M97">
            <v>20.6</v>
          </cell>
          <cell r="O97">
            <v>1987</v>
          </cell>
        </row>
        <row r="98">
          <cell r="M98">
            <v>18.8</v>
          </cell>
        </row>
        <row r="99">
          <cell r="M99">
            <v>11</v>
          </cell>
        </row>
        <row r="100">
          <cell r="M100">
            <v>25</v>
          </cell>
          <cell r="O100">
            <v>2011</v>
          </cell>
        </row>
        <row r="101">
          <cell r="M101">
            <v>25</v>
          </cell>
          <cell r="O101">
            <v>2011</v>
          </cell>
        </row>
        <row r="102">
          <cell r="M102">
            <v>15.2</v>
          </cell>
          <cell r="O102">
            <v>2011</v>
          </cell>
        </row>
        <row r="103">
          <cell r="M103">
            <v>15.2</v>
          </cell>
          <cell r="O103">
            <v>2011</v>
          </cell>
        </row>
        <row r="104">
          <cell r="M104">
            <v>26.6</v>
          </cell>
          <cell r="O104">
            <v>2011</v>
          </cell>
        </row>
        <row r="105">
          <cell r="M105">
            <v>26.6</v>
          </cell>
          <cell r="O105">
            <v>2011</v>
          </cell>
        </row>
        <row r="106">
          <cell r="M106">
            <v>26.2</v>
          </cell>
          <cell r="O106">
            <v>2011</v>
          </cell>
        </row>
        <row r="107">
          <cell r="M107">
            <v>26.2</v>
          </cell>
          <cell r="O107">
            <v>2011</v>
          </cell>
        </row>
        <row r="108">
          <cell r="M108">
            <v>25</v>
          </cell>
          <cell r="O108">
            <v>2009</v>
          </cell>
        </row>
        <row r="109">
          <cell r="M109">
            <v>25</v>
          </cell>
          <cell r="O109">
            <v>2009</v>
          </cell>
        </row>
        <row r="110">
          <cell r="M110">
            <v>20.5</v>
          </cell>
        </row>
        <row r="111">
          <cell r="M111">
            <v>20.5</v>
          </cell>
        </row>
        <row r="112">
          <cell r="M112">
            <v>20.100000000000001</v>
          </cell>
        </row>
        <row r="113">
          <cell r="M113">
            <v>3.55</v>
          </cell>
        </row>
        <row r="116">
          <cell r="M116">
            <v>10.97</v>
          </cell>
        </row>
        <row r="118">
          <cell r="M118">
            <v>4</v>
          </cell>
        </row>
        <row r="119">
          <cell r="M119">
            <v>16.2</v>
          </cell>
        </row>
        <row r="121">
          <cell r="M121">
            <v>35</v>
          </cell>
        </row>
        <row r="122">
          <cell r="M122">
            <v>33.299999999999997</v>
          </cell>
        </row>
        <row r="123">
          <cell r="M123">
            <v>3.7</v>
          </cell>
        </row>
        <row r="124">
          <cell r="M124">
            <v>7</v>
          </cell>
        </row>
        <row r="125">
          <cell r="M125">
            <v>4</v>
          </cell>
        </row>
        <row r="126">
          <cell r="M126">
            <v>3.38</v>
          </cell>
        </row>
        <row r="127">
          <cell r="M127">
            <v>8.6</v>
          </cell>
        </row>
        <row r="128">
          <cell r="M128">
            <v>4</v>
          </cell>
        </row>
        <row r="130">
          <cell r="M130">
            <v>10</v>
          </cell>
        </row>
        <row r="132">
          <cell r="M132">
            <v>20.6</v>
          </cell>
        </row>
        <row r="133">
          <cell r="M133">
            <v>3.5</v>
          </cell>
        </row>
        <row r="134">
          <cell r="M134">
            <v>5.15</v>
          </cell>
        </row>
        <row r="135">
          <cell r="M135">
            <v>6.7</v>
          </cell>
        </row>
        <row r="136">
          <cell r="M136">
            <v>30</v>
          </cell>
        </row>
        <row r="137">
          <cell r="M137">
            <v>32.200000000000003</v>
          </cell>
        </row>
        <row r="138">
          <cell r="M138">
            <v>4</v>
          </cell>
        </row>
        <row r="139">
          <cell r="M139">
            <v>16.8</v>
          </cell>
        </row>
        <row r="140">
          <cell r="M140">
            <v>15</v>
          </cell>
        </row>
        <row r="141">
          <cell r="M141">
            <v>12.4</v>
          </cell>
        </row>
        <row r="142">
          <cell r="M142">
            <v>4</v>
          </cell>
        </row>
        <row r="144">
          <cell r="O144">
            <v>1965</v>
          </cell>
        </row>
        <row r="145">
          <cell r="M145">
            <v>38.299999999999997</v>
          </cell>
          <cell r="O145">
            <v>1965</v>
          </cell>
        </row>
        <row r="147">
          <cell r="M147">
            <v>10.55</v>
          </cell>
        </row>
        <row r="148">
          <cell r="M148">
            <v>10.199999999999999</v>
          </cell>
        </row>
        <row r="149">
          <cell r="M149">
            <v>20.6</v>
          </cell>
        </row>
        <row r="152">
          <cell r="M152">
            <v>10.55</v>
          </cell>
        </row>
        <row r="153">
          <cell r="M153">
            <v>11.3</v>
          </cell>
        </row>
        <row r="170">
          <cell r="M170">
            <v>10.55</v>
          </cell>
        </row>
        <row r="171">
          <cell r="M171">
            <v>10.6</v>
          </cell>
        </row>
        <row r="172">
          <cell r="M172">
            <v>38</v>
          </cell>
        </row>
        <row r="173">
          <cell r="M173">
            <v>10.6</v>
          </cell>
        </row>
        <row r="174">
          <cell r="M174">
            <v>10.55</v>
          </cell>
        </row>
        <row r="175">
          <cell r="M175">
            <v>10.85</v>
          </cell>
        </row>
        <row r="176">
          <cell r="M176">
            <v>10.55</v>
          </cell>
        </row>
        <row r="182">
          <cell r="M182">
            <v>26.2</v>
          </cell>
        </row>
        <row r="183">
          <cell r="M183">
            <v>25.9</v>
          </cell>
        </row>
        <row r="184">
          <cell r="M184">
            <v>38</v>
          </cell>
        </row>
        <row r="185">
          <cell r="M185">
            <v>108</v>
          </cell>
        </row>
        <row r="186">
          <cell r="M186">
            <v>6.6</v>
          </cell>
        </row>
        <row r="187">
          <cell r="M187">
            <v>3.4</v>
          </cell>
        </row>
        <row r="188">
          <cell r="M188">
            <v>12.6</v>
          </cell>
        </row>
        <row r="189">
          <cell r="M189">
            <v>10.4</v>
          </cell>
        </row>
        <row r="190">
          <cell r="M190">
            <v>43</v>
          </cell>
        </row>
        <row r="191">
          <cell r="M191">
            <v>18.149999999999999</v>
          </cell>
        </row>
        <row r="192">
          <cell r="M192">
            <v>10</v>
          </cell>
        </row>
        <row r="193">
          <cell r="M193">
            <v>8.3000000000000007</v>
          </cell>
        </row>
        <row r="194">
          <cell r="M194">
            <v>6.65</v>
          </cell>
        </row>
        <row r="197">
          <cell r="M197">
            <v>40.549999999999997</v>
          </cell>
        </row>
        <row r="208">
          <cell r="M208">
            <v>29.8</v>
          </cell>
        </row>
        <row r="209">
          <cell r="M209">
            <v>36.200000000000003</v>
          </cell>
        </row>
        <row r="210">
          <cell r="M210">
            <v>21.4</v>
          </cell>
        </row>
        <row r="211">
          <cell r="M211">
            <v>36.299999999999997</v>
          </cell>
        </row>
        <row r="212">
          <cell r="M212">
            <v>18.3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273"/>
  <sheetViews>
    <sheetView tabSelected="1" zoomScale="60" zoomScaleNormal="60" workbookViewId="0">
      <selection activeCell="AM2" sqref="AM2"/>
    </sheetView>
  </sheetViews>
  <sheetFormatPr defaultColWidth="108.7109375" defaultRowHeight="15" x14ac:dyDescent="0.25"/>
  <cols>
    <col min="1" max="1" width="10.140625" style="1" customWidth="1"/>
    <col min="2" max="2" width="26.85546875" style="1" customWidth="1"/>
    <col min="3" max="3" width="33.28515625" style="1" customWidth="1"/>
    <col min="4" max="4" width="22.28515625" style="1" customWidth="1"/>
    <col min="5" max="5" width="27.42578125" style="1" customWidth="1"/>
    <col min="6" max="6" width="35.5703125" style="1" customWidth="1"/>
    <col min="7" max="7" width="32.140625" style="1" customWidth="1"/>
    <col min="8" max="8" width="27.28515625" style="1" customWidth="1"/>
    <col min="9" max="9" width="16.140625" style="1" customWidth="1"/>
    <col min="10" max="10" width="14.140625" style="1" customWidth="1"/>
    <col min="11" max="11" width="12.85546875" style="1" customWidth="1"/>
    <col min="12" max="12" width="11.7109375" style="1" customWidth="1"/>
    <col min="13" max="13" width="18.7109375" style="1" customWidth="1"/>
    <col min="14" max="14" width="19.28515625" style="1" customWidth="1"/>
    <col min="15" max="15" width="60" style="34" customWidth="1"/>
    <col min="16" max="16" width="31.85546875" style="1" customWidth="1"/>
    <col min="17" max="17" width="16.5703125" style="1" customWidth="1"/>
    <col min="18" max="18" width="23.5703125" style="1" customWidth="1"/>
    <col min="19" max="19" width="24.140625" style="1" customWidth="1"/>
    <col min="20" max="20" width="25.28515625" style="1" customWidth="1"/>
    <col min="21" max="21" width="20.140625" style="1" customWidth="1"/>
    <col min="22" max="22" width="12.42578125" style="1" customWidth="1"/>
    <col min="23" max="25" width="18.7109375" style="1" customWidth="1"/>
    <col min="26" max="26" width="40" style="7" customWidth="1"/>
    <col min="27" max="27" width="35.85546875" style="7" customWidth="1"/>
    <col min="28" max="28" width="40.28515625" style="7" customWidth="1"/>
    <col min="29" max="29" width="15.7109375" style="7" customWidth="1"/>
    <col min="30" max="31" width="14.5703125" style="7" customWidth="1"/>
    <col min="32" max="32" width="18.7109375" style="7" customWidth="1"/>
    <col min="33" max="33" width="24.42578125" style="1" customWidth="1"/>
    <col min="34" max="34" width="9" style="1" customWidth="1"/>
    <col min="35" max="35" width="14.5703125" style="1" customWidth="1"/>
    <col min="36" max="36" width="12.42578125" style="1" customWidth="1"/>
    <col min="37" max="37" width="8.140625" style="1" customWidth="1"/>
    <col min="38" max="271" width="15.7109375" style="1" customWidth="1"/>
    <col min="272" max="16384" width="108.7109375" style="1"/>
  </cols>
  <sheetData>
    <row r="1" spans="1:35" s="20" customFormat="1" ht="54" customHeight="1" x14ac:dyDescent="0.25">
      <c r="A1" s="40" t="s">
        <v>739</v>
      </c>
      <c r="B1" s="19" t="s">
        <v>0</v>
      </c>
      <c r="C1" s="19" t="s">
        <v>1</v>
      </c>
      <c r="D1" s="19" t="s">
        <v>2</v>
      </c>
      <c r="E1" s="19" t="s">
        <v>3</v>
      </c>
      <c r="F1" s="107" t="s">
        <v>4</v>
      </c>
      <c r="G1" s="107" t="s">
        <v>5</v>
      </c>
      <c r="H1" s="19" t="s">
        <v>6</v>
      </c>
      <c r="I1" s="40" t="s">
        <v>743</v>
      </c>
      <c r="J1" s="40" t="s">
        <v>7</v>
      </c>
      <c r="K1" s="40" t="s">
        <v>88</v>
      </c>
      <c r="L1" s="40" t="s">
        <v>741</v>
      </c>
      <c r="M1" s="105" t="s">
        <v>742</v>
      </c>
      <c r="N1" s="105" t="s">
        <v>850</v>
      </c>
      <c r="O1" s="40" t="s">
        <v>8</v>
      </c>
      <c r="P1" s="40" t="s">
        <v>10</v>
      </c>
      <c r="Q1" s="40" t="s">
        <v>9</v>
      </c>
      <c r="R1" s="40" t="s">
        <v>55</v>
      </c>
      <c r="S1" s="40" t="s">
        <v>56</v>
      </c>
      <c r="T1" s="40" t="s">
        <v>740</v>
      </c>
      <c r="U1" s="40" t="s">
        <v>53</v>
      </c>
      <c r="V1" s="40" t="s">
        <v>11</v>
      </c>
      <c r="W1" s="40" t="s">
        <v>12</v>
      </c>
      <c r="X1" s="56"/>
      <c r="Y1" s="56"/>
      <c r="Z1" s="41" t="str">
        <f>R1</f>
        <v>FUNCTIONALLY OBSELETE</v>
      </c>
      <c r="AA1" s="41" t="str">
        <f>T1</f>
        <v>SAFETY NONCOMPLIANCE</v>
      </c>
      <c r="AB1" s="41" t="str">
        <f>S1</f>
        <v>STRUCTURALLY DEFICIENT</v>
      </c>
      <c r="AC1" s="42" t="s">
        <v>81</v>
      </c>
      <c r="AD1" s="42" t="s">
        <v>80</v>
      </c>
      <c r="AE1" s="42" t="s">
        <v>82</v>
      </c>
      <c r="AF1" s="42" t="s">
        <v>83</v>
      </c>
      <c r="AG1" s="42" t="s">
        <v>87</v>
      </c>
      <c r="AI1" s="20" t="s">
        <v>855</v>
      </c>
    </row>
    <row r="2" spans="1:35" s="16" customFormat="1" ht="35.1" customHeight="1" x14ac:dyDescent="0.25">
      <c r="A2" s="61">
        <v>1</v>
      </c>
      <c r="B2" s="62" t="s">
        <v>127</v>
      </c>
      <c r="C2" s="122" t="s">
        <v>887</v>
      </c>
      <c r="D2" s="27" t="s">
        <v>400</v>
      </c>
      <c r="E2" s="61" t="s">
        <v>749</v>
      </c>
      <c r="F2" s="62" t="s">
        <v>127</v>
      </c>
      <c r="G2" s="62" t="s">
        <v>127</v>
      </c>
      <c r="H2" s="63" t="s">
        <v>851</v>
      </c>
      <c r="I2" s="29">
        <v>147.69999999999999</v>
      </c>
      <c r="J2" s="64">
        <v>6</v>
      </c>
      <c r="K2" s="64">
        <v>30</v>
      </c>
      <c r="L2" s="29">
        <v>5.7</v>
      </c>
      <c r="M2" s="29">
        <v>1928</v>
      </c>
      <c r="N2" s="29"/>
      <c r="O2" s="28" t="s">
        <v>715</v>
      </c>
      <c r="P2" s="53" t="s">
        <v>733</v>
      </c>
      <c r="Q2" s="24" t="s">
        <v>102</v>
      </c>
      <c r="R2" s="54" t="str">
        <f t="shared" ref="R2:R33" si="0">IF(L2&lt;7.3,"NARROW","OK")</f>
        <v>NARROW</v>
      </c>
      <c r="S2" s="29" t="s">
        <v>102</v>
      </c>
      <c r="T2" s="29" t="s">
        <v>33</v>
      </c>
      <c r="U2" s="29"/>
      <c r="V2" s="27"/>
      <c r="W2" s="27"/>
      <c r="X2" s="73"/>
      <c r="Y2" s="73"/>
      <c r="Z2" s="39">
        <f>IF(R2="NARROW",1,0)</f>
        <v>1</v>
      </c>
      <c r="AA2" s="39">
        <f t="shared" ref="AA2:AA65" si="1">IF(T2= "UNSAFE",1,0)</f>
        <v>0</v>
      </c>
      <c r="AB2" s="39">
        <f>IF(S2= "POOR",1,0)</f>
        <v>1</v>
      </c>
      <c r="AC2" s="39" t="str">
        <f t="shared" ref="AC2:AC65" si="2">IF(Z2+AB2=2,"A",0)</f>
        <v>A</v>
      </c>
      <c r="AD2" s="39">
        <f t="shared" ref="AD2:AD65" si="3">IF(Z2+AA2=2,"B",0)</f>
        <v>0</v>
      </c>
      <c r="AE2" s="39">
        <f t="shared" ref="AE2:AE65" si="4">IF(AB2+AA2=2,"C",0)</f>
        <v>0</v>
      </c>
      <c r="AF2" s="39">
        <f t="shared" ref="AF2:AF65" si="5">IF(Z2+AB2+AA2=3,"D",0)</f>
        <v>0</v>
      </c>
      <c r="AG2" s="39">
        <f t="shared" ref="AG2:AG65" si="6">IF(Z2+AB2+AA2=0,"E",0)</f>
        <v>0</v>
      </c>
    </row>
    <row r="3" spans="1:35" s="16" customFormat="1" ht="35.1" customHeight="1" x14ac:dyDescent="0.25">
      <c r="A3" s="61">
        <v>2</v>
      </c>
      <c r="B3" s="62" t="s">
        <v>112</v>
      </c>
      <c r="C3" s="61" t="s">
        <v>888</v>
      </c>
      <c r="D3" s="27" t="s">
        <v>289</v>
      </c>
      <c r="E3" s="61" t="s">
        <v>749</v>
      </c>
      <c r="F3" s="62" t="s">
        <v>112</v>
      </c>
      <c r="G3" s="62" t="s">
        <v>470</v>
      </c>
      <c r="H3" s="63" t="s">
        <v>522</v>
      </c>
      <c r="I3" s="29">
        <v>17.100000000000001</v>
      </c>
      <c r="J3" s="64">
        <v>1</v>
      </c>
      <c r="K3" s="64">
        <v>17.5</v>
      </c>
      <c r="L3" s="29">
        <v>11.3</v>
      </c>
      <c r="M3" s="29">
        <v>2008</v>
      </c>
      <c r="N3" s="29"/>
      <c r="O3" s="28" t="s">
        <v>646</v>
      </c>
      <c r="P3" s="53" t="s">
        <v>731</v>
      </c>
      <c r="Q3" s="24" t="s">
        <v>857</v>
      </c>
      <c r="R3" s="54" t="str">
        <f t="shared" si="0"/>
        <v>OK</v>
      </c>
      <c r="S3" s="29" t="s">
        <v>27</v>
      </c>
      <c r="T3" s="29" t="s">
        <v>33</v>
      </c>
      <c r="U3" s="29"/>
      <c r="V3" s="43">
        <v>1296</v>
      </c>
      <c r="W3" s="44">
        <v>1</v>
      </c>
      <c r="X3" s="74"/>
      <c r="Y3" s="74"/>
      <c r="Z3" s="39">
        <f t="shared" ref="Z3:Z66" si="7">IF(R3="NARROW",1,0)</f>
        <v>0</v>
      </c>
      <c r="AA3" s="39">
        <f t="shared" si="1"/>
        <v>0</v>
      </c>
      <c r="AB3" s="39">
        <f t="shared" ref="AB3:AB66" si="8">IF(S3= "POOR",1,0)</f>
        <v>0</v>
      </c>
      <c r="AC3" s="39">
        <f t="shared" si="2"/>
        <v>0</v>
      </c>
      <c r="AD3" s="39">
        <f t="shared" si="3"/>
        <v>0</v>
      </c>
      <c r="AE3" s="39">
        <f t="shared" si="4"/>
        <v>0</v>
      </c>
      <c r="AF3" s="39">
        <f t="shared" si="5"/>
        <v>0</v>
      </c>
      <c r="AG3" s="39" t="str">
        <f t="shared" si="6"/>
        <v>E</v>
      </c>
    </row>
    <row r="4" spans="1:35" s="16" customFormat="1" ht="35.1" customHeight="1" x14ac:dyDescent="0.25">
      <c r="A4" s="61">
        <v>3</v>
      </c>
      <c r="B4" s="62" t="s">
        <v>113</v>
      </c>
      <c r="C4" s="61" t="s">
        <v>889</v>
      </c>
      <c r="D4" s="61" t="s">
        <v>290</v>
      </c>
      <c r="E4" s="61" t="s">
        <v>749</v>
      </c>
      <c r="F4" s="62" t="s">
        <v>113</v>
      </c>
      <c r="G4" s="62" t="s">
        <v>113</v>
      </c>
      <c r="H4" s="63" t="s">
        <v>851</v>
      </c>
      <c r="I4" s="29">
        <v>16.2</v>
      </c>
      <c r="J4" s="64">
        <v>2</v>
      </c>
      <c r="K4" s="64">
        <v>8.1</v>
      </c>
      <c r="L4" s="29">
        <v>5.85</v>
      </c>
      <c r="M4" s="29"/>
      <c r="N4" s="29"/>
      <c r="O4" s="28" t="s">
        <v>750</v>
      </c>
      <c r="P4" s="53" t="s">
        <v>731</v>
      </c>
      <c r="Q4" s="24" t="s">
        <v>857</v>
      </c>
      <c r="R4" s="54" t="str">
        <f t="shared" si="0"/>
        <v>NARROW</v>
      </c>
      <c r="S4" s="29" t="s">
        <v>27</v>
      </c>
      <c r="T4" s="29" t="s">
        <v>32</v>
      </c>
      <c r="U4" s="29"/>
      <c r="V4" s="43">
        <v>646</v>
      </c>
      <c r="W4" s="45">
        <v>2</v>
      </c>
      <c r="X4" s="75"/>
      <c r="Y4" s="75"/>
      <c r="Z4" s="39">
        <f t="shared" si="7"/>
        <v>1</v>
      </c>
      <c r="AA4" s="39">
        <f t="shared" si="1"/>
        <v>1</v>
      </c>
      <c r="AB4" s="39">
        <f t="shared" si="8"/>
        <v>0</v>
      </c>
      <c r="AC4" s="39">
        <f t="shared" si="2"/>
        <v>0</v>
      </c>
      <c r="AD4" s="39" t="str">
        <f t="shared" si="3"/>
        <v>B</v>
      </c>
      <c r="AE4" s="39">
        <f t="shared" si="4"/>
        <v>0</v>
      </c>
      <c r="AF4" s="39">
        <f t="shared" si="5"/>
        <v>0</v>
      </c>
      <c r="AG4" s="39">
        <f t="shared" si="6"/>
        <v>0</v>
      </c>
    </row>
    <row r="5" spans="1:35" s="16" customFormat="1" ht="35.1" customHeight="1" x14ac:dyDescent="0.25">
      <c r="A5" s="61">
        <v>4</v>
      </c>
      <c r="B5" s="62" t="s">
        <v>114</v>
      </c>
      <c r="C5" s="61" t="s">
        <v>890</v>
      </c>
      <c r="D5" s="61" t="s">
        <v>291</v>
      </c>
      <c r="E5" s="61" t="s">
        <v>749</v>
      </c>
      <c r="F5" s="62" t="s">
        <v>114</v>
      </c>
      <c r="G5" s="62" t="s">
        <v>114</v>
      </c>
      <c r="H5" s="63" t="s">
        <v>522</v>
      </c>
      <c r="I5" s="29">
        <v>19.75</v>
      </c>
      <c r="J5" s="64">
        <v>2</v>
      </c>
      <c r="K5" s="64">
        <v>9.8000000000000007</v>
      </c>
      <c r="L5" s="29">
        <v>6.42</v>
      </c>
      <c r="M5" s="29"/>
      <c r="N5" s="29"/>
      <c r="O5" s="65" t="s">
        <v>647</v>
      </c>
      <c r="P5" s="70" t="s">
        <v>731</v>
      </c>
      <c r="Q5" s="24" t="s">
        <v>857</v>
      </c>
      <c r="R5" s="54" t="str">
        <f t="shared" si="0"/>
        <v>NARROW</v>
      </c>
      <c r="S5" s="29" t="s">
        <v>27</v>
      </c>
      <c r="T5" s="29" t="s">
        <v>33</v>
      </c>
      <c r="U5" s="29"/>
      <c r="V5" s="22"/>
      <c r="W5" s="45"/>
      <c r="X5" s="75"/>
      <c r="Y5" s="75"/>
      <c r="Z5" s="39">
        <f t="shared" si="7"/>
        <v>1</v>
      </c>
      <c r="AA5" s="39">
        <f t="shared" si="1"/>
        <v>0</v>
      </c>
      <c r="AB5" s="39">
        <f t="shared" si="8"/>
        <v>0</v>
      </c>
      <c r="AC5" s="39">
        <f t="shared" si="2"/>
        <v>0</v>
      </c>
      <c r="AD5" s="39">
        <f t="shared" si="3"/>
        <v>0</v>
      </c>
      <c r="AE5" s="39">
        <f t="shared" si="4"/>
        <v>0</v>
      </c>
      <c r="AF5" s="39">
        <f t="shared" si="5"/>
        <v>0</v>
      </c>
      <c r="AG5" s="39">
        <f t="shared" si="6"/>
        <v>0</v>
      </c>
    </row>
    <row r="6" spans="1:35" s="16" customFormat="1" ht="35.1" customHeight="1" x14ac:dyDescent="0.25">
      <c r="A6" s="61">
        <v>5</v>
      </c>
      <c r="B6" s="62" t="s">
        <v>229</v>
      </c>
      <c r="C6" s="61" t="s">
        <v>891</v>
      </c>
      <c r="D6" s="61" t="s">
        <v>402</v>
      </c>
      <c r="E6" s="61" t="s">
        <v>749</v>
      </c>
      <c r="F6" s="62" t="s">
        <v>229</v>
      </c>
      <c r="G6" s="62" t="s">
        <v>114</v>
      </c>
      <c r="H6" s="63" t="s">
        <v>40</v>
      </c>
      <c r="I6" s="29">
        <v>33.799999999999997</v>
      </c>
      <c r="J6" s="64">
        <v>1</v>
      </c>
      <c r="K6" s="64">
        <v>33.799999999999997</v>
      </c>
      <c r="L6" s="29">
        <v>4.9000000000000004</v>
      </c>
      <c r="M6" s="29"/>
      <c r="N6" s="29"/>
      <c r="O6" s="65" t="s">
        <v>716</v>
      </c>
      <c r="P6" s="70" t="s">
        <v>733</v>
      </c>
      <c r="Q6" s="24" t="s">
        <v>102</v>
      </c>
      <c r="R6" s="54" t="str">
        <f t="shared" si="0"/>
        <v>NARROW</v>
      </c>
      <c r="S6" s="29" t="s">
        <v>102</v>
      </c>
      <c r="T6" s="29" t="s">
        <v>32</v>
      </c>
      <c r="U6" s="29"/>
      <c r="V6" s="22"/>
      <c r="W6" s="45"/>
      <c r="X6" s="75"/>
      <c r="Y6" s="75"/>
      <c r="Z6" s="39">
        <f t="shared" si="7"/>
        <v>1</v>
      </c>
      <c r="AA6" s="39">
        <f t="shared" si="1"/>
        <v>1</v>
      </c>
      <c r="AB6" s="39">
        <f t="shared" si="8"/>
        <v>1</v>
      </c>
      <c r="AC6" s="39" t="str">
        <f t="shared" si="2"/>
        <v>A</v>
      </c>
      <c r="AD6" s="39" t="str">
        <f t="shared" si="3"/>
        <v>B</v>
      </c>
      <c r="AE6" s="39" t="str">
        <f t="shared" si="4"/>
        <v>C</v>
      </c>
      <c r="AF6" s="39" t="str">
        <f t="shared" si="5"/>
        <v>D</v>
      </c>
      <c r="AG6" s="39">
        <f t="shared" si="6"/>
        <v>0</v>
      </c>
      <c r="AI6" s="16">
        <f>I6</f>
        <v>33.799999999999997</v>
      </c>
    </row>
    <row r="7" spans="1:35" s="16" customFormat="1" ht="35.1" customHeight="1" x14ac:dyDescent="0.25">
      <c r="A7" s="61">
        <v>6</v>
      </c>
      <c r="B7" s="62" t="s">
        <v>115</v>
      </c>
      <c r="C7" s="61" t="s">
        <v>892</v>
      </c>
      <c r="D7" s="61" t="s">
        <v>292</v>
      </c>
      <c r="E7" s="61" t="s">
        <v>749</v>
      </c>
      <c r="F7" s="62" t="s">
        <v>115</v>
      </c>
      <c r="G7" s="62" t="s">
        <v>273</v>
      </c>
      <c r="H7" s="63" t="s">
        <v>522</v>
      </c>
      <c r="I7" s="29">
        <v>27.1</v>
      </c>
      <c r="J7" s="64">
        <v>5</v>
      </c>
      <c r="K7" s="64">
        <v>5.65</v>
      </c>
      <c r="L7" s="29">
        <v>6.7</v>
      </c>
      <c r="M7" s="29"/>
      <c r="N7" s="29"/>
      <c r="O7" s="65" t="s">
        <v>648</v>
      </c>
      <c r="P7" s="70" t="s">
        <v>731</v>
      </c>
      <c r="Q7" s="24" t="s">
        <v>857</v>
      </c>
      <c r="R7" s="54" t="str">
        <f t="shared" si="0"/>
        <v>NARROW</v>
      </c>
      <c r="S7" s="29" t="s">
        <v>27</v>
      </c>
      <c r="T7" s="29" t="s">
        <v>33</v>
      </c>
      <c r="U7" s="29"/>
      <c r="V7" s="22"/>
      <c r="W7" s="45"/>
      <c r="X7" s="75"/>
      <c r="Y7" s="75"/>
      <c r="Z7" s="39">
        <f t="shared" si="7"/>
        <v>1</v>
      </c>
      <c r="AA7" s="39">
        <f t="shared" si="1"/>
        <v>0</v>
      </c>
      <c r="AB7" s="39">
        <f t="shared" si="8"/>
        <v>0</v>
      </c>
      <c r="AC7" s="39">
        <f t="shared" si="2"/>
        <v>0</v>
      </c>
      <c r="AD7" s="39">
        <f t="shared" si="3"/>
        <v>0</v>
      </c>
      <c r="AE7" s="39">
        <f t="shared" si="4"/>
        <v>0</v>
      </c>
      <c r="AF7" s="39">
        <f t="shared" si="5"/>
        <v>0</v>
      </c>
      <c r="AG7" s="39">
        <f t="shared" si="6"/>
        <v>0</v>
      </c>
    </row>
    <row r="8" spans="1:35" s="16" customFormat="1" ht="35.1" customHeight="1" x14ac:dyDescent="0.25">
      <c r="A8" s="61">
        <v>7</v>
      </c>
      <c r="B8" s="62" t="s">
        <v>273</v>
      </c>
      <c r="C8" s="61" t="s">
        <v>893</v>
      </c>
      <c r="D8" s="61" t="s">
        <v>453</v>
      </c>
      <c r="E8" s="61" t="s">
        <v>749</v>
      </c>
      <c r="F8" s="62" t="s">
        <v>273</v>
      </c>
      <c r="G8" s="62" t="s">
        <v>273</v>
      </c>
      <c r="H8" s="63" t="s">
        <v>522</v>
      </c>
      <c r="I8" s="29">
        <v>3</v>
      </c>
      <c r="J8" s="64">
        <v>1</v>
      </c>
      <c r="K8" s="64">
        <v>2.4</v>
      </c>
      <c r="L8" s="29">
        <v>6.8</v>
      </c>
      <c r="M8" s="29"/>
      <c r="N8" s="29"/>
      <c r="O8" s="65" t="s">
        <v>724</v>
      </c>
      <c r="P8" s="70" t="s">
        <v>730</v>
      </c>
      <c r="Q8" s="24" t="s">
        <v>857</v>
      </c>
      <c r="R8" s="54" t="str">
        <f t="shared" si="0"/>
        <v>NARROW</v>
      </c>
      <c r="S8" s="29" t="s">
        <v>27</v>
      </c>
      <c r="T8" s="29" t="s">
        <v>33</v>
      </c>
      <c r="U8" s="29"/>
      <c r="V8" s="22"/>
      <c r="W8" s="45"/>
      <c r="X8" s="75"/>
      <c r="Y8" s="75"/>
      <c r="Z8" s="39">
        <f t="shared" si="7"/>
        <v>1</v>
      </c>
      <c r="AA8" s="39">
        <f t="shared" si="1"/>
        <v>0</v>
      </c>
      <c r="AB8" s="39">
        <f t="shared" si="8"/>
        <v>0</v>
      </c>
      <c r="AC8" s="39">
        <f t="shared" si="2"/>
        <v>0</v>
      </c>
      <c r="AD8" s="39">
        <f t="shared" si="3"/>
        <v>0</v>
      </c>
      <c r="AE8" s="39">
        <f t="shared" si="4"/>
        <v>0</v>
      </c>
      <c r="AF8" s="39">
        <f t="shared" si="5"/>
        <v>0</v>
      </c>
      <c r="AG8" s="39">
        <f t="shared" si="6"/>
        <v>0</v>
      </c>
    </row>
    <row r="9" spans="1:35" s="16" customFormat="1" ht="35.1" customHeight="1" x14ac:dyDescent="0.25">
      <c r="A9" s="61">
        <v>8</v>
      </c>
      <c r="B9" s="62" t="s">
        <v>220</v>
      </c>
      <c r="C9" s="61" t="s">
        <v>894</v>
      </c>
      <c r="D9" s="61" t="s">
        <v>391</v>
      </c>
      <c r="E9" s="61" t="s">
        <v>749</v>
      </c>
      <c r="F9" s="62" t="s">
        <v>220</v>
      </c>
      <c r="G9" s="62" t="s">
        <v>587</v>
      </c>
      <c r="H9" s="63" t="s">
        <v>522</v>
      </c>
      <c r="I9" s="29">
        <v>9.15</v>
      </c>
      <c r="J9" s="64">
        <v>3</v>
      </c>
      <c r="K9" s="64">
        <v>3.1</v>
      </c>
      <c r="L9" s="29">
        <v>5.7</v>
      </c>
      <c r="M9" s="29"/>
      <c r="N9" s="29"/>
      <c r="O9" s="65" t="s">
        <v>861</v>
      </c>
      <c r="P9" s="70" t="s">
        <v>732</v>
      </c>
      <c r="Q9" s="24" t="s">
        <v>102</v>
      </c>
      <c r="R9" s="54" t="str">
        <f t="shared" si="0"/>
        <v>NARROW</v>
      </c>
      <c r="S9" s="29" t="s">
        <v>102</v>
      </c>
      <c r="T9" s="29" t="s">
        <v>32</v>
      </c>
      <c r="U9" s="29"/>
      <c r="V9" s="43">
        <v>3650</v>
      </c>
      <c r="W9" s="45">
        <v>0</v>
      </c>
      <c r="X9" s="75"/>
      <c r="Y9" s="75"/>
      <c r="Z9" s="39">
        <f t="shared" si="7"/>
        <v>1</v>
      </c>
      <c r="AA9" s="39">
        <f t="shared" si="1"/>
        <v>1</v>
      </c>
      <c r="AB9" s="39">
        <f t="shared" si="8"/>
        <v>1</v>
      </c>
      <c r="AC9" s="39" t="str">
        <f t="shared" si="2"/>
        <v>A</v>
      </c>
      <c r="AD9" s="39" t="str">
        <f t="shared" si="3"/>
        <v>B</v>
      </c>
      <c r="AE9" s="39" t="str">
        <f t="shared" si="4"/>
        <v>C</v>
      </c>
      <c r="AF9" s="39" t="str">
        <f t="shared" si="5"/>
        <v>D</v>
      </c>
      <c r="AG9" s="39">
        <f t="shared" si="6"/>
        <v>0</v>
      </c>
    </row>
    <row r="10" spans="1:35" s="16" customFormat="1" ht="35.1" customHeight="1" x14ac:dyDescent="0.25">
      <c r="A10" s="61">
        <v>9</v>
      </c>
      <c r="B10" s="62" t="s">
        <v>117</v>
      </c>
      <c r="C10" s="61" t="s">
        <v>894</v>
      </c>
      <c r="D10" s="27" t="s">
        <v>294</v>
      </c>
      <c r="E10" s="61" t="s">
        <v>749</v>
      </c>
      <c r="F10" s="62" t="s">
        <v>472</v>
      </c>
      <c r="G10" s="62" t="s">
        <v>473</v>
      </c>
      <c r="H10" s="63" t="s">
        <v>522</v>
      </c>
      <c r="I10" s="29">
        <v>34</v>
      </c>
      <c r="J10" s="64">
        <v>7</v>
      </c>
      <c r="K10" s="64">
        <v>4.9000000000000004</v>
      </c>
      <c r="L10" s="29">
        <v>5.4</v>
      </c>
      <c r="M10" s="29"/>
      <c r="N10" s="29"/>
      <c r="O10" s="65" t="s">
        <v>858</v>
      </c>
      <c r="P10" s="70" t="s">
        <v>731</v>
      </c>
      <c r="Q10" s="24" t="s">
        <v>102</v>
      </c>
      <c r="R10" s="54" t="str">
        <f t="shared" si="0"/>
        <v>NARROW</v>
      </c>
      <c r="S10" s="29" t="s">
        <v>102</v>
      </c>
      <c r="T10" s="29" t="s">
        <v>32</v>
      </c>
      <c r="U10" s="29"/>
      <c r="V10" s="27"/>
      <c r="W10" s="44"/>
      <c r="X10" s="74"/>
      <c r="Y10" s="74"/>
      <c r="Z10" s="39">
        <f t="shared" si="7"/>
        <v>1</v>
      </c>
      <c r="AA10" s="39">
        <f t="shared" si="1"/>
        <v>1</v>
      </c>
      <c r="AB10" s="39">
        <f t="shared" si="8"/>
        <v>1</v>
      </c>
      <c r="AC10" s="39" t="str">
        <f t="shared" si="2"/>
        <v>A</v>
      </c>
      <c r="AD10" s="39" t="str">
        <f t="shared" si="3"/>
        <v>B</v>
      </c>
      <c r="AE10" s="39" t="str">
        <f t="shared" si="4"/>
        <v>C</v>
      </c>
      <c r="AF10" s="39" t="str">
        <f t="shared" si="5"/>
        <v>D</v>
      </c>
      <c r="AG10" s="39">
        <f t="shared" si="6"/>
        <v>0</v>
      </c>
    </row>
    <row r="11" spans="1:35" s="16" customFormat="1" ht="35.1" customHeight="1" x14ac:dyDescent="0.25">
      <c r="A11" s="61">
        <v>10</v>
      </c>
      <c r="B11" s="62" t="s">
        <v>118</v>
      </c>
      <c r="C11" s="61" t="s">
        <v>895</v>
      </c>
      <c r="D11" s="61" t="s">
        <v>295</v>
      </c>
      <c r="E11" s="61" t="s">
        <v>749</v>
      </c>
      <c r="F11" s="62" t="s">
        <v>118</v>
      </c>
      <c r="G11" s="62" t="s">
        <v>121</v>
      </c>
      <c r="H11" s="63" t="s">
        <v>522</v>
      </c>
      <c r="I11" s="29">
        <v>10.6</v>
      </c>
      <c r="J11" s="64">
        <v>3</v>
      </c>
      <c r="K11" s="64">
        <v>5</v>
      </c>
      <c r="L11" s="29">
        <v>7.2</v>
      </c>
      <c r="M11" s="29"/>
      <c r="N11" s="29"/>
      <c r="O11" s="65" t="s">
        <v>650</v>
      </c>
      <c r="P11" s="70" t="s">
        <v>731</v>
      </c>
      <c r="Q11" s="24" t="s">
        <v>857</v>
      </c>
      <c r="R11" s="54" t="str">
        <f t="shared" si="0"/>
        <v>NARROW</v>
      </c>
      <c r="S11" s="29" t="s">
        <v>27</v>
      </c>
      <c r="T11" s="29" t="s">
        <v>32</v>
      </c>
      <c r="U11" s="29"/>
      <c r="V11" s="22"/>
      <c r="W11" s="45"/>
      <c r="X11" s="75"/>
      <c r="Y11" s="75"/>
      <c r="Z11" s="39">
        <f t="shared" si="7"/>
        <v>1</v>
      </c>
      <c r="AA11" s="39">
        <f t="shared" si="1"/>
        <v>1</v>
      </c>
      <c r="AB11" s="39">
        <f t="shared" si="8"/>
        <v>0</v>
      </c>
      <c r="AC11" s="39">
        <f t="shared" si="2"/>
        <v>0</v>
      </c>
      <c r="AD11" s="39" t="str">
        <f t="shared" si="3"/>
        <v>B</v>
      </c>
      <c r="AE11" s="39">
        <f t="shared" si="4"/>
        <v>0</v>
      </c>
      <c r="AF11" s="39">
        <f t="shared" si="5"/>
        <v>0</v>
      </c>
      <c r="AG11" s="39">
        <f t="shared" si="6"/>
        <v>0</v>
      </c>
    </row>
    <row r="12" spans="1:35" s="16" customFormat="1" ht="35.1" customHeight="1" x14ac:dyDescent="0.25">
      <c r="A12" s="61">
        <v>11</v>
      </c>
      <c r="B12" s="62" t="s">
        <v>121</v>
      </c>
      <c r="C12" s="61" t="s">
        <v>896</v>
      </c>
      <c r="D12" s="61" t="s">
        <v>403</v>
      </c>
      <c r="E12" s="61" t="s">
        <v>749</v>
      </c>
      <c r="F12" s="62" t="s">
        <v>121</v>
      </c>
      <c r="G12" s="62" t="s">
        <v>116</v>
      </c>
      <c r="H12" s="63" t="s">
        <v>522</v>
      </c>
      <c r="I12" s="29">
        <v>14.4</v>
      </c>
      <c r="J12" s="64">
        <v>2</v>
      </c>
      <c r="K12" s="64">
        <v>6.2</v>
      </c>
      <c r="L12" s="29">
        <v>7.55</v>
      </c>
      <c r="M12" s="29"/>
      <c r="N12" s="29"/>
      <c r="O12" s="65" t="s">
        <v>863</v>
      </c>
      <c r="P12" s="70" t="s">
        <v>733</v>
      </c>
      <c r="Q12" s="24" t="s">
        <v>102</v>
      </c>
      <c r="R12" s="54" t="str">
        <f t="shared" si="0"/>
        <v>OK</v>
      </c>
      <c r="S12" s="29" t="s">
        <v>102</v>
      </c>
      <c r="T12" s="29" t="s">
        <v>32</v>
      </c>
      <c r="U12" s="29"/>
      <c r="V12" s="22"/>
      <c r="W12" s="45"/>
      <c r="X12" s="75"/>
      <c r="Y12" s="75"/>
      <c r="Z12" s="39">
        <f t="shared" si="7"/>
        <v>0</v>
      </c>
      <c r="AA12" s="39">
        <f t="shared" si="1"/>
        <v>1</v>
      </c>
      <c r="AB12" s="39">
        <f t="shared" si="8"/>
        <v>1</v>
      </c>
      <c r="AC12" s="39">
        <f t="shared" si="2"/>
        <v>0</v>
      </c>
      <c r="AD12" s="39">
        <f t="shared" si="3"/>
        <v>0</v>
      </c>
      <c r="AE12" s="39" t="str">
        <f t="shared" si="4"/>
        <v>C</v>
      </c>
      <c r="AF12" s="39">
        <f t="shared" si="5"/>
        <v>0</v>
      </c>
      <c r="AG12" s="39">
        <f t="shared" si="6"/>
        <v>0</v>
      </c>
    </row>
    <row r="13" spans="1:35" s="16" customFormat="1" ht="35.1" customHeight="1" x14ac:dyDescent="0.25">
      <c r="A13" s="61">
        <v>12</v>
      </c>
      <c r="B13" s="62" t="s">
        <v>119</v>
      </c>
      <c r="C13" s="61" t="s">
        <v>897</v>
      </c>
      <c r="D13" s="61" t="s">
        <v>296</v>
      </c>
      <c r="E13" s="61" t="s">
        <v>749</v>
      </c>
      <c r="F13" s="62" t="s">
        <v>121</v>
      </c>
      <c r="G13" s="62" t="s">
        <v>116</v>
      </c>
      <c r="H13" s="63" t="s">
        <v>851</v>
      </c>
      <c r="I13" s="29">
        <v>13.7</v>
      </c>
      <c r="J13" s="64">
        <v>2</v>
      </c>
      <c r="K13" s="64">
        <v>6.65</v>
      </c>
      <c r="L13" s="29">
        <v>8.1999999999999993</v>
      </c>
      <c r="M13" s="29"/>
      <c r="N13" s="29"/>
      <c r="O13" s="65" t="s">
        <v>864</v>
      </c>
      <c r="P13" s="70" t="s">
        <v>731</v>
      </c>
      <c r="Q13" s="24" t="s">
        <v>102</v>
      </c>
      <c r="R13" s="54" t="str">
        <f t="shared" si="0"/>
        <v>OK</v>
      </c>
      <c r="S13" s="29" t="s">
        <v>102</v>
      </c>
      <c r="T13" s="29" t="s">
        <v>32</v>
      </c>
      <c r="U13" s="29"/>
      <c r="V13" s="22"/>
      <c r="W13" s="45"/>
      <c r="X13" s="75"/>
      <c r="Y13" s="75"/>
      <c r="Z13" s="39">
        <f t="shared" si="7"/>
        <v>0</v>
      </c>
      <c r="AA13" s="39">
        <f t="shared" si="1"/>
        <v>1</v>
      </c>
      <c r="AB13" s="39">
        <f t="shared" si="8"/>
        <v>1</v>
      </c>
      <c r="AC13" s="39">
        <f t="shared" si="2"/>
        <v>0</v>
      </c>
      <c r="AD13" s="39">
        <f t="shared" si="3"/>
        <v>0</v>
      </c>
      <c r="AE13" s="39" t="str">
        <f t="shared" si="4"/>
        <v>C</v>
      </c>
      <c r="AF13" s="39">
        <f t="shared" si="5"/>
        <v>0</v>
      </c>
      <c r="AG13" s="39">
        <f t="shared" si="6"/>
        <v>0</v>
      </c>
    </row>
    <row r="14" spans="1:35" s="16" customFormat="1" ht="35.1" customHeight="1" x14ac:dyDescent="0.25">
      <c r="A14" s="61">
        <v>13</v>
      </c>
      <c r="B14" s="62" t="s">
        <v>121</v>
      </c>
      <c r="C14" s="61" t="s">
        <v>897</v>
      </c>
      <c r="D14" s="61" t="s">
        <v>296</v>
      </c>
      <c r="E14" s="61" t="s">
        <v>749</v>
      </c>
      <c r="F14" s="62" t="s">
        <v>121</v>
      </c>
      <c r="G14" s="62" t="s">
        <v>116</v>
      </c>
      <c r="H14" s="63" t="s">
        <v>522</v>
      </c>
      <c r="I14" s="29">
        <v>4.4000000000000004</v>
      </c>
      <c r="J14" s="64">
        <v>1</v>
      </c>
      <c r="K14" s="64">
        <v>4.4000000000000004</v>
      </c>
      <c r="L14" s="29">
        <v>7.1</v>
      </c>
      <c r="M14" s="29"/>
      <c r="N14" s="29"/>
      <c r="O14" s="65" t="s">
        <v>652</v>
      </c>
      <c r="P14" s="70" t="s">
        <v>731</v>
      </c>
      <c r="Q14" s="24" t="s">
        <v>857</v>
      </c>
      <c r="R14" s="54" t="str">
        <f t="shared" si="0"/>
        <v>NARROW</v>
      </c>
      <c r="S14" s="29" t="s">
        <v>27</v>
      </c>
      <c r="T14" s="29" t="s">
        <v>32</v>
      </c>
      <c r="U14" s="29"/>
      <c r="V14" s="22"/>
      <c r="W14" s="45"/>
      <c r="X14" s="75"/>
      <c r="Y14" s="75"/>
      <c r="Z14" s="39">
        <f t="shared" si="7"/>
        <v>1</v>
      </c>
      <c r="AA14" s="39">
        <f t="shared" si="1"/>
        <v>1</v>
      </c>
      <c r="AB14" s="39">
        <f t="shared" si="8"/>
        <v>0</v>
      </c>
      <c r="AC14" s="39">
        <f t="shared" si="2"/>
        <v>0</v>
      </c>
      <c r="AD14" s="39" t="str">
        <f t="shared" si="3"/>
        <v>B</v>
      </c>
      <c r="AE14" s="39">
        <f t="shared" si="4"/>
        <v>0</v>
      </c>
      <c r="AF14" s="39">
        <f t="shared" si="5"/>
        <v>0</v>
      </c>
      <c r="AG14" s="39">
        <f t="shared" si="6"/>
        <v>0</v>
      </c>
    </row>
    <row r="15" spans="1:35" s="16" customFormat="1" ht="35.1" customHeight="1" x14ac:dyDescent="0.25">
      <c r="A15" s="61">
        <v>14</v>
      </c>
      <c r="B15" s="62" t="s">
        <v>121</v>
      </c>
      <c r="C15" s="61" t="s">
        <v>897</v>
      </c>
      <c r="D15" s="61" t="s">
        <v>296</v>
      </c>
      <c r="E15" s="61" t="s">
        <v>749</v>
      </c>
      <c r="F15" s="62" t="s">
        <v>121</v>
      </c>
      <c r="G15" s="62" t="s">
        <v>116</v>
      </c>
      <c r="H15" s="63" t="s">
        <v>40</v>
      </c>
      <c r="I15" s="29">
        <v>6.4</v>
      </c>
      <c r="J15" s="64">
        <v>1</v>
      </c>
      <c r="K15" s="64">
        <v>6.4</v>
      </c>
      <c r="L15" s="29">
        <v>6.9</v>
      </c>
      <c r="M15" s="29"/>
      <c r="N15" s="29"/>
      <c r="O15" s="65" t="s">
        <v>865</v>
      </c>
      <c r="P15" s="70" t="s">
        <v>731</v>
      </c>
      <c r="Q15" s="24" t="s">
        <v>102</v>
      </c>
      <c r="R15" s="54" t="str">
        <f t="shared" si="0"/>
        <v>NARROW</v>
      </c>
      <c r="S15" s="29" t="s">
        <v>102</v>
      </c>
      <c r="T15" s="29" t="s">
        <v>32</v>
      </c>
      <c r="U15" s="29"/>
      <c r="V15" s="22"/>
      <c r="W15" s="45"/>
      <c r="X15" s="75"/>
      <c r="Y15" s="75"/>
      <c r="Z15" s="39">
        <f t="shared" si="7"/>
        <v>1</v>
      </c>
      <c r="AA15" s="39">
        <f t="shared" si="1"/>
        <v>1</v>
      </c>
      <c r="AB15" s="39">
        <f t="shared" si="8"/>
        <v>1</v>
      </c>
      <c r="AC15" s="39" t="str">
        <f t="shared" si="2"/>
        <v>A</v>
      </c>
      <c r="AD15" s="39" t="str">
        <f t="shared" si="3"/>
        <v>B</v>
      </c>
      <c r="AE15" s="39" t="str">
        <f t="shared" si="4"/>
        <v>C</v>
      </c>
      <c r="AF15" s="39" t="str">
        <f t="shared" si="5"/>
        <v>D</v>
      </c>
      <c r="AG15" s="39">
        <f t="shared" si="6"/>
        <v>0</v>
      </c>
      <c r="AI15" s="16">
        <f>I15</f>
        <v>6.4</v>
      </c>
    </row>
    <row r="16" spans="1:35" s="16" customFormat="1" ht="35.1" customHeight="1" x14ac:dyDescent="0.25">
      <c r="A16" s="61">
        <v>15</v>
      </c>
      <c r="B16" s="62" t="s">
        <v>116</v>
      </c>
      <c r="C16" s="61" t="s">
        <v>898</v>
      </c>
      <c r="D16" s="61" t="s">
        <v>293</v>
      </c>
      <c r="E16" s="61" t="s">
        <v>749</v>
      </c>
      <c r="F16" s="62" t="s">
        <v>116</v>
      </c>
      <c r="G16" s="62" t="s">
        <v>471</v>
      </c>
      <c r="H16" s="63" t="s">
        <v>522</v>
      </c>
      <c r="I16" s="29">
        <v>22</v>
      </c>
      <c r="J16" s="64">
        <v>1</v>
      </c>
      <c r="K16" s="64">
        <v>22</v>
      </c>
      <c r="L16" s="29">
        <v>12.2</v>
      </c>
      <c r="M16" s="29">
        <v>2013</v>
      </c>
      <c r="N16" s="29"/>
      <c r="O16" s="65" t="s">
        <v>649</v>
      </c>
      <c r="P16" s="70" t="s">
        <v>730</v>
      </c>
      <c r="Q16" s="24" t="s">
        <v>27</v>
      </c>
      <c r="R16" s="54" t="str">
        <f t="shared" si="0"/>
        <v>OK</v>
      </c>
      <c r="S16" s="29" t="s">
        <v>27</v>
      </c>
      <c r="T16" s="29" t="s">
        <v>33</v>
      </c>
      <c r="U16" s="29"/>
      <c r="V16" s="22"/>
      <c r="W16" s="45"/>
      <c r="X16" s="75"/>
      <c r="Y16" s="75"/>
      <c r="Z16" s="39">
        <f t="shared" si="7"/>
        <v>0</v>
      </c>
      <c r="AA16" s="39">
        <f t="shared" si="1"/>
        <v>0</v>
      </c>
      <c r="AB16" s="39">
        <f t="shared" si="8"/>
        <v>0</v>
      </c>
      <c r="AC16" s="39">
        <f t="shared" si="2"/>
        <v>0</v>
      </c>
      <c r="AD16" s="39">
        <f t="shared" si="3"/>
        <v>0</v>
      </c>
      <c r="AE16" s="39">
        <f t="shared" si="4"/>
        <v>0</v>
      </c>
      <c r="AF16" s="39">
        <f t="shared" si="5"/>
        <v>0</v>
      </c>
      <c r="AG16" s="39" t="str">
        <f t="shared" si="6"/>
        <v>E</v>
      </c>
    </row>
    <row r="17" spans="1:33" s="16" customFormat="1" ht="35.1" customHeight="1" x14ac:dyDescent="0.25">
      <c r="A17" s="61">
        <v>16</v>
      </c>
      <c r="B17" s="62" t="s">
        <v>230</v>
      </c>
      <c r="C17" s="61" t="s">
        <v>899</v>
      </c>
      <c r="D17" s="61" t="s">
        <v>404</v>
      </c>
      <c r="E17" s="61" t="s">
        <v>749</v>
      </c>
      <c r="F17" s="62" t="s">
        <v>230</v>
      </c>
      <c r="G17" s="62" t="s">
        <v>477</v>
      </c>
      <c r="H17" s="63" t="s">
        <v>851</v>
      </c>
      <c r="I17" s="29">
        <v>16.2</v>
      </c>
      <c r="J17" s="64">
        <v>2</v>
      </c>
      <c r="K17" s="64">
        <v>8.1</v>
      </c>
      <c r="L17" s="29">
        <v>4.3</v>
      </c>
      <c r="M17" s="29"/>
      <c r="N17" s="29"/>
      <c r="O17" s="65" t="s">
        <v>866</v>
      </c>
      <c r="P17" s="70" t="s">
        <v>733</v>
      </c>
      <c r="Q17" s="24" t="s">
        <v>102</v>
      </c>
      <c r="R17" s="54" t="str">
        <f t="shared" si="0"/>
        <v>NARROW</v>
      </c>
      <c r="S17" s="29" t="s">
        <v>102</v>
      </c>
      <c r="T17" s="29" t="s">
        <v>32</v>
      </c>
      <c r="U17" s="29"/>
      <c r="V17" s="22"/>
      <c r="W17" s="45"/>
      <c r="X17" s="75"/>
      <c r="Y17" s="75"/>
      <c r="Z17" s="39">
        <f t="shared" si="7"/>
        <v>1</v>
      </c>
      <c r="AA17" s="39">
        <f t="shared" si="1"/>
        <v>1</v>
      </c>
      <c r="AB17" s="39">
        <f t="shared" si="8"/>
        <v>1</v>
      </c>
      <c r="AC17" s="39" t="str">
        <f t="shared" si="2"/>
        <v>A</v>
      </c>
      <c r="AD17" s="39" t="str">
        <f t="shared" si="3"/>
        <v>B</v>
      </c>
      <c r="AE17" s="39" t="str">
        <f t="shared" si="4"/>
        <v>C</v>
      </c>
      <c r="AF17" s="39" t="str">
        <f t="shared" si="5"/>
        <v>D</v>
      </c>
      <c r="AG17" s="39">
        <f t="shared" si="6"/>
        <v>0</v>
      </c>
    </row>
    <row r="18" spans="1:33" s="16" customFormat="1" ht="35.1" customHeight="1" x14ac:dyDescent="0.25">
      <c r="A18" s="61">
        <v>17</v>
      </c>
      <c r="B18" s="62" t="s">
        <v>124</v>
      </c>
      <c r="C18" s="61" t="s">
        <v>890</v>
      </c>
      <c r="D18" s="61" t="s">
        <v>300</v>
      </c>
      <c r="E18" s="61" t="s">
        <v>749</v>
      </c>
      <c r="F18" s="62" t="s">
        <v>230</v>
      </c>
      <c r="G18" s="62" t="s">
        <v>477</v>
      </c>
      <c r="H18" s="63" t="s">
        <v>851</v>
      </c>
      <c r="I18" s="29">
        <v>4.5</v>
      </c>
      <c r="J18" s="64">
        <v>1</v>
      </c>
      <c r="K18" s="64"/>
      <c r="L18" s="29">
        <v>4.5</v>
      </c>
      <c r="M18" s="29"/>
      <c r="N18" s="29"/>
      <c r="O18" s="65" t="s">
        <v>655</v>
      </c>
      <c r="P18" s="70" t="s">
        <v>731</v>
      </c>
      <c r="Q18" s="24" t="s">
        <v>102</v>
      </c>
      <c r="R18" s="54" t="str">
        <f t="shared" si="0"/>
        <v>NARROW</v>
      </c>
      <c r="S18" s="29" t="s">
        <v>102</v>
      </c>
      <c r="T18" s="29" t="s">
        <v>32</v>
      </c>
      <c r="U18" s="29"/>
      <c r="V18" s="22"/>
      <c r="W18" s="45"/>
      <c r="X18" s="75"/>
      <c r="Y18" s="75"/>
      <c r="Z18" s="39">
        <f t="shared" si="7"/>
        <v>1</v>
      </c>
      <c r="AA18" s="39">
        <f t="shared" si="1"/>
        <v>1</v>
      </c>
      <c r="AB18" s="39">
        <f t="shared" si="8"/>
        <v>1</v>
      </c>
      <c r="AC18" s="39" t="str">
        <f t="shared" si="2"/>
        <v>A</v>
      </c>
      <c r="AD18" s="39" t="str">
        <f t="shared" si="3"/>
        <v>B</v>
      </c>
      <c r="AE18" s="39" t="str">
        <f t="shared" si="4"/>
        <v>C</v>
      </c>
      <c r="AF18" s="39" t="str">
        <f t="shared" si="5"/>
        <v>D</v>
      </c>
      <c r="AG18" s="39">
        <f t="shared" si="6"/>
        <v>0</v>
      </c>
    </row>
    <row r="19" spans="1:33" s="16" customFormat="1" ht="35.1" customHeight="1" x14ac:dyDescent="0.25">
      <c r="A19" s="61">
        <v>18</v>
      </c>
      <c r="B19" s="62" t="s">
        <v>127</v>
      </c>
      <c r="C19" s="61" t="s">
        <v>900</v>
      </c>
      <c r="D19" s="61" t="s">
        <v>303</v>
      </c>
      <c r="E19" s="61" t="s">
        <v>749</v>
      </c>
      <c r="F19" s="62" t="s">
        <v>480</v>
      </c>
      <c r="G19" s="62" t="s">
        <v>481</v>
      </c>
      <c r="H19" s="63" t="s">
        <v>886</v>
      </c>
      <c r="I19" s="29">
        <v>12</v>
      </c>
      <c r="J19" s="64">
        <v>2</v>
      </c>
      <c r="K19" s="64">
        <v>6</v>
      </c>
      <c r="L19" s="29">
        <v>10</v>
      </c>
      <c r="M19" s="29"/>
      <c r="N19" s="29"/>
      <c r="O19" s="65" t="s">
        <v>657</v>
      </c>
      <c r="P19" s="70" t="s">
        <v>731</v>
      </c>
      <c r="Q19" s="24" t="s">
        <v>857</v>
      </c>
      <c r="R19" s="54" t="str">
        <f t="shared" si="0"/>
        <v>OK</v>
      </c>
      <c r="S19" s="29" t="s">
        <v>27</v>
      </c>
      <c r="T19" s="29" t="s">
        <v>32</v>
      </c>
      <c r="U19" s="29"/>
      <c r="V19" s="22"/>
      <c r="W19" s="45"/>
      <c r="X19" s="75"/>
      <c r="Y19" s="75"/>
      <c r="Z19" s="39">
        <f t="shared" si="7"/>
        <v>0</v>
      </c>
      <c r="AA19" s="39">
        <f t="shared" si="1"/>
        <v>1</v>
      </c>
      <c r="AB19" s="39">
        <f t="shared" si="8"/>
        <v>0</v>
      </c>
      <c r="AC19" s="39">
        <f t="shared" si="2"/>
        <v>0</v>
      </c>
      <c r="AD19" s="39">
        <f t="shared" si="3"/>
        <v>0</v>
      </c>
      <c r="AE19" s="39">
        <f t="shared" si="4"/>
        <v>0</v>
      </c>
      <c r="AF19" s="39">
        <f t="shared" si="5"/>
        <v>0</v>
      </c>
      <c r="AG19" s="39">
        <f t="shared" si="6"/>
        <v>0</v>
      </c>
    </row>
    <row r="20" spans="1:33" s="16" customFormat="1" ht="35.1" customHeight="1" x14ac:dyDescent="0.25">
      <c r="A20" s="61">
        <v>19</v>
      </c>
      <c r="B20" s="62" t="s">
        <v>120</v>
      </c>
      <c r="C20" s="61" t="s">
        <v>901</v>
      </c>
      <c r="D20" s="61" t="s">
        <v>297</v>
      </c>
      <c r="E20" s="61" t="s">
        <v>749</v>
      </c>
      <c r="F20" s="62" t="s">
        <v>120</v>
      </c>
      <c r="G20" s="62" t="s">
        <v>474</v>
      </c>
      <c r="H20" s="63" t="s">
        <v>522</v>
      </c>
      <c r="I20" s="29">
        <v>13.6</v>
      </c>
      <c r="J20" s="64">
        <v>1</v>
      </c>
      <c r="K20" s="64">
        <v>13.6</v>
      </c>
      <c r="L20" s="29">
        <v>10.3</v>
      </c>
      <c r="M20" s="29"/>
      <c r="N20" s="29"/>
      <c r="O20" s="65" t="s">
        <v>651</v>
      </c>
      <c r="P20" s="70" t="s">
        <v>730</v>
      </c>
      <c r="Q20" s="24" t="s">
        <v>857</v>
      </c>
      <c r="R20" s="54" t="str">
        <f t="shared" si="0"/>
        <v>OK</v>
      </c>
      <c r="S20" s="29" t="s">
        <v>27</v>
      </c>
      <c r="T20" s="29" t="s">
        <v>32</v>
      </c>
      <c r="U20" s="29"/>
      <c r="V20" s="43">
        <v>12357</v>
      </c>
      <c r="W20" s="45">
        <v>2</v>
      </c>
      <c r="X20" s="75"/>
      <c r="Y20" s="75"/>
      <c r="Z20" s="39">
        <f t="shared" si="7"/>
        <v>0</v>
      </c>
      <c r="AA20" s="39">
        <f t="shared" si="1"/>
        <v>1</v>
      </c>
      <c r="AB20" s="39">
        <f t="shared" si="8"/>
        <v>0</v>
      </c>
      <c r="AC20" s="39">
        <f t="shared" si="2"/>
        <v>0</v>
      </c>
      <c r="AD20" s="39">
        <f t="shared" si="3"/>
        <v>0</v>
      </c>
      <c r="AE20" s="39">
        <f t="shared" si="4"/>
        <v>0</v>
      </c>
      <c r="AF20" s="39">
        <f t="shared" si="5"/>
        <v>0</v>
      </c>
      <c r="AG20" s="39">
        <f t="shared" si="6"/>
        <v>0</v>
      </c>
    </row>
    <row r="21" spans="1:33" s="16" customFormat="1" ht="35.1" customHeight="1" x14ac:dyDescent="0.25">
      <c r="A21" s="61">
        <v>20</v>
      </c>
      <c r="B21" s="62" t="s">
        <v>131</v>
      </c>
      <c r="C21" s="61" t="s">
        <v>902</v>
      </c>
      <c r="D21" s="61" t="s">
        <v>309</v>
      </c>
      <c r="E21" s="61" t="s">
        <v>749</v>
      </c>
      <c r="F21" s="62" t="s">
        <v>131</v>
      </c>
      <c r="G21" s="62" t="s">
        <v>485</v>
      </c>
      <c r="H21" s="63" t="s">
        <v>522</v>
      </c>
      <c r="I21" s="29">
        <v>39</v>
      </c>
      <c r="J21" s="64">
        <v>2</v>
      </c>
      <c r="K21" s="64">
        <v>29.2</v>
      </c>
      <c r="L21" s="29">
        <v>12.4</v>
      </c>
      <c r="M21" s="29"/>
      <c r="N21" s="29"/>
      <c r="O21" s="65" t="s">
        <v>663</v>
      </c>
      <c r="P21" s="70" t="s">
        <v>731</v>
      </c>
      <c r="Q21" s="24" t="s">
        <v>857</v>
      </c>
      <c r="R21" s="54" t="str">
        <f t="shared" si="0"/>
        <v>OK</v>
      </c>
      <c r="S21" s="29" t="s">
        <v>27</v>
      </c>
      <c r="T21" s="29" t="s">
        <v>32</v>
      </c>
      <c r="U21" s="29"/>
      <c r="V21" s="22"/>
      <c r="W21" s="45"/>
      <c r="X21" s="75"/>
      <c r="Y21" s="75"/>
      <c r="Z21" s="39">
        <f t="shared" si="7"/>
        <v>0</v>
      </c>
      <c r="AA21" s="39">
        <f t="shared" si="1"/>
        <v>1</v>
      </c>
      <c r="AB21" s="39">
        <f t="shared" si="8"/>
        <v>0</v>
      </c>
      <c r="AC21" s="39">
        <f t="shared" si="2"/>
        <v>0</v>
      </c>
      <c r="AD21" s="39">
        <f t="shared" si="3"/>
        <v>0</v>
      </c>
      <c r="AE21" s="39">
        <f t="shared" si="4"/>
        <v>0</v>
      </c>
      <c r="AF21" s="39">
        <f t="shared" si="5"/>
        <v>0</v>
      </c>
      <c r="AG21" s="39">
        <f t="shared" si="6"/>
        <v>0</v>
      </c>
    </row>
    <row r="22" spans="1:33" s="16" customFormat="1" ht="35.1" customHeight="1" x14ac:dyDescent="0.25">
      <c r="A22" s="61">
        <v>21</v>
      </c>
      <c r="B22" s="62" t="s">
        <v>122</v>
      </c>
      <c r="C22" s="61" t="s">
        <v>903</v>
      </c>
      <c r="D22" s="61" t="s">
        <v>298</v>
      </c>
      <c r="E22" s="61" t="s">
        <v>749</v>
      </c>
      <c r="F22" s="62" t="s">
        <v>122</v>
      </c>
      <c r="G22" s="62" t="s">
        <v>475</v>
      </c>
      <c r="H22" s="121" t="s">
        <v>522</v>
      </c>
      <c r="I22" s="29">
        <v>5</v>
      </c>
      <c r="J22" s="64">
        <v>1</v>
      </c>
      <c r="K22" s="64">
        <v>4.6500000000000004</v>
      </c>
      <c r="L22" s="29">
        <v>8.1999999999999993</v>
      </c>
      <c r="M22" s="29"/>
      <c r="N22" s="29"/>
      <c r="O22" s="65" t="s">
        <v>653</v>
      </c>
      <c r="P22" s="70" t="s">
        <v>730</v>
      </c>
      <c r="Q22" s="24" t="s">
        <v>857</v>
      </c>
      <c r="R22" s="54" t="str">
        <f t="shared" si="0"/>
        <v>OK</v>
      </c>
      <c r="S22" s="29" t="s">
        <v>27</v>
      </c>
      <c r="T22" s="29" t="s">
        <v>32</v>
      </c>
      <c r="U22" s="29"/>
      <c r="V22" s="22"/>
      <c r="W22" s="45"/>
      <c r="X22" s="75"/>
      <c r="Y22" s="75"/>
      <c r="Z22" s="39">
        <f t="shared" si="7"/>
        <v>0</v>
      </c>
      <c r="AA22" s="39">
        <f t="shared" si="1"/>
        <v>1</v>
      </c>
      <c r="AB22" s="39">
        <f t="shared" si="8"/>
        <v>0</v>
      </c>
      <c r="AC22" s="39">
        <f t="shared" si="2"/>
        <v>0</v>
      </c>
      <c r="AD22" s="39">
        <f t="shared" si="3"/>
        <v>0</v>
      </c>
      <c r="AE22" s="39">
        <f t="shared" si="4"/>
        <v>0</v>
      </c>
      <c r="AF22" s="39">
        <f t="shared" si="5"/>
        <v>0</v>
      </c>
      <c r="AG22" s="39">
        <f t="shared" si="6"/>
        <v>0</v>
      </c>
    </row>
    <row r="23" spans="1:33" s="16" customFormat="1" ht="35.1" customHeight="1" x14ac:dyDescent="0.25">
      <c r="A23" s="61">
        <v>22</v>
      </c>
      <c r="B23" s="62" t="s">
        <v>132</v>
      </c>
      <c r="C23" s="61" t="s">
        <v>904</v>
      </c>
      <c r="D23" s="64" t="s">
        <v>310</v>
      </c>
      <c r="E23" s="61" t="s">
        <v>749</v>
      </c>
      <c r="F23" s="62" t="s">
        <v>486</v>
      </c>
      <c r="G23" s="62" t="s">
        <v>123</v>
      </c>
      <c r="H23" s="121" t="s">
        <v>522</v>
      </c>
      <c r="I23" s="29">
        <v>6</v>
      </c>
      <c r="J23" s="64">
        <v>1</v>
      </c>
      <c r="K23" s="64">
        <v>6</v>
      </c>
      <c r="L23" s="29">
        <v>6.6</v>
      </c>
      <c r="M23" s="29">
        <v>1928</v>
      </c>
      <c r="N23" s="29"/>
      <c r="O23" s="65" t="s">
        <v>867</v>
      </c>
      <c r="P23" s="70" t="s">
        <v>731</v>
      </c>
      <c r="Q23" s="24" t="s">
        <v>102</v>
      </c>
      <c r="R23" s="54" t="str">
        <f t="shared" si="0"/>
        <v>NARROW</v>
      </c>
      <c r="S23" s="29" t="s">
        <v>102</v>
      </c>
      <c r="T23" s="29" t="s">
        <v>32</v>
      </c>
      <c r="U23" s="29"/>
      <c r="V23" s="29"/>
      <c r="W23" s="46"/>
      <c r="X23" s="76"/>
      <c r="Y23" s="76"/>
      <c r="Z23" s="39">
        <f t="shared" si="7"/>
        <v>1</v>
      </c>
      <c r="AA23" s="39">
        <f t="shared" si="1"/>
        <v>1</v>
      </c>
      <c r="AB23" s="39">
        <f t="shared" si="8"/>
        <v>1</v>
      </c>
      <c r="AC23" s="39" t="str">
        <f t="shared" si="2"/>
        <v>A</v>
      </c>
      <c r="AD23" s="39" t="str">
        <f t="shared" si="3"/>
        <v>B</v>
      </c>
      <c r="AE23" s="39" t="str">
        <f t="shared" si="4"/>
        <v>C</v>
      </c>
      <c r="AF23" s="39" t="str">
        <f t="shared" si="5"/>
        <v>D</v>
      </c>
      <c r="AG23" s="39">
        <f t="shared" si="6"/>
        <v>0</v>
      </c>
    </row>
    <row r="24" spans="1:33" s="16" customFormat="1" ht="35.1" customHeight="1" x14ac:dyDescent="0.25">
      <c r="A24" s="61">
        <v>23</v>
      </c>
      <c r="B24" s="62" t="s">
        <v>123</v>
      </c>
      <c r="C24" s="61" t="s">
        <v>905</v>
      </c>
      <c r="D24" s="64" t="s">
        <v>299</v>
      </c>
      <c r="E24" s="61" t="s">
        <v>749</v>
      </c>
      <c r="F24" s="62" t="s">
        <v>123</v>
      </c>
      <c r="G24" s="62" t="s">
        <v>476</v>
      </c>
      <c r="H24" s="63" t="s">
        <v>522</v>
      </c>
      <c r="I24" s="29">
        <v>21</v>
      </c>
      <c r="J24" s="64">
        <v>3</v>
      </c>
      <c r="K24" s="64">
        <v>7</v>
      </c>
      <c r="L24" s="29">
        <v>7</v>
      </c>
      <c r="M24" s="29">
        <v>1928</v>
      </c>
      <c r="N24" s="29"/>
      <c r="O24" s="65" t="s">
        <v>654</v>
      </c>
      <c r="P24" s="70" t="s">
        <v>731</v>
      </c>
      <c r="Q24" s="24" t="s">
        <v>102</v>
      </c>
      <c r="R24" s="54" t="str">
        <f t="shared" si="0"/>
        <v>NARROW</v>
      </c>
      <c r="S24" s="29" t="s">
        <v>102</v>
      </c>
      <c r="T24" s="29" t="s">
        <v>33</v>
      </c>
      <c r="U24" s="29"/>
      <c r="V24" s="29"/>
      <c r="W24" s="46"/>
      <c r="X24" s="76"/>
      <c r="Y24" s="76"/>
      <c r="Z24" s="39">
        <f t="shared" si="7"/>
        <v>1</v>
      </c>
      <c r="AA24" s="39">
        <f t="shared" si="1"/>
        <v>0</v>
      </c>
      <c r="AB24" s="39">
        <f t="shared" si="8"/>
        <v>1</v>
      </c>
      <c r="AC24" s="39" t="str">
        <f t="shared" si="2"/>
        <v>A</v>
      </c>
      <c r="AD24" s="39">
        <f t="shared" si="3"/>
        <v>0</v>
      </c>
      <c r="AE24" s="39">
        <f t="shared" si="4"/>
        <v>0</v>
      </c>
      <c r="AF24" s="39">
        <f t="shared" si="5"/>
        <v>0</v>
      </c>
      <c r="AG24" s="39">
        <f t="shared" si="6"/>
        <v>0</v>
      </c>
    </row>
    <row r="25" spans="1:33" s="16" customFormat="1" ht="35.1" customHeight="1" x14ac:dyDescent="0.25">
      <c r="A25" s="61">
        <v>24</v>
      </c>
      <c r="B25" s="62" t="s">
        <v>133</v>
      </c>
      <c r="C25" s="61" t="s">
        <v>906</v>
      </c>
      <c r="D25" s="64" t="s">
        <v>311</v>
      </c>
      <c r="E25" s="61" t="s">
        <v>749</v>
      </c>
      <c r="F25" s="62" t="s">
        <v>476</v>
      </c>
      <c r="G25" s="62" t="s">
        <v>125</v>
      </c>
      <c r="H25" s="63" t="s">
        <v>522</v>
      </c>
      <c r="I25" s="29">
        <v>7</v>
      </c>
      <c r="J25" s="64">
        <v>1</v>
      </c>
      <c r="K25" s="64">
        <v>7</v>
      </c>
      <c r="L25" s="29">
        <v>6.9</v>
      </c>
      <c r="M25" s="29">
        <v>1928</v>
      </c>
      <c r="N25" s="29"/>
      <c r="O25" s="65" t="s">
        <v>868</v>
      </c>
      <c r="P25" s="70" t="s">
        <v>731</v>
      </c>
      <c r="Q25" s="24" t="s">
        <v>857</v>
      </c>
      <c r="R25" s="54" t="str">
        <f t="shared" si="0"/>
        <v>NARROW</v>
      </c>
      <c r="S25" s="29" t="s">
        <v>27</v>
      </c>
      <c r="T25" s="29" t="s">
        <v>32</v>
      </c>
      <c r="U25" s="29"/>
      <c r="V25" s="29"/>
      <c r="W25" s="46"/>
      <c r="X25" s="76"/>
      <c r="Y25" s="76"/>
      <c r="Z25" s="39">
        <f t="shared" si="7"/>
        <v>1</v>
      </c>
      <c r="AA25" s="39">
        <f t="shared" si="1"/>
        <v>1</v>
      </c>
      <c r="AB25" s="39">
        <f t="shared" si="8"/>
        <v>0</v>
      </c>
      <c r="AC25" s="39">
        <f t="shared" si="2"/>
        <v>0</v>
      </c>
      <c r="AD25" s="39" t="str">
        <f t="shared" si="3"/>
        <v>B</v>
      </c>
      <c r="AE25" s="39">
        <f t="shared" si="4"/>
        <v>0</v>
      </c>
      <c r="AF25" s="39">
        <f t="shared" si="5"/>
        <v>0</v>
      </c>
      <c r="AG25" s="39">
        <f t="shared" si="6"/>
        <v>0</v>
      </c>
    </row>
    <row r="26" spans="1:33" s="16" customFormat="1" ht="35.1" customHeight="1" x14ac:dyDescent="0.25">
      <c r="A26" s="61">
        <v>25</v>
      </c>
      <c r="B26" s="62" t="s">
        <v>125</v>
      </c>
      <c r="C26" s="61" t="s">
        <v>907</v>
      </c>
      <c r="D26" s="61" t="s">
        <v>301</v>
      </c>
      <c r="E26" s="61" t="s">
        <v>749</v>
      </c>
      <c r="F26" s="62" t="s">
        <v>125</v>
      </c>
      <c r="G26" s="62" t="s">
        <v>478</v>
      </c>
      <c r="H26" s="63" t="s">
        <v>522</v>
      </c>
      <c r="I26" s="29">
        <v>7</v>
      </c>
      <c r="J26" s="64">
        <v>1</v>
      </c>
      <c r="K26" s="64">
        <v>6.4</v>
      </c>
      <c r="L26" s="29">
        <v>6.9</v>
      </c>
      <c r="M26" s="29">
        <v>1928</v>
      </c>
      <c r="N26" s="29"/>
      <c r="O26" s="65" t="s">
        <v>656</v>
      </c>
      <c r="P26" s="70" t="s">
        <v>731</v>
      </c>
      <c r="Q26" s="24" t="s">
        <v>857</v>
      </c>
      <c r="R26" s="54" t="str">
        <f t="shared" si="0"/>
        <v>NARROW</v>
      </c>
      <c r="S26" s="29" t="s">
        <v>27</v>
      </c>
      <c r="T26" s="29" t="s">
        <v>33</v>
      </c>
      <c r="U26" s="29"/>
      <c r="V26" s="22"/>
      <c r="W26" s="45"/>
      <c r="X26" s="75"/>
      <c r="Y26" s="75"/>
      <c r="Z26" s="39">
        <f t="shared" si="7"/>
        <v>1</v>
      </c>
      <c r="AA26" s="39">
        <f t="shared" si="1"/>
        <v>0</v>
      </c>
      <c r="AB26" s="39">
        <f t="shared" si="8"/>
        <v>0</v>
      </c>
      <c r="AC26" s="39">
        <f t="shared" si="2"/>
        <v>0</v>
      </c>
      <c r="AD26" s="39">
        <f t="shared" si="3"/>
        <v>0</v>
      </c>
      <c r="AE26" s="39">
        <f t="shared" si="4"/>
        <v>0</v>
      </c>
      <c r="AF26" s="39">
        <f t="shared" si="5"/>
        <v>0</v>
      </c>
      <c r="AG26" s="39">
        <f t="shared" si="6"/>
        <v>0</v>
      </c>
    </row>
    <row r="27" spans="1:33" s="16" customFormat="1" ht="35.1" customHeight="1" x14ac:dyDescent="0.25">
      <c r="A27" s="61">
        <v>26</v>
      </c>
      <c r="B27" s="62" t="s">
        <v>126</v>
      </c>
      <c r="C27" s="61" t="s">
        <v>908</v>
      </c>
      <c r="D27" s="61" t="s">
        <v>302</v>
      </c>
      <c r="E27" s="61" t="s">
        <v>749</v>
      </c>
      <c r="F27" s="62" t="s">
        <v>479</v>
      </c>
      <c r="G27" s="62" t="s">
        <v>126</v>
      </c>
      <c r="H27" s="63" t="s">
        <v>522</v>
      </c>
      <c r="I27" s="29">
        <v>6.12</v>
      </c>
      <c r="J27" s="64">
        <v>1</v>
      </c>
      <c r="K27" s="64">
        <v>6.12</v>
      </c>
      <c r="L27" s="29">
        <v>7.2</v>
      </c>
      <c r="M27" s="29">
        <v>1928</v>
      </c>
      <c r="N27" s="29"/>
      <c r="O27" s="65" t="s">
        <v>656</v>
      </c>
      <c r="P27" s="70" t="s">
        <v>731</v>
      </c>
      <c r="Q27" s="24" t="s">
        <v>857</v>
      </c>
      <c r="R27" s="54" t="str">
        <f t="shared" si="0"/>
        <v>NARROW</v>
      </c>
      <c r="S27" s="29" t="s">
        <v>27</v>
      </c>
      <c r="T27" s="29" t="s">
        <v>33</v>
      </c>
      <c r="U27" s="29"/>
      <c r="V27" s="22"/>
      <c r="W27" s="45"/>
      <c r="X27" s="75"/>
      <c r="Y27" s="75"/>
      <c r="Z27" s="39">
        <f t="shared" si="7"/>
        <v>1</v>
      </c>
      <c r="AA27" s="39">
        <f t="shared" si="1"/>
        <v>0</v>
      </c>
      <c r="AB27" s="39">
        <f t="shared" si="8"/>
        <v>0</v>
      </c>
      <c r="AC27" s="39">
        <f t="shared" si="2"/>
        <v>0</v>
      </c>
      <c r="AD27" s="39">
        <f t="shared" si="3"/>
        <v>0</v>
      </c>
      <c r="AE27" s="39">
        <f t="shared" si="4"/>
        <v>0</v>
      </c>
      <c r="AF27" s="39">
        <f t="shared" si="5"/>
        <v>0</v>
      </c>
      <c r="AG27" s="39">
        <f t="shared" si="6"/>
        <v>0</v>
      </c>
    </row>
    <row r="28" spans="1:33" s="16" customFormat="1" ht="35.1" customHeight="1" x14ac:dyDescent="0.25">
      <c r="A28" s="61">
        <v>27</v>
      </c>
      <c r="B28" s="62" t="s">
        <v>869</v>
      </c>
      <c r="C28" s="61" t="s">
        <v>909</v>
      </c>
      <c r="D28" s="61" t="s">
        <v>312</v>
      </c>
      <c r="E28" s="61" t="s">
        <v>749</v>
      </c>
      <c r="F28" s="62" t="s">
        <v>128</v>
      </c>
      <c r="G28" s="62" t="s">
        <v>487</v>
      </c>
      <c r="H28" s="63" t="s">
        <v>522</v>
      </c>
      <c r="I28" s="29">
        <v>5.2</v>
      </c>
      <c r="J28" s="64">
        <v>2</v>
      </c>
      <c r="K28" s="64">
        <v>5.2</v>
      </c>
      <c r="L28" s="29">
        <v>8</v>
      </c>
      <c r="M28" s="29">
        <v>1928</v>
      </c>
      <c r="N28" s="29"/>
      <c r="O28" s="65" t="s">
        <v>664</v>
      </c>
      <c r="P28" s="70" t="s">
        <v>731</v>
      </c>
      <c r="Q28" s="24" t="s">
        <v>857</v>
      </c>
      <c r="R28" s="54" t="str">
        <f t="shared" si="0"/>
        <v>OK</v>
      </c>
      <c r="S28" s="29" t="s">
        <v>27</v>
      </c>
      <c r="T28" s="29" t="s">
        <v>32</v>
      </c>
      <c r="U28" s="29"/>
      <c r="V28" s="22"/>
      <c r="W28" s="45"/>
      <c r="X28" s="75"/>
      <c r="Y28" s="75"/>
      <c r="Z28" s="39">
        <f t="shared" si="7"/>
        <v>0</v>
      </c>
      <c r="AA28" s="39">
        <f t="shared" si="1"/>
        <v>1</v>
      </c>
      <c r="AB28" s="39">
        <f t="shared" si="8"/>
        <v>0</v>
      </c>
      <c r="AC28" s="39">
        <f t="shared" si="2"/>
        <v>0</v>
      </c>
      <c r="AD28" s="39">
        <f t="shared" si="3"/>
        <v>0</v>
      </c>
      <c r="AE28" s="39">
        <f t="shared" si="4"/>
        <v>0</v>
      </c>
      <c r="AF28" s="39">
        <f t="shared" si="5"/>
        <v>0</v>
      </c>
      <c r="AG28" s="39">
        <f t="shared" si="6"/>
        <v>0</v>
      </c>
    </row>
    <row r="29" spans="1:33" s="16" customFormat="1" ht="35.1" customHeight="1" x14ac:dyDescent="0.25">
      <c r="A29" s="61">
        <v>28</v>
      </c>
      <c r="B29" s="62" t="s">
        <v>869</v>
      </c>
      <c r="C29" s="61" t="s">
        <v>909</v>
      </c>
      <c r="D29" s="61" t="s">
        <v>304</v>
      </c>
      <c r="E29" s="61" t="s">
        <v>749</v>
      </c>
      <c r="F29" s="62" t="s">
        <v>128</v>
      </c>
      <c r="G29" s="62" t="s">
        <v>482</v>
      </c>
      <c r="H29" s="63" t="s">
        <v>522</v>
      </c>
      <c r="I29" s="29">
        <v>4.3</v>
      </c>
      <c r="J29" s="64">
        <v>1</v>
      </c>
      <c r="K29" s="64">
        <v>4.3</v>
      </c>
      <c r="L29" s="29">
        <v>7.9</v>
      </c>
      <c r="M29" s="29">
        <v>1928</v>
      </c>
      <c r="N29" s="29"/>
      <c r="O29" s="65" t="s">
        <v>658</v>
      </c>
      <c r="P29" s="70" t="s">
        <v>731</v>
      </c>
      <c r="Q29" s="24" t="s">
        <v>857</v>
      </c>
      <c r="R29" s="54" t="str">
        <f t="shared" si="0"/>
        <v>OK</v>
      </c>
      <c r="S29" s="29" t="s">
        <v>27</v>
      </c>
      <c r="T29" s="29" t="s">
        <v>33</v>
      </c>
      <c r="U29" s="29"/>
      <c r="V29" s="22"/>
      <c r="W29" s="45"/>
      <c r="X29" s="75"/>
      <c r="Y29" s="75"/>
      <c r="Z29" s="39">
        <f t="shared" si="7"/>
        <v>0</v>
      </c>
      <c r="AA29" s="39">
        <f t="shared" si="1"/>
        <v>0</v>
      </c>
      <c r="AB29" s="39">
        <f t="shared" si="8"/>
        <v>0</v>
      </c>
      <c r="AC29" s="39">
        <f t="shared" si="2"/>
        <v>0</v>
      </c>
      <c r="AD29" s="39">
        <f t="shared" si="3"/>
        <v>0</v>
      </c>
      <c r="AE29" s="39">
        <f t="shared" si="4"/>
        <v>0</v>
      </c>
      <c r="AF29" s="39">
        <f t="shared" si="5"/>
        <v>0</v>
      </c>
      <c r="AG29" s="39" t="str">
        <f t="shared" si="6"/>
        <v>E</v>
      </c>
    </row>
    <row r="30" spans="1:33" s="16" customFormat="1" ht="35.1" customHeight="1" x14ac:dyDescent="0.25">
      <c r="A30" s="61">
        <v>29</v>
      </c>
      <c r="B30" s="62" t="s">
        <v>129</v>
      </c>
      <c r="C30" s="61" t="s">
        <v>910</v>
      </c>
      <c r="D30" s="61" t="s">
        <v>305</v>
      </c>
      <c r="E30" s="61" t="s">
        <v>749</v>
      </c>
      <c r="F30" s="62" t="s">
        <v>129</v>
      </c>
      <c r="G30" s="62" t="s">
        <v>44</v>
      </c>
      <c r="H30" s="63" t="s">
        <v>522</v>
      </c>
      <c r="I30" s="29">
        <v>8.5</v>
      </c>
      <c r="J30" s="64">
        <v>2</v>
      </c>
      <c r="K30" s="64"/>
      <c r="L30" s="29">
        <v>7.5</v>
      </c>
      <c r="M30" s="29">
        <v>1928</v>
      </c>
      <c r="N30" s="29"/>
      <c r="O30" s="65" t="s">
        <v>659</v>
      </c>
      <c r="P30" s="70" t="s">
        <v>731</v>
      </c>
      <c r="Q30" s="24" t="s">
        <v>102</v>
      </c>
      <c r="R30" s="54" t="str">
        <f t="shared" si="0"/>
        <v>OK</v>
      </c>
      <c r="S30" s="29" t="s">
        <v>102</v>
      </c>
      <c r="T30" s="29" t="s">
        <v>33</v>
      </c>
      <c r="U30" s="29"/>
      <c r="V30" s="22"/>
      <c r="W30" s="45"/>
      <c r="X30" s="75"/>
      <c r="Y30" s="75"/>
      <c r="Z30" s="39">
        <f t="shared" si="7"/>
        <v>0</v>
      </c>
      <c r="AA30" s="39">
        <f t="shared" si="1"/>
        <v>0</v>
      </c>
      <c r="AB30" s="39">
        <f t="shared" si="8"/>
        <v>1</v>
      </c>
      <c r="AC30" s="39">
        <f t="shared" si="2"/>
        <v>0</v>
      </c>
      <c r="AD30" s="39">
        <f t="shared" si="3"/>
        <v>0</v>
      </c>
      <c r="AE30" s="39">
        <f t="shared" si="4"/>
        <v>0</v>
      </c>
      <c r="AF30" s="39">
        <f t="shared" si="5"/>
        <v>0</v>
      </c>
      <c r="AG30" s="39">
        <f t="shared" si="6"/>
        <v>0</v>
      </c>
    </row>
    <row r="31" spans="1:33" s="16" customFormat="1" ht="35.1" customHeight="1" x14ac:dyDescent="0.25">
      <c r="A31" s="61">
        <v>30</v>
      </c>
      <c r="B31" s="62" t="s">
        <v>44</v>
      </c>
      <c r="C31" s="61" t="s">
        <v>911</v>
      </c>
      <c r="D31" s="61" t="s">
        <v>306</v>
      </c>
      <c r="E31" s="61" t="s">
        <v>749</v>
      </c>
      <c r="F31" s="62" t="s">
        <v>129</v>
      </c>
      <c r="G31" s="62" t="s">
        <v>483</v>
      </c>
      <c r="H31" s="63" t="s">
        <v>522</v>
      </c>
      <c r="I31" s="29">
        <v>6.3</v>
      </c>
      <c r="J31" s="64">
        <v>1</v>
      </c>
      <c r="K31" s="64">
        <v>6.3</v>
      </c>
      <c r="L31" s="29">
        <v>6.55</v>
      </c>
      <c r="M31" s="29">
        <v>1928</v>
      </c>
      <c r="N31" s="29"/>
      <c r="O31" s="65" t="s">
        <v>660</v>
      </c>
      <c r="P31" s="70" t="s">
        <v>730</v>
      </c>
      <c r="Q31" s="24" t="s">
        <v>857</v>
      </c>
      <c r="R31" s="54" t="str">
        <f t="shared" si="0"/>
        <v>NARROW</v>
      </c>
      <c r="S31" s="29" t="s">
        <v>27</v>
      </c>
      <c r="T31" s="29" t="s">
        <v>33</v>
      </c>
      <c r="U31" s="29"/>
      <c r="V31" s="22"/>
      <c r="W31" s="45"/>
      <c r="X31" s="75"/>
      <c r="Y31" s="75"/>
      <c r="Z31" s="39">
        <f t="shared" si="7"/>
        <v>1</v>
      </c>
      <c r="AA31" s="39">
        <f t="shared" si="1"/>
        <v>0</v>
      </c>
      <c r="AB31" s="39">
        <f t="shared" si="8"/>
        <v>0</v>
      </c>
      <c r="AC31" s="39">
        <f t="shared" si="2"/>
        <v>0</v>
      </c>
      <c r="AD31" s="39">
        <f t="shared" si="3"/>
        <v>0</v>
      </c>
      <c r="AE31" s="39">
        <f t="shared" si="4"/>
        <v>0</v>
      </c>
      <c r="AF31" s="39">
        <f t="shared" si="5"/>
        <v>0</v>
      </c>
      <c r="AG31" s="39">
        <f t="shared" si="6"/>
        <v>0</v>
      </c>
    </row>
    <row r="32" spans="1:33" s="16" customFormat="1" ht="35.1" customHeight="1" x14ac:dyDescent="0.25">
      <c r="A32" s="61">
        <v>31</v>
      </c>
      <c r="B32" s="62" t="s">
        <v>130</v>
      </c>
      <c r="C32" s="61" t="s">
        <v>912</v>
      </c>
      <c r="D32" s="61" t="s">
        <v>307</v>
      </c>
      <c r="E32" s="61" t="s">
        <v>749</v>
      </c>
      <c r="F32" s="62" t="s">
        <v>484</v>
      </c>
      <c r="G32" s="62" t="s">
        <v>135</v>
      </c>
      <c r="H32" s="63" t="s">
        <v>522</v>
      </c>
      <c r="I32" s="29">
        <v>10.6</v>
      </c>
      <c r="J32" s="64">
        <v>2</v>
      </c>
      <c r="K32" s="64"/>
      <c r="L32" s="29">
        <v>9.4</v>
      </c>
      <c r="M32" s="29"/>
      <c r="N32" s="29"/>
      <c r="O32" s="65" t="s">
        <v>661</v>
      </c>
      <c r="P32" s="70" t="s">
        <v>731</v>
      </c>
      <c r="Q32" s="24" t="s">
        <v>857</v>
      </c>
      <c r="R32" s="54" t="str">
        <f t="shared" si="0"/>
        <v>OK</v>
      </c>
      <c r="S32" s="29" t="s">
        <v>27</v>
      </c>
      <c r="T32" s="29" t="s">
        <v>32</v>
      </c>
      <c r="U32" s="29"/>
      <c r="V32" s="22"/>
      <c r="W32" s="45"/>
      <c r="X32" s="75"/>
      <c r="Y32" s="75"/>
      <c r="Z32" s="39">
        <f t="shared" si="7"/>
        <v>0</v>
      </c>
      <c r="AA32" s="39">
        <f t="shared" si="1"/>
        <v>1</v>
      </c>
      <c r="AB32" s="39">
        <f t="shared" si="8"/>
        <v>0</v>
      </c>
      <c r="AC32" s="39">
        <f t="shared" si="2"/>
        <v>0</v>
      </c>
      <c r="AD32" s="39">
        <f t="shared" si="3"/>
        <v>0</v>
      </c>
      <c r="AE32" s="39">
        <f t="shared" si="4"/>
        <v>0</v>
      </c>
      <c r="AF32" s="39">
        <f t="shared" si="5"/>
        <v>0</v>
      </c>
      <c r="AG32" s="39">
        <f t="shared" si="6"/>
        <v>0</v>
      </c>
    </row>
    <row r="33" spans="1:35" s="16" customFormat="1" ht="35.1" customHeight="1" x14ac:dyDescent="0.25">
      <c r="A33" s="61">
        <v>32</v>
      </c>
      <c r="B33" s="62" t="s">
        <v>45</v>
      </c>
      <c r="C33" s="61" t="s">
        <v>913</v>
      </c>
      <c r="D33" s="61" t="s">
        <v>308</v>
      </c>
      <c r="E33" s="61" t="s">
        <v>749</v>
      </c>
      <c r="F33" s="62" t="s">
        <v>484</v>
      </c>
      <c r="G33" s="62" t="s">
        <v>135</v>
      </c>
      <c r="H33" s="63" t="s">
        <v>522</v>
      </c>
      <c r="I33" s="29">
        <v>6.15</v>
      </c>
      <c r="J33" s="64">
        <v>2</v>
      </c>
      <c r="K33" s="64">
        <v>2.9</v>
      </c>
      <c r="L33" s="29">
        <v>6.15</v>
      </c>
      <c r="M33" s="29">
        <v>1956</v>
      </c>
      <c r="N33" s="29"/>
      <c r="O33" s="65" t="s">
        <v>662</v>
      </c>
      <c r="P33" s="70" t="s">
        <v>730</v>
      </c>
      <c r="Q33" s="24" t="s">
        <v>857</v>
      </c>
      <c r="R33" s="54" t="str">
        <f t="shared" si="0"/>
        <v>NARROW</v>
      </c>
      <c r="S33" s="29" t="s">
        <v>27</v>
      </c>
      <c r="T33" s="29" t="s">
        <v>33</v>
      </c>
      <c r="U33" s="29"/>
      <c r="V33" s="22"/>
      <c r="W33" s="45"/>
      <c r="X33" s="75"/>
      <c r="Y33" s="75"/>
      <c r="Z33" s="39">
        <f t="shared" si="7"/>
        <v>1</v>
      </c>
      <c r="AA33" s="39">
        <f t="shared" si="1"/>
        <v>0</v>
      </c>
      <c r="AB33" s="39">
        <f t="shared" si="8"/>
        <v>0</v>
      </c>
      <c r="AC33" s="39">
        <f t="shared" si="2"/>
        <v>0</v>
      </c>
      <c r="AD33" s="39">
        <f t="shared" si="3"/>
        <v>0</v>
      </c>
      <c r="AE33" s="39">
        <f t="shared" si="4"/>
        <v>0</v>
      </c>
      <c r="AF33" s="39">
        <f t="shared" si="5"/>
        <v>0</v>
      </c>
      <c r="AG33" s="39">
        <f t="shared" si="6"/>
        <v>0</v>
      </c>
    </row>
    <row r="34" spans="1:35" s="16" customFormat="1" ht="35.1" customHeight="1" x14ac:dyDescent="0.25">
      <c r="A34" s="61">
        <v>33</v>
      </c>
      <c r="B34" s="62" t="s">
        <v>134</v>
      </c>
      <c r="C34" s="61" t="s">
        <v>914</v>
      </c>
      <c r="D34" s="24" t="s">
        <v>313</v>
      </c>
      <c r="E34" s="61" t="s">
        <v>749</v>
      </c>
      <c r="F34" s="62" t="s">
        <v>488</v>
      </c>
      <c r="G34" s="62" t="s">
        <v>134</v>
      </c>
      <c r="H34" s="63" t="s">
        <v>522</v>
      </c>
      <c r="I34" s="29">
        <v>7.5</v>
      </c>
      <c r="J34" s="64">
        <v>1</v>
      </c>
      <c r="K34" s="64">
        <v>7.5</v>
      </c>
      <c r="L34" s="29">
        <v>6.85</v>
      </c>
      <c r="M34" s="29">
        <v>1956</v>
      </c>
      <c r="N34" s="29"/>
      <c r="O34" s="65" t="s">
        <v>665</v>
      </c>
      <c r="P34" s="70" t="s">
        <v>731</v>
      </c>
      <c r="Q34" s="24" t="s">
        <v>857</v>
      </c>
      <c r="R34" s="54" t="str">
        <f t="shared" ref="R34:R65" si="9">IF(L34&lt;7.3,"NARROW","OK")</f>
        <v>NARROW</v>
      </c>
      <c r="S34" s="29" t="s">
        <v>27</v>
      </c>
      <c r="T34" s="29" t="s">
        <v>32</v>
      </c>
      <c r="U34" s="29"/>
      <c r="V34" s="24"/>
      <c r="W34" s="47"/>
      <c r="X34" s="77"/>
      <c r="Y34" s="77"/>
      <c r="Z34" s="39">
        <f t="shared" si="7"/>
        <v>1</v>
      </c>
      <c r="AA34" s="39">
        <f t="shared" si="1"/>
        <v>1</v>
      </c>
      <c r="AB34" s="39">
        <f t="shared" si="8"/>
        <v>0</v>
      </c>
      <c r="AC34" s="39">
        <f t="shared" si="2"/>
        <v>0</v>
      </c>
      <c r="AD34" s="39" t="str">
        <f t="shared" si="3"/>
        <v>B</v>
      </c>
      <c r="AE34" s="39">
        <f t="shared" si="4"/>
        <v>0</v>
      </c>
      <c r="AF34" s="39">
        <f t="shared" si="5"/>
        <v>0</v>
      </c>
      <c r="AG34" s="39">
        <f t="shared" si="6"/>
        <v>0</v>
      </c>
    </row>
    <row r="35" spans="1:35" s="16" customFormat="1" ht="35.1" customHeight="1" x14ac:dyDescent="0.25">
      <c r="A35" s="61">
        <v>34</v>
      </c>
      <c r="B35" s="62" t="s">
        <v>135</v>
      </c>
      <c r="C35" s="61" t="s">
        <v>915</v>
      </c>
      <c r="D35" s="61" t="s">
        <v>314</v>
      </c>
      <c r="E35" s="61" t="s">
        <v>749</v>
      </c>
      <c r="F35" s="62" t="s">
        <v>135</v>
      </c>
      <c r="G35" s="62" t="s">
        <v>16</v>
      </c>
      <c r="H35" s="63" t="s">
        <v>851</v>
      </c>
      <c r="I35" s="29">
        <v>7.3</v>
      </c>
      <c r="J35" s="64">
        <v>1</v>
      </c>
      <c r="K35" s="64">
        <v>7.3</v>
      </c>
      <c r="L35" s="29">
        <v>7</v>
      </c>
      <c r="M35" s="29">
        <v>1928</v>
      </c>
      <c r="N35" s="29"/>
      <c r="O35" s="65" t="s">
        <v>666</v>
      </c>
      <c r="P35" s="70" t="s">
        <v>731</v>
      </c>
      <c r="Q35" s="24" t="s">
        <v>102</v>
      </c>
      <c r="R35" s="54" t="str">
        <f t="shared" si="9"/>
        <v>NARROW</v>
      </c>
      <c r="S35" s="29" t="s">
        <v>102</v>
      </c>
      <c r="T35" s="29" t="s">
        <v>32</v>
      </c>
      <c r="U35" s="29"/>
      <c r="V35" s="43">
        <v>4715</v>
      </c>
      <c r="W35" s="45">
        <v>11</v>
      </c>
      <c r="X35" s="75"/>
      <c r="Y35" s="75"/>
      <c r="Z35" s="39">
        <f t="shared" si="7"/>
        <v>1</v>
      </c>
      <c r="AA35" s="39">
        <f t="shared" si="1"/>
        <v>1</v>
      </c>
      <c r="AB35" s="39">
        <f t="shared" si="8"/>
        <v>1</v>
      </c>
      <c r="AC35" s="39" t="str">
        <f t="shared" si="2"/>
        <v>A</v>
      </c>
      <c r="AD35" s="39" t="str">
        <f t="shared" si="3"/>
        <v>B</v>
      </c>
      <c r="AE35" s="39" t="str">
        <f t="shared" si="4"/>
        <v>C</v>
      </c>
      <c r="AF35" s="39" t="str">
        <f t="shared" si="5"/>
        <v>D</v>
      </c>
      <c r="AG35" s="39">
        <f t="shared" si="6"/>
        <v>0</v>
      </c>
    </row>
    <row r="36" spans="1:35" s="16" customFormat="1" ht="35.1" customHeight="1" x14ac:dyDescent="0.25">
      <c r="A36" s="61">
        <v>35</v>
      </c>
      <c r="B36" s="66" t="s">
        <v>231</v>
      </c>
      <c r="C36" s="67" t="s">
        <v>917</v>
      </c>
      <c r="D36" s="67" t="s">
        <v>405</v>
      </c>
      <c r="E36" s="68" t="s">
        <v>14</v>
      </c>
      <c r="F36" s="66" t="s">
        <v>231</v>
      </c>
      <c r="G36" s="66" t="s">
        <v>232</v>
      </c>
      <c r="H36" s="69" t="s">
        <v>522</v>
      </c>
      <c r="I36" s="30">
        <v>17.350000000000001</v>
      </c>
      <c r="J36" s="67">
        <v>3</v>
      </c>
      <c r="K36" s="67">
        <v>6.2</v>
      </c>
      <c r="L36" s="30">
        <v>3.25</v>
      </c>
      <c r="M36" s="30">
        <v>1980</v>
      </c>
      <c r="N36" s="30"/>
      <c r="O36" s="28" t="s">
        <v>870</v>
      </c>
      <c r="P36" s="53" t="s">
        <v>733</v>
      </c>
      <c r="Q36" s="24" t="s">
        <v>102</v>
      </c>
      <c r="R36" s="54" t="str">
        <f t="shared" si="9"/>
        <v>NARROW</v>
      </c>
      <c r="S36" s="29" t="s">
        <v>102</v>
      </c>
      <c r="T36" s="29" t="s">
        <v>32</v>
      </c>
      <c r="U36" s="29"/>
      <c r="V36" s="30"/>
      <c r="W36" s="48"/>
      <c r="X36" s="78"/>
      <c r="Y36" s="78"/>
      <c r="Z36" s="39">
        <f t="shared" si="7"/>
        <v>1</v>
      </c>
      <c r="AA36" s="39">
        <f t="shared" si="1"/>
        <v>1</v>
      </c>
      <c r="AB36" s="39">
        <f t="shared" si="8"/>
        <v>1</v>
      </c>
      <c r="AC36" s="39" t="str">
        <f t="shared" si="2"/>
        <v>A</v>
      </c>
      <c r="AD36" s="39" t="str">
        <f t="shared" si="3"/>
        <v>B</v>
      </c>
      <c r="AE36" s="39" t="str">
        <f t="shared" si="4"/>
        <v>C</v>
      </c>
      <c r="AF36" s="39" t="str">
        <f t="shared" si="5"/>
        <v>D</v>
      </c>
      <c r="AG36" s="39">
        <f t="shared" si="6"/>
        <v>0</v>
      </c>
    </row>
    <row r="37" spans="1:35" s="16" customFormat="1" ht="35.1" customHeight="1" x14ac:dyDescent="0.25">
      <c r="A37" s="61">
        <v>36</v>
      </c>
      <c r="B37" s="66" t="s">
        <v>232</v>
      </c>
      <c r="C37" s="67" t="s">
        <v>918</v>
      </c>
      <c r="D37" s="67" t="s">
        <v>406</v>
      </c>
      <c r="E37" s="68" t="s">
        <v>14</v>
      </c>
      <c r="F37" s="66" t="s">
        <v>232</v>
      </c>
      <c r="G37" s="66" t="s">
        <v>591</v>
      </c>
      <c r="H37" s="69" t="s">
        <v>522</v>
      </c>
      <c r="I37" s="30">
        <v>16.899999999999999</v>
      </c>
      <c r="J37" s="67">
        <v>3</v>
      </c>
      <c r="K37" s="67">
        <v>6.2</v>
      </c>
      <c r="L37" s="30">
        <v>3.55</v>
      </c>
      <c r="M37" s="30">
        <v>1952</v>
      </c>
      <c r="N37" s="30"/>
      <c r="O37" s="28" t="s">
        <v>859</v>
      </c>
      <c r="P37" s="53" t="s">
        <v>733</v>
      </c>
      <c r="Q37" s="24" t="s">
        <v>102</v>
      </c>
      <c r="R37" s="54" t="str">
        <f t="shared" si="9"/>
        <v>NARROW</v>
      </c>
      <c r="S37" s="29" t="s">
        <v>102</v>
      </c>
      <c r="T37" s="29" t="s">
        <v>32</v>
      </c>
      <c r="U37" s="29"/>
      <c r="V37" s="30"/>
      <c r="W37" s="48"/>
      <c r="X37" s="78"/>
      <c r="Y37" s="78"/>
      <c r="Z37" s="39">
        <f t="shared" si="7"/>
        <v>1</v>
      </c>
      <c r="AA37" s="39">
        <f t="shared" si="1"/>
        <v>1</v>
      </c>
      <c r="AB37" s="39">
        <f t="shared" si="8"/>
        <v>1</v>
      </c>
      <c r="AC37" s="39" t="str">
        <f t="shared" si="2"/>
        <v>A</v>
      </c>
      <c r="AD37" s="39" t="str">
        <f t="shared" si="3"/>
        <v>B</v>
      </c>
      <c r="AE37" s="39" t="str">
        <f t="shared" si="4"/>
        <v>C</v>
      </c>
      <c r="AF37" s="39" t="str">
        <f t="shared" si="5"/>
        <v>D</v>
      </c>
      <c r="AG37" s="39">
        <f t="shared" si="6"/>
        <v>0</v>
      </c>
    </row>
    <row r="38" spans="1:35" s="16" customFormat="1" ht="35.1" customHeight="1" x14ac:dyDescent="0.25">
      <c r="A38" s="61">
        <v>37</v>
      </c>
      <c r="B38" s="66" t="s">
        <v>136</v>
      </c>
      <c r="C38" s="67" t="s">
        <v>919</v>
      </c>
      <c r="D38" s="67" t="s">
        <v>315</v>
      </c>
      <c r="E38" s="68" t="s">
        <v>14</v>
      </c>
      <c r="F38" s="66" t="s">
        <v>35</v>
      </c>
      <c r="G38" s="66" t="s">
        <v>751</v>
      </c>
      <c r="H38" s="69" t="s">
        <v>522</v>
      </c>
      <c r="I38" s="49" t="s">
        <v>489</v>
      </c>
      <c r="J38" s="67">
        <v>1</v>
      </c>
      <c r="K38" s="67">
        <v>11</v>
      </c>
      <c r="L38" s="30">
        <v>9.8000000000000007</v>
      </c>
      <c r="M38" s="30">
        <v>2011</v>
      </c>
      <c r="N38" s="30"/>
      <c r="O38" s="65" t="s">
        <v>667</v>
      </c>
      <c r="P38" s="70" t="s">
        <v>731</v>
      </c>
      <c r="Q38" s="24" t="s">
        <v>27</v>
      </c>
      <c r="R38" s="54" t="str">
        <f t="shared" si="9"/>
        <v>OK</v>
      </c>
      <c r="S38" s="29" t="s">
        <v>27</v>
      </c>
      <c r="T38" s="29" t="s">
        <v>32</v>
      </c>
      <c r="U38" s="29"/>
      <c r="V38" s="43">
        <v>3818</v>
      </c>
      <c r="W38" s="48">
        <v>6</v>
      </c>
      <c r="X38" s="78"/>
      <c r="Y38" s="78"/>
      <c r="Z38" s="39">
        <f t="shared" si="7"/>
        <v>0</v>
      </c>
      <c r="AA38" s="39">
        <f t="shared" si="1"/>
        <v>1</v>
      </c>
      <c r="AB38" s="39">
        <f t="shared" si="8"/>
        <v>0</v>
      </c>
      <c r="AC38" s="39">
        <f t="shared" si="2"/>
        <v>0</v>
      </c>
      <c r="AD38" s="39">
        <f t="shared" si="3"/>
        <v>0</v>
      </c>
      <c r="AE38" s="39">
        <f t="shared" si="4"/>
        <v>0</v>
      </c>
      <c r="AF38" s="39">
        <f t="shared" si="5"/>
        <v>0</v>
      </c>
      <c r="AG38" s="39">
        <f t="shared" si="6"/>
        <v>0</v>
      </c>
    </row>
    <row r="39" spans="1:35" s="16" customFormat="1" ht="35.1" customHeight="1" x14ac:dyDescent="0.25">
      <c r="A39" s="61">
        <v>38</v>
      </c>
      <c r="B39" s="66" t="s">
        <v>103</v>
      </c>
      <c r="C39" s="67" t="s">
        <v>920</v>
      </c>
      <c r="D39" s="67" t="s">
        <v>279</v>
      </c>
      <c r="E39" s="68" t="s">
        <v>14</v>
      </c>
      <c r="F39" s="66" t="s">
        <v>103</v>
      </c>
      <c r="G39" s="66" t="s">
        <v>457</v>
      </c>
      <c r="H39" s="69" t="s">
        <v>40</v>
      </c>
      <c r="I39" s="30">
        <v>18.5</v>
      </c>
      <c r="J39" s="67">
        <v>2</v>
      </c>
      <c r="K39" s="67">
        <v>9.5500000000000007</v>
      </c>
      <c r="L39" s="30">
        <v>5.2</v>
      </c>
      <c r="M39" s="29"/>
      <c r="N39" s="29"/>
      <c r="O39" s="65" t="s">
        <v>752</v>
      </c>
      <c r="P39" s="70" t="s">
        <v>753</v>
      </c>
      <c r="Q39" s="24" t="s">
        <v>102</v>
      </c>
      <c r="R39" s="54" t="str">
        <f t="shared" si="9"/>
        <v>NARROW</v>
      </c>
      <c r="S39" s="29" t="s">
        <v>102</v>
      </c>
      <c r="T39" s="29" t="s">
        <v>32</v>
      </c>
      <c r="U39" s="29"/>
      <c r="V39" s="43">
        <v>3818</v>
      </c>
      <c r="W39" s="48">
        <v>6</v>
      </c>
      <c r="X39" s="78"/>
      <c r="Y39" s="78"/>
      <c r="Z39" s="39">
        <f t="shared" si="7"/>
        <v>1</v>
      </c>
      <c r="AA39" s="39">
        <f t="shared" si="1"/>
        <v>1</v>
      </c>
      <c r="AB39" s="39">
        <f t="shared" si="8"/>
        <v>1</v>
      </c>
      <c r="AC39" s="39" t="str">
        <f t="shared" si="2"/>
        <v>A</v>
      </c>
      <c r="AD39" s="39" t="str">
        <f t="shared" si="3"/>
        <v>B</v>
      </c>
      <c r="AE39" s="39" t="str">
        <f t="shared" si="4"/>
        <v>C</v>
      </c>
      <c r="AF39" s="39" t="str">
        <f t="shared" si="5"/>
        <v>D</v>
      </c>
      <c r="AG39" s="39">
        <f t="shared" si="6"/>
        <v>0</v>
      </c>
      <c r="AI39" s="16">
        <f>I39</f>
        <v>18.5</v>
      </c>
    </row>
    <row r="40" spans="1:35" s="16" customFormat="1" ht="35.1" customHeight="1" x14ac:dyDescent="0.25">
      <c r="A40" s="61">
        <v>39</v>
      </c>
      <c r="B40" s="66" t="s">
        <v>137</v>
      </c>
      <c r="C40" s="67" t="s">
        <v>921</v>
      </c>
      <c r="D40" s="67" t="s">
        <v>316</v>
      </c>
      <c r="E40" s="68" t="s">
        <v>14</v>
      </c>
      <c r="F40" s="66" t="s">
        <v>490</v>
      </c>
      <c r="G40" s="66" t="s">
        <v>491</v>
      </c>
      <c r="H40" s="69" t="s">
        <v>522</v>
      </c>
      <c r="I40" s="30">
        <v>12</v>
      </c>
      <c r="J40" s="67">
        <v>1</v>
      </c>
      <c r="K40" s="67">
        <v>4</v>
      </c>
      <c r="L40" s="30">
        <v>13</v>
      </c>
      <c r="M40" s="29"/>
      <c r="N40" s="29"/>
      <c r="O40" s="65" t="s">
        <v>668</v>
      </c>
      <c r="P40" s="70" t="s">
        <v>731</v>
      </c>
      <c r="Q40" s="24" t="s">
        <v>857</v>
      </c>
      <c r="R40" s="54" t="str">
        <f t="shared" si="9"/>
        <v>OK</v>
      </c>
      <c r="S40" s="29" t="s">
        <v>27</v>
      </c>
      <c r="T40" s="29" t="s">
        <v>32</v>
      </c>
      <c r="U40" s="29"/>
      <c r="V40" s="43">
        <v>3818</v>
      </c>
      <c r="W40" s="48">
        <v>6</v>
      </c>
      <c r="X40" s="78"/>
      <c r="Y40" s="78"/>
      <c r="Z40" s="39">
        <f t="shared" si="7"/>
        <v>0</v>
      </c>
      <c r="AA40" s="39">
        <f t="shared" si="1"/>
        <v>1</v>
      </c>
      <c r="AB40" s="39">
        <f t="shared" si="8"/>
        <v>0</v>
      </c>
      <c r="AC40" s="39">
        <f t="shared" si="2"/>
        <v>0</v>
      </c>
      <c r="AD40" s="39">
        <f t="shared" si="3"/>
        <v>0</v>
      </c>
      <c r="AE40" s="39">
        <f t="shared" si="4"/>
        <v>0</v>
      </c>
      <c r="AF40" s="39">
        <f t="shared" si="5"/>
        <v>0</v>
      </c>
      <c r="AG40" s="39">
        <f t="shared" si="6"/>
        <v>0</v>
      </c>
    </row>
    <row r="41" spans="1:35" s="16" customFormat="1" ht="35.1" customHeight="1" x14ac:dyDescent="0.25">
      <c r="A41" s="61">
        <v>40</v>
      </c>
      <c r="B41" s="66" t="s">
        <v>104</v>
      </c>
      <c r="C41" s="67" t="s">
        <v>922</v>
      </c>
      <c r="D41" s="67" t="s">
        <v>280</v>
      </c>
      <c r="E41" s="68" t="s">
        <v>14</v>
      </c>
      <c r="F41" s="66" t="s">
        <v>458</v>
      </c>
      <c r="G41" s="66" t="s">
        <v>459</v>
      </c>
      <c r="H41" s="69" t="s">
        <v>40</v>
      </c>
      <c r="I41" s="30">
        <v>12.4</v>
      </c>
      <c r="J41" s="67">
        <v>1</v>
      </c>
      <c r="K41" s="67">
        <v>12.4</v>
      </c>
      <c r="L41" s="30">
        <v>5.13</v>
      </c>
      <c r="M41" s="29"/>
      <c r="N41" s="29"/>
      <c r="O41" s="65" t="s">
        <v>638</v>
      </c>
      <c r="P41" s="70" t="s">
        <v>753</v>
      </c>
      <c r="Q41" s="24" t="s">
        <v>102</v>
      </c>
      <c r="R41" s="54" t="str">
        <f t="shared" si="9"/>
        <v>NARROW</v>
      </c>
      <c r="S41" s="29" t="s">
        <v>102</v>
      </c>
      <c r="T41" s="29" t="s">
        <v>32</v>
      </c>
      <c r="U41" s="29"/>
      <c r="V41" s="30"/>
      <c r="W41" s="48"/>
      <c r="X41" s="78"/>
      <c r="Y41" s="78"/>
      <c r="Z41" s="39">
        <f t="shared" si="7"/>
        <v>1</v>
      </c>
      <c r="AA41" s="39">
        <f t="shared" si="1"/>
        <v>1</v>
      </c>
      <c r="AB41" s="39">
        <f t="shared" si="8"/>
        <v>1</v>
      </c>
      <c r="AC41" s="39" t="str">
        <f t="shared" si="2"/>
        <v>A</v>
      </c>
      <c r="AD41" s="39" t="str">
        <f t="shared" si="3"/>
        <v>B</v>
      </c>
      <c r="AE41" s="39" t="str">
        <f t="shared" si="4"/>
        <v>C</v>
      </c>
      <c r="AF41" s="39" t="str">
        <f t="shared" si="5"/>
        <v>D</v>
      </c>
      <c r="AG41" s="39">
        <f t="shared" si="6"/>
        <v>0</v>
      </c>
      <c r="AI41" s="16">
        <f>I41</f>
        <v>12.4</v>
      </c>
    </row>
    <row r="42" spans="1:35" s="16" customFormat="1" ht="35.1" customHeight="1" x14ac:dyDescent="0.25">
      <c r="A42" s="61">
        <v>41</v>
      </c>
      <c r="B42" s="66" t="s">
        <v>105</v>
      </c>
      <c r="C42" s="67" t="s">
        <v>923</v>
      </c>
      <c r="D42" s="67" t="s">
        <v>281</v>
      </c>
      <c r="E42" s="68" t="s">
        <v>14</v>
      </c>
      <c r="F42" s="66" t="s">
        <v>460</v>
      </c>
      <c r="G42" s="66" t="s">
        <v>34</v>
      </c>
      <c r="H42" s="69" t="s">
        <v>40</v>
      </c>
      <c r="I42" s="30">
        <v>18.100000000000001</v>
      </c>
      <c r="J42" s="67">
        <v>1</v>
      </c>
      <c r="K42" s="67">
        <v>18.100000000000001</v>
      </c>
      <c r="L42" s="30">
        <v>9.8000000000000007</v>
      </c>
      <c r="M42" s="29"/>
      <c r="N42" s="29"/>
      <c r="O42" s="65" t="s">
        <v>639</v>
      </c>
      <c r="P42" s="70" t="s">
        <v>753</v>
      </c>
      <c r="Q42" s="24" t="s">
        <v>102</v>
      </c>
      <c r="R42" s="54" t="str">
        <f t="shared" si="9"/>
        <v>OK</v>
      </c>
      <c r="S42" s="29" t="s">
        <v>102</v>
      </c>
      <c r="T42" s="29" t="s">
        <v>32</v>
      </c>
      <c r="U42" s="29"/>
      <c r="V42" s="30"/>
      <c r="W42" s="48"/>
      <c r="X42" s="78"/>
      <c r="Y42" s="78"/>
      <c r="Z42" s="39">
        <f t="shared" si="7"/>
        <v>0</v>
      </c>
      <c r="AA42" s="39">
        <f t="shared" si="1"/>
        <v>1</v>
      </c>
      <c r="AB42" s="39">
        <f t="shared" si="8"/>
        <v>1</v>
      </c>
      <c r="AC42" s="39">
        <f t="shared" si="2"/>
        <v>0</v>
      </c>
      <c r="AD42" s="39">
        <f t="shared" si="3"/>
        <v>0</v>
      </c>
      <c r="AE42" s="39" t="str">
        <f t="shared" si="4"/>
        <v>C</v>
      </c>
      <c r="AF42" s="39">
        <f t="shared" si="5"/>
        <v>0</v>
      </c>
      <c r="AG42" s="39">
        <f t="shared" si="6"/>
        <v>0</v>
      </c>
      <c r="AI42" s="16">
        <f>I42</f>
        <v>18.100000000000001</v>
      </c>
    </row>
    <row r="43" spans="1:35" s="16" customFormat="1" ht="35.1" customHeight="1" x14ac:dyDescent="0.25">
      <c r="A43" s="61">
        <v>42</v>
      </c>
      <c r="B43" s="66" t="s">
        <v>36</v>
      </c>
      <c r="C43" s="67" t="s">
        <v>924</v>
      </c>
      <c r="D43" s="67" t="s">
        <v>317</v>
      </c>
      <c r="E43" s="68" t="s">
        <v>14</v>
      </c>
      <c r="F43" s="66" t="s">
        <v>492</v>
      </c>
      <c r="G43" s="66" t="s">
        <v>493</v>
      </c>
      <c r="H43" s="69" t="s">
        <v>851</v>
      </c>
      <c r="I43" s="30">
        <v>99.2</v>
      </c>
      <c r="J43" s="67">
        <v>3</v>
      </c>
      <c r="K43" s="67">
        <v>37.799999999999997</v>
      </c>
      <c r="L43" s="30">
        <v>11.7</v>
      </c>
      <c r="M43" s="29"/>
      <c r="N43" s="29"/>
      <c r="O43" s="65" t="s">
        <v>669</v>
      </c>
      <c r="P43" s="70" t="s">
        <v>731</v>
      </c>
      <c r="Q43" s="24" t="s">
        <v>102</v>
      </c>
      <c r="R43" s="54" t="str">
        <f t="shared" si="9"/>
        <v>OK</v>
      </c>
      <c r="S43" s="29" t="s">
        <v>102</v>
      </c>
      <c r="T43" s="29" t="s">
        <v>32</v>
      </c>
      <c r="U43" s="29"/>
      <c r="V43" s="30"/>
      <c r="W43" s="48"/>
      <c r="X43" s="78"/>
      <c r="Y43" s="78"/>
      <c r="Z43" s="39">
        <f t="shared" si="7"/>
        <v>0</v>
      </c>
      <c r="AA43" s="39">
        <f t="shared" si="1"/>
        <v>1</v>
      </c>
      <c r="AB43" s="39">
        <f t="shared" si="8"/>
        <v>1</v>
      </c>
      <c r="AC43" s="39">
        <f t="shared" si="2"/>
        <v>0</v>
      </c>
      <c r="AD43" s="39">
        <f t="shared" si="3"/>
        <v>0</v>
      </c>
      <c r="AE43" s="39" t="str">
        <f t="shared" si="4"/>
        <v>C</v>
      </c>
      <c r="AF43" s="39">
        <f t="shared" si="5"/>
        <v>0</v>
      </c>
      <c r="AG43" s="39">
        <f t="shared" si="6"/>
        <v>0</v>
      </c>
    </row>
    <row r="44" spans="1:35" ht="35.1" customHeight="1" x14ac:dyDescent="0.25">
      <c r="A44" s="61">
        <v>43</v>
      </c>
      <c r="B44" s="66" t="s">
        <v>106</v>
      </c>
      <c r="C44" s="67" t="s">
        <v>925</v>
      </c>
      <c r="D44" s="67" t="s">
        <v>282</v>
      </c>
      <c r="E44" s="68" t="s">
        <v>14</v>
      </c>
      <c r="F44" s="66" t="s">
        <v>461</v>
      </c>
      <c r="G44" s="66" t="s">
        <v>34</v>
      </c>
      <c r="H44" s="69" t="s">
        <v>851</v>
      </c>
      <c r="I44" s="30">
        <v>18.5</v>
      </c>
      <c r="J44" s="67">
        <v>2</v>
      </c>
      <c r="K44" s="67">
        <v>9.25</v>
      </c>
      <c r="L44" s="30">
        <v>6.03</v>
      </c>
      <c r="M44" s="29"/>
      <c r="N44" s="29"/>
      <c r="O44" s="65" t="s">
        <v>640</v>
      </c>
      <c r="P44" s="70" t="s">
        <v>753</v>
      </c>
      <c r="Q44" s="24" t="s">
        <v>102</v>
      </c>
      <c r="R44" s="54" t="str">
        <f t="shared" si="9"/>
        <v>NARROW</v>
      </c>
      <c r="S44" s="29" t="s">
        <v>102</v>
      </c>
      <c r="T44" s="29" t="s">
        <v>32</v>
      </c>
      <c r="U44" s="29"/>
      <c r="V44" s="30"/>
      <c r="W44" s="48"/>
      <c r="X44" s="78"/>
      <c r="Y44" s="78"/>
      <c r="Z44" s="39">
        <f t="shared" si="7"/>
        <v>1</v>
      </c>
      <c r="AA44" s="39">
        <f t="shared" si="1"/>
        <v>1</v>
      </c>
      <c r="AB44" s="39">
        <f t="shared" si="8"/>
        <v>1</v>
      </c>
      <c r="AC44" s="39" t="str">
        <f t="shared" si="2"/>
        <v>A</v>
      </c>
      <c r="AD44" s="39" t="str">
        <f t="shared" si="3"/>
        <v>B</v>
      </c>
      <c r="AE44" s="39" t="str">
        <f t="shared" si="4"/>
        <v>C</v>
      </c>
      <c r="AF44" s="39" t="str">
        <f t="shared" si="5"/>
        <v>D</v>
      </c>
      <c r="AG44" s="39">
        <f t="shared" si="6"/>
        <v>0</v>
      </c>
    </row>
    <row r="45" spans="1:35" ht="35.1" customHeight="1" x14ac:dyDescent="0.25">
      <c r="A45" s="61">
        <v>44</v>
      </c>
      <c r="B45" s="66" t="s">
        <v>106</v>
      </c>
      <c r="C45" s="67" t="s">
        <v>925</v>
      </c>
      <c r="D45" s="67" t="s">
        <v>320</v>
      </c>
      <c r="E45" s="68" t="s">
        <v>14</v>
      </c>
      <c r="F45" s="66" t="s">
        <v>458</v>
      </c>
      <c r="G45" s="66" t="s">
        <v>497</v>
      </c>
      <c r="H45" s="69" t="s">
        <v>522</v>
      </c>
      <c r="I45" s="30">
        <v>21</v>
      </c>
      <c r="J45" s="67">
        <v>2</v>
      </c>
      <c r="K45" s="67">
        <v>10.5</v>
      </c>
      <c r="L45" s="30">
        <v>9</v>
      </c>
      <c r="M45" s="30"/>
      <c r="N45" s="30"/>
      <c r="O45" s="65" t="s">
        <v>671</v>
      </c>
      <c r="P45" s="70" t="s">
        <v>730</v>
      </c>
      <c r="Q45" s="24" t="s">
        <v>857</v>
      </c>
      <c r="R45" s="54" t="str">
        <f t="shared" si="9"/>
        <v>OK</v>
      </c>
      <c r="S45" s="29" t="s">
        <v>27</v>
      </c>
      <c r="T45" s="29" t="s">
        <v>33</v>
      </c>
      <c r="U45" s="29"/>
      <c r="V45" s="30"/>
      <c r="W45" s="48"/>
      <c r="X45" s="78"/>
      <c r="Y45" s="78"/>
      <c r="Z45" s="39">
        <f t="shared" si="7"/>
        <v>0</v>
      </c>
      <c r="AA45" s="39">
        <f t="shared" si="1"/>
        <v>0</v>
      </c>
      <c r="AB45" s="39">
        <f t="shared" si="8"/>
        <v>0</v>
      </c>
      <c r="AC45" s="39">
        <f t="shared" si="2"/>
        <v>0</v>
      </c>
      <c r="AD45" s="39">
        <f t="shared" si="3"/>
        <v>0</v>
      </c>
      <c r="AE45" s="39">
        <f t="shared" si="4"/>
        <v>0</v>
      </c>
      <c r="AF45" s="39">
        <f t="shared" si="5"/>
        <v>0</v>
      </c>
      <c r="AG45" s="39" t="str">
        <f t="shared" si="6"/>
        <v>E</v>
      </c>
    </row>
    <row r="46" spans="1:35" ht="35.1" customHeight="1" x14ac:dyDescent="0.25">
      <c r="A46" s="61">
        <v>45</v>
      </c>
      <c r="B46" s="66" t="s">
        <v>138</v>
      </c>
      <c r="C46" s="67" t="s">
        <v>926</v>
      </c>
      <c r="D46" s="67" t="s">
        <v>318</v>
      </c>
      <c r="E46" s="68" t="s">
        <v>14</v>
      </c>
      <c r="F46" s="66" t="s">
        <v>494</v>
      </c>
      <c r="G46" s="66" t="s">
        <v>494</v>
      </c>
      <c r="H46" s="69" t="s">
        <v>522</v>
      </c>
      <c r="I46" s="30">
        <v>7.4</v>
      </c>
      <c r="J46" s="67">
        <v>1</v>
      </c>
      <c r="K46" s="67">
        <v>7.4</v>
      </c>
      <c r="L46" s="30">
        <v>6.9</v>
      </c>
      <c r="M46" s="30"/>
      <c r="N46" s="30"/>
      <c r="O46" s="65" t="s">
        <v>670</v>
      </c>
      <c r="P46" s="70" t="s">
        <v>731</v>
      </c>
      <c r="Q46" s="24" t="s">
        <v>857</v>
      </c>
      <c r="R46" s="54" t="str">
        <f t="shared" si="9"/>
        <v>NARROW</v>
      </c>
      <c r="S46" s="29" t="s">
        <v>27</v>
      </c>
      <c r="T46" s="29" t="s">
        <v>32</v>
      </c>
      <c r="U46" s="29"/>
      <c r="V46" s="43">
        <v>2932</v>
      </c>
      <c r="W46" s="48">
        <v>2</v>
      </c>
      <c r="X46" s="78"/>
      <c r="Y46" s="78"/>
      <c r="Z46" s="39">
        <f t="shared" si="7"/>
        <v>1</v>
      </c>
      <c r="AA46" s="39">
        <f t="shared" si="1"/>
        <v>1</v>
      </c>
      <c r="AB46" s="39">
        <f t="shared" si="8"/>
        <v>0</v>
      </c>
      <c r="AC46" s="39">
        <f t="shared" si="2"/>
        <v>0</v>
      </c>
      <c r="AD46" s="39" t="str">
        <f t="shared" si="3"/>
        <v>B</v>
      </c>
      <c r="AE46" s="39">
        <f t="shared" si="4"/>
        <v>0</v>
      </c>
      <c r="AF46" s="39">
        <f t="shared" si="5"/>
        <v>0</v>
      </c>
      <c r="AG46" s="39">
        <f t="shared" si="6"/>
        <v>0</v>
      </c>
    </row>
    <row r="47" spans="1:35" ht="35.1" customHeight="1" x14ac:dyDescent="0.25">
      <c r="A47" s="61">
        <v>46</v>
      </c>
      <c r="B47" s="66" t="s">
        <v>141</v>
      </c>
      <c r="C47" s="67" t="s">
        <v>927</v>
      </c>
      <c r="D47" s="67" t="s">
        <v>322</v>
      </c>
      <c r="E47" s="68" t="s">
        <v>14</v>
      </c>
      <c r="F47" s="66" t="s">
        <v>141</v>
      </c>
      <c r="G47" s="66" t="s">
        <v>498</v>
      </c>
      <c r="H47" s="69" t="s">
        <v>522</v>
      </c>
      <c r="I47" s="30">
        <v>21</v>
      </c>
      <c r="J47" s="67">
        <v>1</v>
      </c>
      <c r="K47" s="67">
        <v>21</v>
      </c>
      <c r="L47" s="30">
        <v>13.5</v>
      </c>
      <c r="M47" s="30">
        <v>2014</v>
      </c>
      <c r="N47" s="30"/>
      <c r="O47" s="65" t="s">
        <v>672</v>
      </c>
      <c r="P47" s="70" t="s">
        <v>730</v>
      </c>
      <c r="Q47" s="24" t="s">
        <v>27</v>
      </c>
      <c r="R47" s="54" t="str">
        <f t="shared" si="9"/>
        <v>OK</v>
      </c>
      <c r="S47" s="29" t="s">
        <v>27</v>
      </c>
      <c r="T47" s="29" t="s">
        <v>33</v>
      </c>
      <c r="U47" s="29"/>
      <c r="V47" s="43"/>
      <c r="W47" s="48"/>
      <c r="X47" s="78"/>
      <c r="Y47" s="78"/>
      <c r="Z47" s="39">
        <f t="shared" si="7"/>
        <v>0</v>
      </c>
      <c r="AA47" s="39">
        <f t="shared" si="1"/>
        <v>0</v>
      </c>
      <c r="AB47" s="39">
        <f t="shared" si="8"/>
        <v>0</v>
      </c>
      <c r="AC47" s="39">
        <f t="shared" si="2"/>
        <v>0</v>
      </c>
      <c r="AD47" s="39">
        <f t="shared" si="3"/>
        <v>0</v>
      </c>
      <c r="AE47" s="39">
        <f t="shared" si="4"/>
        <v>0</v>
      </c>
      <c r="AF47" s="39">
        <f t="shared" si="5"/>
        <v>0</v>
      </c>
      <c r="AG47" s="39" t="str">
        <f t="shared" si="6"/>
        <v>E</v>
      </c>
    </row>
    <row r="48" spans="1:35" ht="35.1" customHeight="1" x14ac:dyDescent="0.25">
      <c r="A48" s="61">
        <v>47</v>
      </c>
      <c r="B48" s="66" t="s">
        <v>142</v>
      </c>
      <c r="C48" s="67" t="s">
        <v>928</v>
      </c>
      <c r="D48" s="67" t="s">
        <v>323</v>
      </c>
      <c r="E48" s="68" t="s">
        <v>14</v>
      </c>
      <c r="F48" s="66" t="s">
        <v>142</v>
      </c>
      <c r="G48" s="66" t="s">
        <v>499</v>
      </c>
      <c r="H48" s="69" t="s">
        <v>851</v>
      </c>
      <c r="I48" s="30">
        <v>44</v>
      </c>
      <c r="J48" s="67">
        <v>3</v>
      </c>
      <c r="K48" s="67">
        <v>14</v>
      </c>
      <c r="L48" s="30">
        <v>4.5999999999999996</v>
      </c>
      <c r="M48" s="29"/>
      <c r="N48" s="29"/>
      <c r="O48" s="65" t="s">
        <v>673</v>
      </c>
      <c r="P48" s="70" t="s">
        <v>753</v>
      </c>
      <c r="Q48" s="24" t="s">
        <v>102</v>
      </c>
      <c r="R48" s="54" t="str">
        <f t="shared" si="9"/>
        <v>NARROW</v>
      </c>
      <c r="S48" s="29" t="s">
        <v>102</v>
      </c>
      <c r="T48" s="29" t="s">
        <v>33</v>
      </c>
      <c r="U48" s="29"/>
      <c r="V48" s="30"/>
      <c r="W48" s="48"/>
      <c r="X48" s="78"/>
      <c r="Y48" s="78"/>
      <c r="Z48" s="39">
        <f t="shared" si="7"/>
        <v>1</v>
      </c>
      <c r="AA48" s="39">
        <f t="shared" si="1"/>
        <v>0</v>
      </c>
      <c r="AB48" s="39">
        <f t="shared" si="8"/>
        <v>1</v>
      </c>
      <c r="AC48" s="39" t="str">
        <f t="shared" si="2"/>
        <v>A</v>
      </c>
      <c r="AD48" s="39">
        <f t="shared" si="3"/>
        <v>0</v>
      </c>
      <c r="AE48" s="39">
        <f t="shared" si="4"/>
        <v>0</v>
      </c>
      <c r="AF48" s="39">
        <f t="shared" si="5"/>
        <v>0</v>
      </c>
      <c r="AG48" s="39">
        <f t="shared" si="6"/>
        <v>0</v>
      </c>
    </row>
    <row r="49" spans="1:35" ht="35.1" customHeight="1" x14ac:dyDescent="0.25">
      <c r="A49" s="61">
        <v>48</v>
      </c>
      <c r="B49" s="66" t="s">
        <v>143</v>
      </c>
      <c r="C49" s="67" t="s">
        <v>929</v>
      </c>
      <c r="D49" s="67" t="s">
        <v>324</v>
      </c>
      <c r="E49" s="68" t="s">
        <v>14</v>
      </c>
      <c r="F49" s="66" t="s">
        <v>143</v>
      </c>
      <c r="G49" s="66" t="s">
        <v>500</v>
      </c>
      <c r="H49" s="69" t="s">
        <v>851</v>
      </c>
      <c r="I49" s="30">
        <v>33.6</v>
      </c>
      <c r="J49" s="67">
        <v>1</v>
      </c>
      <c r="K49" s="67">
        <v>33.6</v>
      </c>
      <c r="L49" s="30">
        <v>5.3</v>
      </c>
      <c r="M49" s="29"/>
      <c r="N49" s="29"/>
      <c r="O49" s="65" t="s">
        <v>674</v>
      </c>
      <c r="P49" s="70" t="s">
        <v>753</v>
      </c>
      <c r="Q49" s="24" t="s">
        <v>102</v>
      </c>
      <c r="R49" s="54" t="str">
        <f t="shared" si="9"/>
        <v>NARROW</v>
      </c>
      <c r="S49" s="29" t="s">
        <v>102</v>
      </c>
      <c r="T49" s="29" t="s">
        <v>33</v>
      </c>
      <c r="U49" s="29"/>
      <c r="V49" s="30"/>
      <c r="W49" s="48"/>
      <c r="X49" s="78"/>
      <c r="Y49" s="78"/>
      <c r="Z49" s="39">
        <f t="shared" si="7"/>
        <v>1</v>
      </c>
      <c r="AA49" s="39">
        <f t="shared" si="1"/>
        <v>0</v>
      </c>
      <c r="AB49" s="39">
        <f t="shared" si="8"/>
        <v>1</v>
      </c>
      <c r="AC49" s="39" t="str">
        <f t="shared" si="2"/>
        <v>A</v>
      </c>
      <c r="AD49" s="39">
        <f t="shared" si="3"/>
        <v>0</v>
      </c>
      <c r="AE49" s="39">
        <f t="shared" si="4"/>
        <v>0</v>
      </c>
      <c r="AF49" s="39">
        <f t="shared" si="5"/>
        <v>0</v>
      </c>
      <c r="AG49" s="39">
        <f t="shared" si="6"/>
        <v>0</v>
      </c>
    </row>
    <row r="50" spans="1:35" ht="35.1" customHeight="1" x14ac:dyDescent="0.25">
      <c r="A50" s="61">
        <v>49</v>
      </c>
      <c r="B50" s="66" t="s">
        <v>36</v>
      </c>
      <c r="C50" s="67" t="s">
        <v>930</v>
      </c>
      <c r="D50" s="67" t="s">
        <v>325</v>
      </c>
      <c r="E50" s="68" t="s">
        <v>14</v>
      </c>
      <c r="F50" s="66" t="s">
        <v>871</v>
      </c>
      <c r="G50" s="66" t="s">
        <v>871</v>
      </c>
      <c r="H50" s="69" t="s">
        <v>851</v>
      </c>
      <c r="I50" s="30">
        <v>77.3</v>
      </c>
      <c r="J50" s="67">
        <v>3</v>
      </c>
      <c r="K50" s="67">
        <v>31.8</v>
      </c>
      <c r="L50" s="30">
        <v>10.199999999999999</v>
      </c>
      <c r="M50" s="30"/>
      <c r="N50" s="30"/>
      <c r="O50" s="65" t="s">
        <v>860</v>
      </c>
      <c r="P50" s="70" t="s">
        <v>731</v>
      </c>
      <c r="Q50" s="24" t="s">
        <v>102</v>
      </c>
      <c r="R50" s="54" t="str">
        <f t="shared" si="9"/>
        <v>OK</v>
      </c>
      <c r="S50" s="29" t="s">
        <v>102</v>
      </c>
      <c r="T50" s="29" t="s">
        <v>32</v>
      </c>
      <c r="U50" s="29"/>
      <c r="V50" s="30"/>
      <c r="W50" s="48"/>
      <c r="X50" s="78"/>
      <c r="Y50" s="78"/>
      <c r="Z50" s="39">
        <f t="shared" si="7"/>
        <v>0</v>
      </c>
      <c r="AA50" s="39">
        <f t="shared" si="1"/>
        <v>1</v>
      </c>
      <c r="AB50" s="39">
        <f t="shared" si="8"/>
        <v>1</v>
      </c>
      <c r="AC50" s="39">
        <f t="shared" si="2"/>
        <v>0</v>
      </c>
      <c r="AD50" s="39">
        <f t="shared" si="3"/>
        <v>0</v>
      </c>
      <c r="AE50" s="39" t="str">
        <f t="shared" si="4"/>
        <v>C</v>
      </c>
      <c r="AF50" s="39">
        <f t="shared" si="5"/>
        <v>0</v>
      </c>
      <c r="AG50" s="39">
        <f t="shared" si="6"/>
        <v>0</v>
      </c>
    </row>
    <row r="51" spans="1:35" ht="35.1" customHeight="1" x14ac:dyDescent="0.25">
      <c r="A51" s="61">
        <v>50</v>
      </c>
      <c r="B51" s="66" t="s">
        <v>144</v>
      </c>
      <c r="C51" s="67" t="s">
        <v>931</v>
      </c>
      <c r="D51" s="67" t="s">
        <v>326</v>
      </c>
      <c r="E51" s="68" t="s">
        <v>14</v>
      </c>
      <c r="F51" s="66" t="s">
        <v>465</v>
      </c>
      <c r="G51" s="66" t="s">
        <v>501</v>
      </c>
      <c r="H51" s="69" t="s">
        <v>853</v>
      </c>
      <c r="I51" s="30">
        <v>21</v>
      </c>
      <c r="J51" s="67">
        <v>1</v>
      </c>
      <c r="K51" s="67">
        <v>21</v>
      </c>
      <c r="L51" s="30">
        <v>5</v>
      </c>
      <c r="M51" s="29"/>
      <c r="N51" s="29"/>
      <c r="O51" s="65" t="s">
        <v>675</v>
      </c>
      <c r="P51" s="70" t="s">
        <v>753</v>
      </c>
      <c r="Q51" s="24" t="s">
        <v>102</v>
      </c>
      <c r="R51" s="54" t="str">
        <f t="shared" si="9"/>
        <v>NARROW</v>
      </c>
      <c r="S51" s="29" t="s">
        <v>102</v>
      </c>
      <c r="T51" s="29" t="s">
        <v>33</v>
      </c>
      <c r="U51" s="29"/>
      <c r="V51" s="30"/>
      <c r="W51" s="48"/>
      <c r="X51" s="78"/>
      <c r="Y51" s="78"/>
      <c r="Z51" s="39">
        <f t="shared" si="7"/>
        <v>1</v>
      </c>
      <c r="AA51" s="39">
        <f t="shared" si="1"/>
        <v>0</v>
      </c>
      <c r="AB51" s="39">
        <f t="shared" si="8"/>
        <v>1</v>
      </c>
      <c r="AC51" s="39" t="str">
        <f t="shared" si="2"/>
        <v>A</v>
      </c>
      <c r="AD51" s="39">
        <f t="shared" si="3"/>
        <v>0</v>
      </c>
      <c r="AE51" s="39">
        <f t="shared" si="4"/>
        <v>0</v>
      </c>
      <c r="AF51" s="39">
        <f t="shared" si="5"/>
        <v>0</v>
      </c>
      <c r="AG51" s="39">
        <f t="shared" si="6"/>
        <v>0</v>
      </c>
      <c r="AI51" s="1">
        <f>I51</f>
        <v>21</v>
      </c>
    </row>
    <row r="52" spans="1:35" ht="35.1" customHeight="1" x14ac:dyDescent="0.25">
      <c r="A52" s="61">
        <v>51</v>
      </c>
      <c r="B52" s="66" t="s">
        <v>107</v>
      </c>
      <c r="C52" s="67" t="s">
        <v>932</v>
      </c>
      <c r="D52" s="67" t="s">
        <v>283</v>
      </c>
      <c r="E52" s="68" t="s">
        <v>14</v>
      </c>
      <c r="F52" s="66" t="s">
        <v>462</v>
      </c>
      <c r="G52" s="66" t="s">
        <v>463</v>
      </c>
      <c r="H52" s="69" t="s">
        <v>853</v>
      </c>
      <c r="I52" s="30">
        <v>46</v>
      </c>
      <c r="J52" s="67">
        <v>1</v>
      </c>
      <c r="K52" s="67">
        <v>46</v>
      </c>
      <c r="L52" s="30">
        <v>6.2</v>
      </c>
      <c r="M52" s="29"/>
      <c r="N52" s="29"/>
      <c r="O52" s="65" t="s">
        <v>754</v>
      </c>
      <c r="P52" s="70" t="s">
        <v>753</v>
      </c>
      <c r="Q52" s="24" t="s">
        <v>857</v>
      </c>
      <c r="R52" s="54" t="str">
        <f t="shared" si="9"/>
        <v>NARROW</v>
      </c>
      <c r="S52" s="29" t="s">
        <v>27</v>
      </c>
      <c r="T52" s="29" t="s">
        <v>32</v>
      </c>
      <c r="U52" s="29"/>
      <c r="V52" s="30"/>
      <c r="W52" s="48"/>
      <c r="X52" s="78"/>
      <c r="Y52" s="78"/>
      <c r="Z52" s="39">
        <f t="shared" si="7"/>
        <v>1</v>
      </c>
      <c r="AA52" s="39">
        <f t="shared" si="1"/>
        <v>1</v>
      </c>
      <c r="AB52" s="39">
        <f t="shared" si="8"/>
        <v>0</v>
      </c>
      <c r="AC52" s="39">
        <f t="shared" si="2"/>
        <v>0</v>
      </c>
      <c r="AD52" s="39" t="str">
        <f t="shared" si="3"/>
        <v>B</v>
      </c>
      <c r="AE52" s="39">
        <f t="shared" si="4"/>
        <v>0</v>
      </c>
      <c r="AF52" s="39">
        <f t="shared" si="5"/>
        <v>0</v>
      </c>
      <c r="AG52" s="39">
        <f t="shared" si="6"/>
        <v>0</v>
      </c>
      <c r="AI52" s="1">
        <f>I52</f>
        <v>46</v>
      </c>
    </row>
    <row r="53" spans="1:35" s="5" customFormat="1" ht="35.1" customHeight="1" x14ac:dyDescent="0.25">
      <c r="A53" s="61">
        <v>52</v>
      </c>
      <c r="B53" s="66" t="s">
        <v>52</v>
      </c>
      <c r="C53" s="67" t="s">
        <v>933</v>
      </c>
      <c r="D53" s="67" t="s">
        <v>284</v>
      </c>
      <c r="E53" s="68" t="s">
        <v>14</v>
      </c>
      <c r="F53" s="66" t="s">
        <v>464</v>
      </c>
      <c r="G53" s="66" t="s">
        <v>465</v>
      </c>
      <c r="H53" s="69" t="s">
        <v>853</v>
      </c>
      <c r="I53" s="30">
        <v>83</v>
      </c>
      <c r="J53" s="67">
        <v>4</v>
      </c>
      <c r="K53" s="67">
        <v>27.5</v>
      </c>
      <c r="L53" s="30">
        <v>6</v>
      </c>
      <c r="M53" s="30"/>
      <c r="N53" s="30"/>
      <c r="O53" s="65" t="s">
        <v>641</v>
      </c>
      <c r="P53" s="70" t="s">
        <v>753</v>
      </c>
      <c r="Q53" s="24" t="s">
        <v>102</v>
      </c>
      <c r="R53" s="54" t="str">
        <f t="shared" si="9"/>
        <v>NARROW</v>
      </c>
      <c r="S53" s="29" t="s">
        <v>102</v>
      </c>
      <c r="T53" s="29" t="s">
        <v>32</v>
      </c>
      <c r="U53" s="29"/>
      <c r="V53" s="30"/>
      <c r="W53" s="48"/>
      <c r="X53" s="78"/>
      <c r="Y53" s="78"/>
      <c r="Z53" s="39">
        <f t="shared" si="7"/>
        <v>1</v>
      </c>
      <c r="AA53" s="39">
        <f t="shared" si="1"/>
        <v>1</v>
      </c>
      <c r="AB53" s="39">
        <f t="shared" si="8"/>
        <v>1</v>
      </c>
      <c r="AC53" s="39" t="str">
        <f t="shared" si="2"/>
        <v>A</v>
      </c>
      <c r="AD53" s="39" t="str">
        <f t="shared" si="3"/>
        <v>B</v>
      </c>
      <c r="AE53" s="39" t="str">
        <f t="shared" si="4"/>
        <v>C</v>
      </c>
      <c r="AF53" s="39" t="str">
        <f t="shared" si="5"/>
        <v>D</v>
      </c>
      <c r="AG53" s="39">
        <f t="shared" si="6"/>
        <v>0</v>
      </c>
      <c r="AI53" s="5">
        <f>I53</f>
        <v>83</v>
      </c>
    </row>
    <row r="54" spans="1:35" ht="35.1" customHeight="1" x14ac:dyDescent="0.25">
      <c r="A54" s="61">
        <v>53</v>
      </c>
      <c r="B54" s="66" t="s">
        <v>146</v>
      </c>
      <c r="C54" s="67" t="s">
        <v>934</v>
      </c>
      <c r="D54" s="67" t="s">
        <v>329</v>
      </c>
      <c r="E54" s="68" t="s">
        <v>14</v>
      </c>
      <c r="F54" s="66" t="s">
        <v>506</v>
      </c>
      <c r="G54" s="66" t="s">
        <v>507</v>
      </c>
      <c r="H54" s="69" t="s">
        <v>522</v>
      </c>
      <c r="I54" s="30">
        <v>7.5</v>
      </c>
      <c r="J54" s="67">
        <v>1</v>
      </c>
      <c r="K54" s="67">
        <v>7.5</v>
      </c>
      <c r="L54" s="30">
        <v>14</v>
      </c>
      <c r="M54" s="30"/>
      <c r="N54" s="30"/>
      <c r="O54" s="65" t="s">
        <v>677</v>
      </c>
      <c r="P54" s="70" t="s">
        <v>730</v>
      </c>
      <c r="Q54" s="24" t="s">
        <v>27</v>
      </c>
      <c r="R54" s="54" t="str">
        <f t="shared" si="9"/>
        <v>OK</v>
      </c>
      <c r="S54" s="29" t="s">
        <v>27</v>
      </c>
      <c r="T54" s="29" t="s">
        <v>33</v>
      </c>
      <c r="U54" s="29"/>
      <c r="V54" s="43">
        <v>10741</v>
      </c>
      <c r="W54" s="48">
        <v>6</v>
      </c>
      <c r="X54" s="78"/>
      <c r="Y54" s="78"/>
      <c r="Z54" s="39">
        <f t="shared" si="7"/>
        <v>0</v>
      </c>
      <c r="AA54" s="39">
        <f t="shared" si="1"/>
        <v>0</v>
      </c>
      <c r="AB54" s="39">
        <f t="shared" si="8"/>
        <v>0</v>
      </c>
      <c r="AC54" s="39">
        <f t="shared" si="2"/>
        <v>0</v>
      </c>
      <c r="AD54" s="39">
        <f t="shared" si="3"/>
        <v>0</v>
      </c>
      <c r="AE54" s="39">
        <f t="shared" si="4"/>
        <v>0</v>
      </c>
      <c r="AF54" s="39">
        <f t="shared" si="5"/>
        <v>0</v>
      </c>
      <c r="AG54" s="39" t="str">
        <f t="shared" si="6"/>
        <v>E</v>
      </c>
    </row>
    <row r="55" spans="1:35" ht="35.1" customHeight="1" x14ac:dyDescent="0.25">
      <c r="A55" s="61">
        <v>54</v>
      </c>
      <c r="B55" s="66" t="s">
        <v>147</v>
      </c>
      <c r="C55" s="67" t="s">
        <v>935</v>
      </c>
      <c r="D55" s="67" t="s">
        <v>330</v>
      </c>
      <c r="E55" s="68" t="s">
        <v>14</v>
      </c>
      <c r="F55" s="66" t="s">
        <v>147</v>
      </c>
      <c r="G55" s="66" t="s">
        <v>147</v>
      </c>
      <c r="H55" s="69" t="s">
        <v>522</v>
      </c>
      <c r="I55" s="30">
        <v>68.8</v>
      </c>
      <c r="J55" s="67">
        <v>3</v>
      </c>
      <c r="K55" s="67">
        <v>25.6</v>
      </c>
      <c r="L55" s="30">
        <v>11.3</v>
      </c>
      <c r="M55" s="30">
        <v>1997</v>
      </c>
      <c r="N55" s="30"/>
      <c r="O55" s="65" t="s">
        <v>872</v>
      </c>
      <c r="P55" s="70" t="s">
        <v>730</v>
      </c>
      <c r="Q55" s="24" t="s">
        <v>857</v>
      </c>
      <c r="R55" s="54" t="str">
        <f t="shared" si="9"/>
        <v>OK</v>
      </c>
      <c r="S55" s="29" t="s">
        <v>27</v>
      </c>
      <c r="T55" s="29" t="s">
        <v>32</v>
      </c>
      <c r="U55" s="29"/>
      <c r="V55" s="43">
        <v>10741</v>
      </c>
      <c r="W55" s="48">
        <v>6</v>
      </c>
      <c r="X55" s="78"/>
      <c r="Y55" s="78"/>
      <c r="Z55" s="39">
        <f t="shared" si="7"/>
        <v>0</v>
      </c>
      <c r="AA55" s="39">
        <f t="shared" si="1"/>
        <v>1</v>
      </c>
      <c r="AB55" s="39">
        <f t="shared" si="8"/>
        <v>0</v>
      </c>
      <c r="AC55" s="39">
        <f t="shared" si="2"/>
        <v>0</v>
      </c>
      <c r="AD55" s="39">
        <f t="shared" si="3"/>
        <v>0</v>
      </c>
      <c r="AE55" s="39">
        <f t="shared" si="4"/>
        <v>0</v>
      </c>
      <c r="AF55" s="39">
        <f t="shared" si="5"/>
        <v>0</v>
      </c>
      <c r="AG55" s="39">
        <f t="shared" si="6"/>
        <v>0</v>
      </c>
    </row>
    <row r="56" spans="1:35" ht="35.1" customHeight="1" x14ac:dyDescent="0.25">
      <c r="A56" s="61">
        <v>55</v>
      </c>
      <c r="B56" s="66" t="s">
        <v>148</v>
      </c>
      <c r="C56" s="67" t="s">
        <v>933</v>
      </c>
      <c r="D56" s="68" t="s">
        <v>331</v>
      </c>
      <c r="E56" s="68" t="s">
        <v>14</v>
      </c>
      <c r="F56" s="66" t="s">
        <v>148</v>
      </c>
      <c r="G56" s="66" t="s">
        <v>508</v>
      </c>
      <c r="H56" s="69" t="s">
        <v>522</v>
      </c>
      <c r="I56" s="30">
        <v>160</v>
      </c>
      <c r="J56" s="67">
        <v>6</v>
      </c>
      <c r="K56" s="67">
        <v>27</v>
      </c>
      <c r="L56" s="30">
        <v>10.199999999999999</v>
      </c>
      <c r="M56" s="29"/>
      <c r="N56" s="29"/>
      <c r="O56" s="65" t="s">
        <v>21</v>
      </c>
      <c r="P56" s="70" t="s">
        <v>730</v>
      </c>
      <c r="Q56" s="24" t="s">
        <v>27</v>
      </c>
      <c r="R56" s="54" t="str">
        <f t="shared" si="9"/>
        <v>OK</v>
      </c>
      <c r="S56" s="29" t="s">
        <v>27</v>
      </c>
      <c r="T56" s="29" t="s">
        <v>33</v>
      </c>
      <c r="U56" s="29"/>
      <c r="V56" s="36"/>
      <c r="W56" s="50"/>
      <c r="X56" s="79"/>
      <c r="Y56" s="79"/>
      <c r="Z56" s="39">
        <f t="shared" si="7"/>
        <v>0</v>
      </c>
      <c r="AA56" s="39">
        <f t="shared" si="1"/>
        <v>0</v>
      </c>
      <c r="AB56" s="39">
        <f t="shared" si="8"/>
        <v>0</v>
      </c>
      <c r="AC56" s="39">
        <f t="shared" si="2"/>
        <v>0</v>
      </c>
      <c r="AD56" s="39">
        <f t="shared" si="3"/>
        <v>0</v>
      </c>
      <c r="AE56" s="39">
        <f t="shared" si="4"/>
        <v>0</v>
      </c>
      <c r="AF56" s="39">
        <f t="shared" si="5"/>
        <v>0</v>
      </c>
      <c r="AG56" s="39" t="str">
        <f t="shared" si="6"/>
        <v>E</v>
      </c>
    </row>
    <row r="57" spans="1:35" ht="35.1" customHeight="1" x14ac:dyDescent="0.25">
      <c r="A57" s="61">
        <v>56</v>
      </c>
      <c r="B57" s="66" t="s">
        <v>149</v>
      </c>
      <c r="C57" s="67" t="s">
        <v>936</v>
      </c>
      <c r="D57" s="67" t="s">
        <v>332</v>
      </c>
      <c r="E57" s="68" t="s">
        <v>14</v>
      </c>
      <c r="F57" s="66" t="s">
        <v>149</v>
      </c>
      <c r="G57" s="66" t="s">
        <v>509</v>
      </c>
      <c r="H57" s="69" t="s">
        <v>15</v>
      </c>
      <c r="I57" s="30">
        <v>24</v>
      </c>
      <c r="J57" s="67">
        <v>1</v>
      </c>
      <c r="K57" s="67">
        <v>24</v>
      </c>
      <c r="L57" s="30">
        <v>9.9</v>
      </c>
      <c r="M57" s="29"/>
      <c r="N57" s="29"/>
      <c r="O57" s="65" t="s">
        <v>678</v>
      </c>
      <c r="P57" s="70" t="s">
        <v>730</v>
      </c>
      <c r="Q57" s="24" t="s">
        <v>102</v>
      </c>
      <c r="R57" s="54" t="str">
        <f t="shared" si="9"/>
        <v>OK</v>
      </c>
      <c r="S57" s="29" t="s">
        <v>102</v>
      </c>
      <c r="T57" s="29" t="s">
        <v>33</v>
      </c>
      <c r="U57" s="29"/>
      <c r="V57" s="30"/>
      <c r="W57" s="48"/>
      <c r="X57" s="78"/>
      <c r="Y57" s="78"/>
      <c r="Z57" s="39">
        <f t="shared" si="7"/>
        <v>0</v>
      </c>
      <c r="AA57" s="39">
        <f t="shared" si="1"/>
        <v>0</v>
      </c>
      <c r="AB57" s="39">
        <f t="shared" si="8"/>
        <v>1</v>
      </c>
      <c r="AC57" s="39">
        <f t="shared" si="2"/>
        <v>0</v>
      </c>
      <c r="AD57" s="39">
        <f t="shared" si="3"/>
        <v>0</v>
      </c>
      <c r="AE57" s="39">
        <f t="shared" si="4"/>
        <v>0</v>
      </c>
      <c r="AF57" s="39">
        <f t="shared" si="5"/>
        <v>0</v>
      </c>
      <c r="AG57" s="39">
        <f t="shared" si="6"/>
        <v>0</v>
      </c>
    </row>
    <row r="58" spans="1:35" ht="35.1" customHeight="1" x14ac:dyDescent="0.25">
      <c r="A58" s="61">
        <v>57</v>
      </c>
      <c r="B58" s="66" t="s">
        <v>150</v>
      </c>
      <c r="C58" s="67" t="s">
        <v>937</v>
      </c>
      <c r="D58" s="67" t="s">
        <v>333</v>
      </c>
      <c r="E58" s="68" t="s">
        <v>14</v>
      </c>
      <c r="F58" s="66" t="s">
        <v>510</v>
      </c>
      <c r="G58" s="66" t="s">
        <v>511</v>
      </c>
      <c r="H58" s="69" t="s">
        <v>522</v>
      </c>
      <c r="I58" s="30">
        <v>16.5</v>
      </c>
      <c r="J58" s="67">
        <v>1</v>
      </c>
      <c r="K58" s="67">
        <v>16.5</v>
      </c>
      <c r="L58" s="30">
        <v>11.3</v>
      </c>
      <c r="M58" s="30"/>
      <c r="N58" s="30"/>
      <c r="O58" s="65" t="s">
        <v>21</v>
      </c>
      <c r="P58" s="70" t="s">
        <v>730</v>
      </c>
      <c r="Q58" s="24" t="s">
        <v>27</v>
      </c>
      <c r="R58" s="54" t="str">
        <f t="shared" si="9"/>
        <v>OK</v>
      </c>
      <c r="S58" s="29" t="s">
        <v>27</v>
      </c>
      <c r="T58" s="29" t="s">
        <v>33</v>
      </c>
      <c r="U58" s="29"/>
      <c r="V58" s="30"/>
      <c r="W58" s="48"/>
      <c r="X58" s="78"/>
      <c r="Y58" s="78"/>
      <c r="Z58" s="39">
        <f t="shared" si="7"/>
        <v>0</v>
      </c>
      <c r="AA58" s="39">
        <f t="shared" si="1"/>
        <v>0</v>
      </c>
      <c r="AB58" s="39">
        <f t="shared" si="8"/>
        <v>0</v>
      </c>
      <c r="AC58" s="39">
        <f t="shared" si="2"/>
        <v>0</v>
      </c>
      <c r="AD58" s="39">
        <f t="shared" si="3"/>
        <v>0</v>
      </c>
      <c r="AE58" s="39">
        <f t="shared" si="4"/>
        <v>0</v>
      </c>
      <c r="AF58" s="39">
        <f t="shared" si="5"/>
        <v>0</v>
      </c>
      <c r="AG58" s="39" t="str">
        <f t="shared" si="6"/>
        <v>E</v>
      </c>
    </row>
    <row r="59" spans="1:35" ht="35.1" customHeight="1" x14ac:dyDescent="0.25">
      <c r="A59" s="61">
        <v>58</v>
      </c>
      <c r="B59" s="66" t="s">
        <v>139</v>
      </c>
      <c r="C59" s="67" t="s">
        <v>938</v>
      </c>
      <c r="D59" s="67" t="s">
        <v>319</v>
      </c>
      <c r="E59" s="68" t="s">
        <v>14</v>
      </c>
      <c r="F59" s="66" t="s">
        <v>495</v>
      </c>
      <c r="G59" s="66" t="s">
        <v>496</v>
      </c>
      <c r="H59" s="69" t="s">
        <v>522</v>
      </c>
      <c r="I59" s="30">
        <v>18.5</v>
      </c>
      <c r="J59" s="67">
        <v>1</v>
      </c>
      <c r="K59" s="67">
        <v>12.4</v>
      </c>
      <c r="L59" s="30">
        <v>6.8</v>
      </c>
      <c r="M59" s="29"/>
      <c r="N59" s="29"/>
      <c r="O59" s="65" t="s">
        <v>873</v>
      </c>
      <c r="P59" s="70" t="s">
        <v>731</v>
      </c>
      <c r="Q59" s="24" t="s">
        <v>857</v>
      </c>
      <c r="R59" s="54" t="str">
        <f t="shared" si="9"/>
        <v>NARROW</v>
      </c>
      <c r="S59" s="29" t="s">
        <v>27</v>
      </c>
      <c r="T59" s="29" t="s">
        <v>32</v>
      </c>
      <c r="U59" s="29"/>
      <c r="V59" s="30"/>
      <c r="W59" s="48"/>
      <c r="X59" s="78"/>
      <c r="Y59" s="78"/>
      <c r="Z59" s="39">
        <f t="shared" si="7"/>
        <v>1</v>
      </c>
      <c r="AA59" s="39">
        <f t="shared" si="1"/>
        <v>1</v>
      </c>
      <c r="AB59" s="39">
        <f t="shared" si="8"/>
        <v>0</v>
      </c>
      <c r="AC59" s="39">
        <f t="shared" si="2"/>
        <v>0</v>
      </c>
      <c r="AD59" s="39" t="str">
        <f t="shared" si="3"/>
        <v>B</v>
      </c>
      <c r="AE59" s="39">
        <f t="shared" si="4"/>
        <v>0</v>
      </c>
      <c r="AF59" s="39">
        <f t="shared" si="5"/>
        <v>0</v>
      </c>
      <c r="AG59" s="39">
        <f t="shared" si="6"/>
        <v>0</v>
      </c>
    </row>
    <row r="60" spans="1:35" ht="35.1" customHeight="1" x14ac:dyDescent="0.25">
      <c r="A60" s="61">
        <v>59</v>
      </c>
      <c r="B60" s="66" t="s">
        <v>108</v>
      </c>
      <c r="C60" s="67" t="s">
        <v>939</v>
      </c>
      <c r="D60" s="67" t="s">
        <v>285</v>
      </c>
      <c r="E60" s="68" t="s">
        <v>14</v>
      </c>
      <c r="F60" s="66" t="s">
        <v>187</v>
      </c>
      <c r="G60" s="66" t="s">
        <v>466</v>
      </c>
      <c r="H60" s="69" t="s">
        <v>40</v>
      </c>
      <c r="I60" s="30">
        <v>27.8</v>
      </c>
      <c r="J60" s="67">
        <v>1</v>
      </c>
      <c r="K60" s="67">
        <v>27.8</v>
      </c>
      <c r="L60" s="30">
        <v>6.5</v>
      </c>
      <c r="M60" s="29"/>
      <c r="N60" s="29"/>
      <c r="O60" s="65" t="s">
        <v>642</v>
      </c>
      <c r="P60" s="70" t="s">
        <v>753</v>
      </c>
      <c r="Q60" s="24" t="s">
        <v>102</v>
      </c>
      <c r="R60" s="54" t="str">
        <f t="shared" si="9"/>
        <v>NARROW</v>
      </c>
      <c r="S60" s="29" t="s">
        <v>102</v>
      </c>
      <c r="T60" s="29" t="s">
        <v>32</v>
      </c>
      <c r="U60" s="29"/>
      <c r="V60" s="30"/>
      <c r="W60" s="48"/>
      <c r="X60" s="78"/>
      <c r="Y60" s="78"/>
      <c r="Z60" s="39">
        <f t="shared" si="7"/>
        <v>1</v>
      </c>
      <c r="AA60" s="39">
        <f t="shared" si="1"/>
        <v>1</v>
      </c>
      <c r="AB60" s="39">
        <f t="shared" si="8"/>
        <v>1</v>
      </c>
      <c r="AC60" s="39" t="str">
        <f t="shared" si="2"/>
        <v>A</v>
      </c>
      <c r="AD60" s="39" t="str">
        <f t="shared" si="3"/>
        <v>B</v>
      </c>
      <c r="AE60" s="39" t="str">
        <f t="shared" si="4"/>
        <v>C</v>
      </c>
      <c r="AF60" s="39" t="str">
        <f t="shared" si="5"/>
        <v>D</v>
      </c>
      <c r="AG60" s="39">
        <f t="shared" si="6"/>
        <v>0</v>
      </c>
      <c r="AI60" s="1">
        <f>I60</f>
        <v>27.8</v>
      </c>
    </row>
    <row r="61" spans="1:35" ht="35.1" customHeight="1" x14ac:dyDescent="0.25">
      <c r="A61" s="61">
        <v>60</v>
      </c>
      <c r="B61" s="66" t="s">
        <v>140</v>
      </c>
      <c r="C61" s="67" t="s">
        <v>930</v>
      </c>
      <c r="D61" s="67" t="s">
        <v>321</v>
      </c>
      <c r="E61" s="68" t="s">
        <v>14</v>
      </c>
      <c r="F61" s="66" t="s">
        <v>140</v>
      </c>
      <c r="G61" s="66" t="s">
        <v>140</v>
      </c>
      <c r="H61" s="69" t="s">
        <v>522</v>
      </c>
      <c r="I61" s="30">
        <v>36</v>
      </c>
      <c r="J61" s="67">
        <v>3</v>
      </c>
      <c r="K61" s="67">
        <v>12</v>
      </c>
      <c r="L61" s="30">
        <v>12</v>
      </c>
      <c r="M61" s="30"/>
      <c r="N61" s="30"/>
      <c r="O61" s="65" t="s">
        <v>874</v>
      </c>
      <c r="P61" s="70" t="s">
        <v>731</v>
      </c>
      <c r="Q61" s="24" t="s">
        <v>857</v>
      </c>
      <c r="R61" s="54" t="str">
        <f t="shared" si="9"/>
        <v>OK</v>
      </c>
      <c r="S61" s="29" t="s">
        <v>27</v>
      </c>
      <c r="T61" s="29" t="s">
        <v>32</v>
      </c>
      <c r="U61" s="29"/>
      <c r="V61" s="43">
        <v>4401</v>
      </c>
      <c r="W61" s="48">
        <v>11</v>
      </c>
      <c r="X61" s="78"/>
      <c r="Y61" s="78"/>
      <c r="Z61" s="39">
        <f t="shared" si="7"/>
        <v>0</v>
      </c>
      <c r="AA61" s="39">
        <f t="shared" si="1"/>
        <v>1</v>
      </c>
      <c r="AB61" s="39">
        <f t="shared" si="8"/>
        <v>0</v>
      </c>
      <c r="AC61" s="39">
        <f t="shared" si="2"/>
        <v>0</v>
      </c>
      <c r="AD61" s="39">
        <f t="shared" si="3"/>
        <v>0</v>
      </c>
      <c r="AE61" s="39">
        <f t="shared" si="4"/>
        <v>0</v>
      </c>
      <c r="AF61" s="39">
        <f t="shared" si="5"/>
        <v>0</v>
      </c>
      <c r="AG61" s="39">
        <f t="shared" si="6"/>
        <v>0</v>
      </c>
    </row>
    <row r="62" spans="1:35" ht="35.1" customHeight="1" x14ac:dyDescent="0.25">
      <c r="A62" s="61">
        <v>61</v>
      </c>
      <c r="B62" s="66" t="s">
        <v>145</v>
      </c>
      <c r="C62" s="67" t="s">
        <v>933</v>
      </c>
      <c r="D62" s="67" t="s">
        <v>327</v>
      </c>
      <c r="E62" s="68" t="s">
        <v>14</v>
      </c>
      <c r="F62" s="66" t="s">
        <v>502</v>
      </c>
      <c r="G62" s="66" t="s">
        <v>503</v>
      </c>
      <c r="H62" s="69" t="s">
        <v>15</v>
      </c>
      <c r="I62" s="30">
        <v>50</v>
      </c>
      <c r="J62" s="67">
        <v>1</v>
      </c>
      <c r="K62" s="67">
        <v>50</v>
      </c>
      <c r="L62" s="30">
        <v>12.05</v>
      </c>
      <c r="M62" s="30"/>
      <c r="N62" s="30"/>
      <c r="O62" s="65" t="s">
        <v>676</v>
      </c>
      <c r="P62" s="70" t="s">
        <v>731</v>
      </c>
      <c r="Q62" s="24" t="s">
        <v>857</v>
      </c>
      <c r="R62" s="54" t="str">
        <f t="shared" si="9"/>
        <v>OK</v>
      </c>
      <c r="S62" s="29" t="s">
        <v>27</v>
      </c>
      <c r="T62" s="29" t="s">
        <v>32</v>
      </c>
      <c r="U62" s="29"/>
      <c r="V62" s="30"/>
      <c r="W62" s="48"/>
      <c r="X62" s="78"/>
      <c r="Y62" s="78"/>
      <c r="Z62" s="39">
        <f t="shared" si="7"/>
        <v>0</v>
      </c>
      <c r="AA62" s="39">
        <f t="shared" si="1"/>
        <v>1</v>
      </c>
      <c r="AB62" s="39">
        <f t="shared" si="8"/>
        <v>0</v>
      </c>
      <c r="AC62" s="39">
        <f t="shared" si="2"/>
        <v>0</v>
      </c>
      <c r="AD62" s="39">
        <f t="shared" si="3"/>
        <v>0</v>
      </c>
      <c r="AE62" s="39">
        <f t="shared" si="4"/>
        <v>0</v>
      </c>
      <c r="AF62" s="39">
        <f t="shared" si="5"/>
        <v>0</v>
      </c>
      <c r="AG62" s="39">
        <f t="shared" si="6"/>
        <v>0</v>
      </c>
    </row>
    <row r="63" spans="1:35" ht="54" customHeight="1" x14ac:dyDescent="0.25">
      <c r="A63" s="61">
        <v>62</v>
      </c>
      <c r="B63" s="66" t="s">
        <v>155</v>
      </c>
      <c r="C63" s="67" t="s">
        <v>940</v>
      </c>
      <c r="D63" s="67" t="s">
        <v>338</v>
      </c>
      <c r="E63" s="68" t="s">
        <v>14</v>
      </c>
      <c r="F63" s="66" t="s">
        <v>48</v>
      </c>
      <c r="G63" s="66" t="s">
        <v>516</v>
      </c>
      <c r="H63" s="69" t="s">
        <v>522</v>
      </c>
      <c r="I63" s="30">
        <v>20</v>
      </c>
      <c r="J63" s="67">
        <v>1</v>
      </c>
      <c r="K63" s="67"/>
      <c r="L63" s="30">
        <v>12.2</v>
      </c>
      <c r="M63" s="30">
        <v>2015</v>
      </c>
      <c r="N63" s="30"/>
      <c r="O63" s="65" t="s">
        <v>681</v>
      </c>
      <c r="P63" s="70" t="s">
        <v>730</v>
      </c>
      <c r="Q63" s="24" t="s">
        <v>857</v>
      </c>
      <c r="R63" s="54" t="str">
        <f t="shared" si="9"/>
        <v>OK</v>
      </c>
      <c r="S63" s="29" t="s">
        <v>27</v>
      </c>
      <c r="T63" s="29" t="s">
        <v>32</v>
      </c>
      <c r="U63" s="29"/>
      <c r="V63" s="30"/>
      <c r="W63" s="48"/>
      <c r="X63" s="78"/>
      <c r="Y63" s="78"/>
      <c r="Z63" s="39">
        <f t="shared" si="7"/>
        <v>0</v>
      </c>
      <c r="AA63" s="39">
        <f t="shared" si="1"/>
        <v>1</v>
      </c>
      <c r="AB63" s="39">
        <f t="shared" si="8"/>
        <v>0</v>
      </c>
      <c r="AC63" s="39">
        <f t="shared" si="2"/>
        <v>0</v>
      </c>
      <c r="AD63" s="39">
        <f t="shared" si="3"/>
        <v>0</v>
      </c>
      <c r="AE63" s="39">
        <f t="shared" si="4"/>
        <v>0</v>
      </c>
      <c r="AF63" s="39">
        <f t="shared" si="5"/>
        <v>0</v>
      </c>
      <c r="AG63" s="39">
        <f t="shared" si="6"/>
        <v>0</v>
      </c>
    </row>
    <row r="64" spans="1:35" ht="35.1" customHeight="1" x14ac:dyDescent="0.25">
      <c r="A64" s="61">
        <v>63</v>
      </c>
      <c r="B64" s="66" t="s">
        <v>52</v>
      </c>
      <c r="C64" s="67" t="s">
        <v>933</v>
      </c>
      <c r="D64" s="67" t="s">
        <v>328</v>
      </c>
      <c r="E64" s="68" t="s">
        <v>14</v>
      </c>
      <c r="F64" s="66" t="s">
        <v>504</v>
      </c>
      <c r="G64" s="66" t="s">
        <v>505</v>
      </c>
      <c r="H64" s="69" t="s">
        <v>522</v>
      </c>
      <c r="I64" s="30">
        <v>56.9</v>
      </c>
      <c r="J64" s="67">
        <v>5</v>
      </c>
      <c r="K64" s="67">
        <v>12.45</v>
      </c>
      <c r="L64" s="30">
        <v>5.95</v>
      </c>
      <c r="M64" s="29"/>
      <c r="N64" s="29"/>
      <c r="O64" s="65" t="s">
        <v>862</v>
      </c>
      <c r="P64" s="70" t="s">
        <v>731</v>
      </c>
      <c r="Q64" s="24" t="s">
        <v>102</v>
      </c>
      <c r="R64" s="54" t="str">
        <f t="shared" si="9"/>
        <v>NARROW</v>
      </c>
      <c r="S64" s="29" t="s">
        <v>102</v>
      </c>
      <c r="T64" s="29" t="s">
        <v>32</v>
      </c>
      <c r="U64" s="29"/>
      <c r="V64" s="43">
        <v>5149</v>
      </c>
      <c r="W64" s="48">
        <v>4</v>
      </c>
      <c r="X64" s="78"/>
      <c r="Y64" s="78"/>
      <c r="Z64" s="39">
        <f t="shared" si="7"/>
        <v>1</v>
      </c>
      <c r="AA64" s="39">
        <f t="shared" si="1"/>
        <v>1</v>
      </c>
      <c r="AB64" s="39">
        <f t="shared" si="8"/>
        <v>1</v>
      </c>
      <c r="AC64" s="39" t="str">
        <f t="shared" si="2"/>
        <v>A</v>
      </c>
      <c r="AD64" s="39" t="str">
        <f t="shared" si="3"/>
        <v>B</v>
      </c>
      <c r="AE64" s="39" t="str">
        <f t="shared" si="4"/>
        <v>C</v>
      </c>
      <c r="AF64" s="39" t="str">
        <f t="shared" si="5"/>
        <v>D</v>
      </c>
      <c r="AG64" s="39">
        <f t="shared" si="6"/>
        <v>0</v>
      </c>
    </row>
    <row r="65" spans="1:35" ht="35.1" customHeight="1" x14ac:dyDescent="0.25">
      <c r="A65" s="61">
        <v>64</v>
      </c>
      <c r="B65" s="66" t="s">
        <v>157</v>
      </c>
      <c r="C65" s="67" t="s">
        <v>941</v>
      </c>
      <c r="D65" s="67" t="s">
        <v>340</v>
      </c>
      <c r="E65" s="68" t="s">
        <v>14</v>
      </c>
      <c r="F65" s="66" t="s">
        <v>157</v>
      </c>
      <c r="G65" s="66" t="s">
        <v>519</v>
      </c>
      <c r="H65" s="69" t="s">
        <v>40</v>
      </c>
      <c r="I65" s="30">
        <v>24.75</v>
      </c>
      <c r="J65" s="67">
        <v>1</v>
      </c>
      <c r="K65" s="67">
        <v>24.75</v>
      </c>
      <c r="L65" s="30">
        <v>6.5</v>
      </c>
      <c r="M65" s="29"/>
      <c r="N65" s="29"/>
      <c r="O65" s="65" t="s">
        <v>683</v>
      </c>
      <c r="P65" s="70" t="s">
        <v>730</v>
      </c>
      <c r="Q65" s="24" t="s">
        <v>857</v>
      </c>
      <c r="R65" s="54" t="str">
        <f t="shared" si="9"/>
        <v>NARROW</v>
      </c>
      <c r="S65" s="29" t="s">
        <v>102</v>
      </c>
      <c r="T65" s="29" t="s">
        <v>33</v>
      </c>
      <c r="U65" s="29"/>
      <c r="V65" s="30"/>
      <c r="W65" s="48"/>
      <c r="X65" s="78"/>
      <c r="Y65" s="78"/>
      <c r="Z65" s="39">
        <f t="shared" si="7"/>
        <v>1</v>
      </c>
      <c r="AA65" s="39">
        <f t="shared" si="1"/>
        <v>0</v>
      </c>
      <c r="AB65" s="39">
        <f t="shared" si="8"/>
        <v>1</v>
      </c>
      <c r="AC65" s="39" t="str">
        <f t="shared" si="2"/>
        <v>A</v>
      </c>
      <c r="AD65" s="39">
        <f t="shared" si="3"/>
        <v>0</v>
      </c>
      <c r="AE65" s="39">
        <f t="shared" si="4"/>
        <v>0</v>
      </c>
      <c r="AF65" s="39">
        <f t="shared" si="5"/>
        <v>0</v>
      </c>
      <c r="AG65" s="39">
        <f t="shared" si="6"/>
        <v>0</v>
      </c>
      <c r="AI65" s="1">
        <f>I65</f>
        <v>24.75</v>
      </c>
    </row>
    <row r="66" spans="1:35" ht="35.1" customHeight="1" x14ac:dyDescent="0.25">
      <c r="A66" s="61">
        <v>65</v>
      </c>
      <c r="B66" s="66" t="s">
        <v>158</v>
      </c>
      <c r="C66" s="67" t="s">
        <v>930</v>
      </c>
      <c r="D66" s="67" t="s">
        <v>341</v>
      </c>
      <c r="E66" s="68" t="s">
        <v>14</v>
      </c>
      <c r="F66" s="66" t="s">
        <v>520</v>
      </c>
      <c r="G66" s="66" t="s">
        <v>158</v>
      </c>
      <c r="H66" s="69" t="s">
        <v>522</v>
      </c>
      <c r="I66" s="30">
        <v>24</v>
      </c>
      <c r="J66" s="67">
        <v>2</v>
      </c>
      <c r="K66" s="67">
        <v>12</v>
      </c>
      <c r="L66" s="30">
        <v>10.6</v>
      </c>
      <c r="M66" s="30"/>
      <c r="N66" s="30"/>
      <c r="O66" s="65" t="s">
        <v>684</v>
      </c>
      <c r="P66" s="70" t="s">
        <v>730</v>
      </c>
      <c r="Q66" s="24" t="s">
        <v>857</v>
      </c>
      <c r="R66" s="54" t="str">
        <f t="shared" ref="R66:R97" si="10">IF(L66&lt;7.3,"NARROW","OK")</f>
        <v>OK</v>
      </c>
      <c r="S66" s="29" t="s">
        <v>27</v>
      </c>
      <c r="T66" s="29" t="s">
        <v>32</v>
      </c>
      <c r="U66" s="29"/>
      <c r="V66" s="30"/>
      <c r="W66" s="48"/>
      <c r="X66" s="78"/>
      <c r="Y66" s="78"/>
      <c r="Z66" s="39">
        <f t="shared" si="7"/>
        <v>0</v>
      </c>
      <c r="AA66" s="39">
        <f t="shared" ref="AA66:AA129" si="11">IF(T66= "UNSAFE",1,0)</f>
        <v>1</v>
      </c>
      <c r="AB66" s="39">
        <f t="shared" si="8"/>
        <v>0</v>
      </c>
      <c r="AC66" s="39">
        <f t="shared" ref="AC66:AC78" si="12">IF(Z66+AB66=2,"A",0)</f>
        <v>0</v>
      </c>
      <c r="AD66" s="39">
        <f t="shared" ref="AD66:AD129" si="13">IF(Z66+AA66=2,"B",0)</f>
        <v>0</v>
      </c>
      <c r="AE66" s="39">
        <f t="shared" ref="AE66:AE129" si="14">IF(AB66+AA66=2,"C",0)</f>
        <v>0</v>
      </c>
      <c r="AF66" s="39">
        <f t="shared" ref="AF66:AF129" si="15">IF(Z66+AB66+AA66=3,"D",0)</f>
        <v>0</v>
      </c>
      <c r="AG66" s="39">
        <f t="shared" ref="AG66:AG129" si="16">IF(Z66+AB66+AA66=0,"E",0)</f>
        <v>0</v>
      </c>
    </row>
    <row r="67" spans="1:35" ht="35.1" customHeight="1" x14ac:dyDescent="0.25">
      <c r="A67" s="61">
        <v>66</v>
      </c>
      <c r="B67" s="66" t="s">
        <v>109</v>
      </c>
      <c r="C67" s="67" t="s">
        <v>942</v>
      </c>
      <c r="D67" s="67" t="s">
        <v>286</v>
      </c>
      <c r="E67" s="68" t="s">
        <v>14</v>
      </c>
      <c r="F67" s="66" t="s">
        <v>109</v>
      </c>
      <c r="G67" s="66" t="s">
        <v>139</v>
      </c>
      <c r="H67" s="69" t="s">
        <v>40</v>
      </c>
      <c r="I67" s="30">
        <v>31</v>
      </c>
      <c r="J67" s="67">
        <v>1</v>
      </c>
      <c r="K67" s="67">
        <v>31</v>
      </c>
      <c r="L67" s="30">
        <v>6.53</v>
      </c>
      <c r="M67" s="30">
        <v>1997</v>
      </c>
      <c r="N67" s="30"/>
      <c r="O67" s="65" t="s">
        <v>643</v>
      </c>
      <c r="P67" s="70" t="s">
        <v>753</v>
      </c>
      <c r="Q67" s="24" t="s">
        <v>857</v>
      </c>
      <c r="R67" s="54" t="str">
        <f t="shared" si="10"/>
        <v>NARROW</v>
      </c>
      <c r="S67" s="29" t="s">
        <v>102</v>
      </c>
      <c r="T67" s="29" t="s">
        <v>32</v>
      </c>
      <c r="U67" s="29"/>
      <c r="V67" s="30"/>
      <c r="W67" s="48"/>
      <c r="X67" s="78"/>
      <c r="Y67" s="78"/>
      <c r="Z67" s="39">
        <f t="shared" ref="Z67:Z130" si="17">IF(R67="NARROW",1,0)</f>
        <v>1</v>
      </c>
      <c r="AA67" s="39">
        <f t="shared" si="11"/>
        <v>1</v>
      </c>
      <c r="AB67" s="39">
        <f t="shared" ref="AB67:AB130" si="18">IF(S67= "POOR",1,0)</f>
        <v>1</v>
      </c>
      <c r="AC67" s="39" t="str">
        <f t="shared" si="12"/>
        <v>A</v>
      </c>
      <c r="AD67" s="39" t="str">
        <f t="shared" si="13"/>
        <v>B</v>
      </c>
      <c r="AE67" s="39" t="str">
        <f t="shared" si="14"/>
        <v>C</v>
      </c>
      <c r="AF67" s="39" t="str">
        <f t="shared" si="15"/>
        <v>D</v>
      </c>
      <c r="AG67" s="39">
        <f t="shared" si="16"/>
        <v>0</v>
      </c>
      <c r="AI67" s="1">
        <f>I67</f>
        <v>31</v>
      </c>
    </row>
    <row r="68" spans="1:35" ht="35.1" customHeight="1" x14ac:dyDescent="0.25">
      <c r="A68" s="61">
        <v>67</v>
      </c>
      <c r="B68" s="66" t="s">
        <v>151</v>
      </c>
      <c r="C68" s="67" t="s">
        <v>943</v>
      </c>
      <c r="D68" s="67" t="s">
        <v>343</v>
      </c>
      <c r="E68" s="68" t="s">
        <v>14</v>
      </c>
      <c r="F68" s="66" t="s">
        <v>523</v>
      </c>
      <c r="G68" s="66" t="s">
        <v>524</v>
      </c>
      <c r="H68" s="69" t="s">
        <v>522</v>
      </c>
      <c r="I68" s="30">
        <v>38.6</v>
      </c>
      <c r="J68" s="67">
        <v>2</v>
      </c>
      <c r="K68" s="67"/>
      <c r="L68" s="30">
        <v>6.7</v>
      </c>
      <c r="M68" s="29"/>
      <c r="N68" s="29"/>
      <c r="O68" s="65" t="s">
        <v>21</v>
      </c>
      <c r="P68" s="70" t="s">
        <v>730</v>
      </c>
      <c r="Q68" s="24" t="s">
        <v>27</v>
      </c>
      <c r="R68" s="54" t="str">
        <f t="shared" si="10"/>
        <v>NARROW</v>
      </c>
      <c r="S68" s="29" t="s">
        <v>27</v>
      </c>
      <c r="T68" s="29" t="s">
        <v>33</v>
      </c>
      <c r="U68" s="29"/>
      <c r="V68" s="30"/>
      <c r="W68" s="48"/>
      <c r="X68" s="78"/>
      <c r="Y68" s="78"/>
      <c r="Z68" s="39">
        <f t="shared" si="17"/>
        <v>1</v>
      </c>
      <c r="AA68" s="39">
        <f t="shared" si="11"/>
        <v>0</v>
      </c>
      <c r="AB68" s="39">
        <f t="shared" si="18"/>
        <v>0</v>
      </c>
      <c r="AC68" s="39">
        <f t="shared" si="12"/>
        <v>0</v>
      </c>
      <c r="AD68" s="39">
        <f t="shared" si="13"/>
        <v>0</v>
      </c>
      <c r="AE68" s="39">
        <f t="shared" si="14"/>
        <v>0</v>
      </c>
      <c r="AF68" s="39">
        <f t="shared" si="15"/>
        <v>0</v>
      </c>
      <c r="AG68" s="39">
        <f t="shared" si="16"/>
        <v>0</v>
      </c>
    </row>
    <row r="69" spans="1:35" ht="35.1" customHeight="1" x14ac:dyDescent="0.25">
      <c r="A69" s="61">
        <v>68</v>
      </c>
      <c r="B69" s="66" t="s">
        <v>151</v>
      </c>
      <c r="C69" s="67" t="s">
        <v>943</v>
      </c>
      <c r="D69" s="68" t="s">
        <v>334</v>
      </c>
      <c r="E69" s="68" t="s">
        <v>14</v>
      </c>
      <c r="F69" s="66" t="s">
        <v>43</v>
      </c>
      <c r="G69" s="66" t="s">
        <v>512</v>
      </c>
      <c r="H69" s="69" t="s">
        <v>522</v>
      </c>
      <c r="I69" s="30">
        <v>50</v>
      </c>
      <c r="J69" s="67">
        <v>1</v>
      </c>
      <c r="K69" s="67">
        <v>20</v>
      </c>
      <c r="L69" s="30">
        <v>6.7</v>
      </c>
      <c r="M69" s="30"/>
      <c r="N69" s="30"/>
      <c r="O69" s="65" t="s">
        <v>875</v>
      </c>
      <c r="P69" s="70" t="s">
        <v>731</v>
      </c>
      <c r="Q69" s="24" t="s">
        <v>102</v>
      </c>
      <c r="R69" s="54" t="str">
        <f t="shared" si="10"/>
        <v>NARROW</v>
      </c>
      <c r="S69" s="29" t="s">
        <v>102</v>
      </c>
      <c r="T69" s="29" t="s">
        <v>32</v>
      </c>
      <c r="U69" s="29"/>
      <c r="V69" s="36"/>
      <c r="W69" s="50"/>
      <c r="X69" s="79"/>
      <c r="Y69" s="79"/>
      <c r="Z69" s="39">
        <f t="shared" si="17"/>
        <v>1</v>
      </c>
      <c r="AA69" s="39">
        <f t="shared" si="11"/>
        <v>1</v>
      </c>
      <c r="AB69" s="39">
        <f t="shared" si="18"/>
        <v>1</v>
      </c>
      <c r="AC69" s="39" t="str">
        <f t="shared" si="12"/>
        <v>A</v>
      </c>
      <c r="AD69" s="39" t="str">
        <f t="shared" si="13"/>
        <v>B</v>
      </c>
      <c r="AE69" s="39" t="str">
        <f t="shared" si="14"/>
        <v>C</v>
      </c>
      <c r="AF69" s="39" t="str">
        <f t="shared" si="15"/>
        <v>D</v>
      </c>
      <c r="AG69" s="39">
        <f t="shared" si="16"/>
        <v>0</v>
      </c>
    </row>
    <row r="70" spans="1:35" ht="35.1" customHeight="1" x14ac:dyDescent="0.25">
      <c r="A70" s="61">
        <v>69</v>
      </c>
      <c r="B70" s="66" t="s">
        <v>152</v>
      </c>
      <c r="C70" s="67" t="s">
        <v>936</v>
      </c>
      <c r="D70" s="67" t="s">
        <v>335</v>
      </c>
      <c r="E70" s="68" t="s">
        <v>14</v>
      </c>
      <c r="F70" s="66" t="s">
        <v>152</v>
      </c>
      <c r="G70" s="66" t="s">
        <v>152</v>
      </c>
      <c r="H70" s="69" t="s">
        <v>522</v>
      </c>
      <c r="I70" s="30">
        <v>28</v>
      </c>
      <c r="J70" s="67">
        <v>3</v>
      </c>
      <c r="K70" s="67"/>
      <c r="L70" s="30">
        <v>6.8</v>
      </c>
      <c r="M70" s="29"/>
      <c r="N70" s="29"/>
      <c r="O70" s="65" t="s">
        <v>679</v>
      </c>
      <c r="P70" s="70" t="s">
        <v>731</v>
      </c>
      <c r="Q70" s="24" t="s">
        <v>857</v>
      </c>
      <c r="R70" s="54" t="str">
        <f t="shared" si="10"/>
        <v>NARROW</v>
      </c>
      <c r="S70" s="29" t="s">
        <v>27</v>
      </c>
      <c r="T70" s="29" t="s">
        <v>32</v>
      </c>
      <c r="U70" s="29"/>
      <c r="V70" s="30"/>
      <c r="W70" s="48"/>
      <c r="X70" s="78"/>
      <c r="Y70" s="78"/>
      <c r="Z70" s="39">
        <f t="shared" si="17"/>
        <v>1</v>
      </c>
      <c r="AA70" s="39">
        <f t="shared" si="11"/>
        <v>1</v>
      </c>
      <c r="AB70" s="39">
        <f t="shared" si="18"/>
        <v>0</v>
      </c>
      <c r="AC70" s="39">
        <f t="shared" si="12"/>
        <v>0</v>
      </c>
      <c r="AD70" s="39" t="str">
        <f t="shared" si="13"/>
        <v>B</v>
      </c>
      <c r="AE70" s="39">
        <f t="shared" si="14"/>
        <v>0</v>
      </c>
      <c r="AF70" s="39">
        <f t="shared" si="15"/>
        <v>0</v>
      </c>
      <c r="AG70" s="39">
        <f t="shared" si="16"/>
        <v>0</v>
      </c>
    </row>
    <row r="71" spans="1:35" ht="35.1" customHeight="1" x14ac:dyDescent="0.25">
      <c r="A71" s="61">
        <v>70</v>
      </c>
      <c r="B71" s="66" t="s">
        <v>162</v>
      </c>
      <c r="C71" s="67" t="s">
        <v>944</v>
      </c>
      <c r="D71" s="67" t="s">
        <v>346</v>
      </c>
      <c r="E71" s="68" t="s">
        <v>14</v>
      </c>
      <c r="F71" s="66" t="s">
        <v>526</v>
      </c>
      <c r="G71" s="66" t="s">
        <v>513</v>
      </c>
      <c r="H71" s="69" t="s">
        <v>853</v>
      </c>
      <c r="I71" s="30">
        <v>25</v>
      </c>
      <c r="J71" s="67">
        <v>1</v>
      </c>
      <c r="K71" s="67">
        <v>25</v>
      </c>
      <c r="L71" s="30">
        <v>6.5</v>
      </c>
      <c r="M71" s="29"/>
      <c r="N71" s="29"/>
      <c r="O71" s="65" t="s">
        <v>687</v>
      </c>
      <c r="P71" s="70" t="s">
        <v>730</v>
      </c>
      <c r="Q71" s="24" t="s">
        <v>857</v>
      </c>
      <c r="R71" s="54" t="str">
        <f t="shared" si="10"/>
        <v>NARROW</v>
      </c>
      <c r="S71" s="29" t="s">
        <v>27</v>
      </c>
      <c r="T71" s="29" t="s">
        <v>33</v>
      </c>
      <c r="U71" s="29"/>
      <c r="V71" s="30"/>
      <c r="W71" s="48"/>
      <c r="X71" s="78"/>
      <c r="Y71" s="78"/>
      <c r="Z71" s="39">
        <f t="shared" si="17"/>
        <v>1</v>
      </c>
      <c r="AA71" s="39">
        <f t="shared" si="11"/>
        <v>0</v>
      </c>
      <c r="AB71" s="39">
        <f t="shared" si="18"/>
        <v>0</v>
      </c>
      <c r="AC71" s="39">
        <f t="shared" si="12"/>
        <v>0</v>
      </c>
      <c r="AD71" s="39">
        <f t="shared" si="13"/>
        <v>0</v>
      </c>
      <c r="AE71" s="39">
        <f t="shared" si="14"/>
        <v>0</v>
      </c>
      <c r="AF71" s="39">
        <f t="shared" si="15"/>
        <v>0</v>
      </c>
      <c r="AG71" s="39">
        <f t="shared" si="16"/>
        <v>0</v>
      </c>
      <c r="AI71" s="1">
        <f>I71</f>
        <v>25</v>
      </c>
    </row>
    <row r="72" spans="1:35" ht="35.1" customHeight="1" x14ac:dyDescent="0.25">
      <c r="A72" s="61">
        <v>71</v>
      </c>
      <c r="B72" s="66" t="s">
        <v>153</v>
      </c>
      <c r="C72" s="67" t="s">
        <v>945</v>
      </c>
      <c r="D72" s="67" t="s">
        <v>336</v>
      </c>
      <c r="E72" s="68" t="s">
        <v>14</v>
      </c>
      <c r="F72" s="66" t="s">
        <v>153</v>
      </c>
      <c r="G72" s="66" t="s">
        <v>513</v>
      </c>
      <c r="H72" s="69" t="s">
        <v>522</v>
      </c>
      <c r="I72" s="30">
        <v>25</v>
      </c>
      <c r="J72" s="67">
        <v>1</v>
      </c>
      <c r="K72" s="67">
        <v>25</v>
      </c>
      <c r="L72" s="30">
        <v>9.8000000000000007</v>
      </c>
      <c r="M72" s="30"/>
      <c r="N72" s="30"/>
      <c r="O72" s="65" t="s">
        <v>680</v>
      </c>
      <c r="P72" s="70" t="s">
        <v>731</v>
      </c>
      <c r="Q72" s="24" t="s">
        <v>857</v>
      </c>
      <c r="R72" s="54" t="str">
        <f t="shared" si="10"/>
        <v>OK</v>
      </c>
      <c r="S72" s="29" t="s">
        <v>27</v>
      </c>
      <c r="T72" s="29" t="s">
        <v>32</v>
      </c>
      <c r="U72" s="29"/>
      <c r="V72" s="30"/>
      <c r="W72" s="48"/>
      <c r="X72" s="78"/>
      <c r="Y72" s="78"/>
      <c r="Z72" s="39">
        <f t="shared" si="17"/>
        <v>0</v>
      </c>
      <c r="AA72" s="39">
        <f t="shared" si="11"/>
        <v>1</v>
      </c>
      <c r="AB72" s="39">
        <f t="shared" si="18"/>
        <v>0</v>
      </c>
      <c r="AC72" s="39">
        <f t="shared" si="12"/>
        <v>0</v>
      </c>
      <c r="AD72" s="39">
        <f t="shared" si="13"/>
        <v>0</v>
      </c>
      <c r="AE72" s="39">
        <f t="shared" si="14"/>
        <v>0</v>
      </c>
      <c r="AF72" s="39">
        <f t="shared" si="15"/>
        <v>0</v>
      </c>
      <c r="AG72" s="39">
        <f t="shared" si="16"/>
        <v>0</v>
      </c>
    </row>
    <row r="73" spans="1:35" ht="35.1" customHeight="1" x14ac:dyDescent="0.25">
      <c r="A73" s="61">
        <v>72</v>
      </c>
      <c r="B73" s="66" t="s">
        <v>164</v>
      </c>
      <c r="C73" s="67" t="s">
        <v>944</v>
      </c>
      <c r="D73" s="67" t="s">
        <v>348</v>
      </c>
      <c r="E73" s="68" t="s">
        <v>14</v>
      </c>
      <c r="F73" s="66" t="s">
        <v>528</v>
      </c>
      <c r="G73" s="66" t="s">
        <v>529</v>
      </c>
      <c r="H73" s="69" t="s">
        <v>851</v>
      </c>
      <c r="I73" s="30">
        <v>21.7</v>
      </c>
      <c r="J73" s="67">
        <v>1</v>
      </c>
      <c r="K73" s="67">
        <v>21.7</v>
      </c>
      <c r="L73" s="30">
        <v>6.53</v>
      </c>
      <c r="M73" s="29"/>
      <c r="N73" s="29"/>
      <c r="O73" s="65" t="s">
        <v>687</v>
      </c>
      <c r="P73" s="70" t="s">
        <v>730</v>
      </c>
      <c r="Q73" s="24" t="s">
        <v>857</v>
      </c>
      <c r="R73" s="54" t="str">
        <f t="shared" si="10"/>
        <v>NARROW</v>
      </c>
      <c r="S73" s="29" t="s">
        <v>27</v>
      </c>
      <c r="T73" s="29" t="s">
        <v>33</v>
      </c>
      <c r="U73" s="29"/>
      <c r="V73" s="30"/>
      <c r="W73" s="48"/>
      <c r="X73" s="78"/>
      <c r="Y73" s="78"/>
      <c r="Z73" s="39">
        <f t="shared" si="17"/>
        <v>1</v>
      </c>
      <c r="AA73" s="39">
        <f t="shared" si="11"/>
        <v>0</v>
      </c>
      <c r="AB73" s="39">
        <f t="shared" si="18"/>
        <v>0</v>
      </c>
      <c r="AC73" s="39">
        <f t="shared" si="12"/>
        <v>0</v>
      </c>
      <c r="AD73" s="39">
        <f t="shared" si="13"/>
        <v>0</v>
      </c>
      <c r="AE73" s="39">
        <f t="shared" si="14"/>
        <v>0</v>
      </c>
      <c r="AF73" s="39">
        <f t="shared" si="15"/>
        <v>0</v>
      </c>
      <c r="AG73" s="39">
        <f t="shared" si="16"/>
        <v>0</v>
      </c>
    </row>
    <row r="74" spans="1:35" ht="35.1" customHeight="1" x14ac:dyDescent="0.25">
      <c r="A74" s="61">
        <v>73</v>
      </c>
      <c r="B74" s="62" t="s">
        <v>154</v>
      </c>
      <c r="C74" s="64" t="s">
        <v>916</v>
      </c>
      <c r="D74" s="64" t="s">
        <v>337</v>
      </c>
      <c r="E74" s="61" t="s">
        <v>30</v>
      </c>
      <c r="F74" s="62" t="s">
        <v>514</v>
      </c>
      <c r="G74" s="62" t="s">
        <v>515</v>
      </c>
      <c r="H74" s="63" t="s">
        <v>522</v>
      </c>
      <c r="I74" s="29">
        <v>264.39999999999998</v>
      </c>
      <c r="J74" s="64">
        <v>7</v>
      </c>
      <c r="K74" s="64"/>
      <c r="L74" s="29">
        <v>11.3</v>
      </c>
      <c r="M74" s="29"/>
      <c r="N74" s="29"/>
      <c r="O74" s="28" t="s">
        <v>876</v>
      </c>
      <c r="P74" s="80" t="s">
        <v>731</v>
      </c>
      <c r="Q74" s="24" t="s">
        <v>102</v>
      </c>
      <c r="R74" s="54" t="str">
        <f t="shared" si="10"/>
        <v>OK</v>
      </c>
      <c r="S74" s="29" t="s">
        <v>102</v>
      </c>
      <c r="T74" s="29" t="s">
        <v>32</v>
      </c>
      <c r="U74" s="29"/>
      <c r="V74" s="43">
        <v>8148</v>
      </c>
      <c r="W74" s="46">
        <v>5</v>
      </c>
      <c r="X74" s="76"/>
      <c r="Y74" s="76"/>
      <c r="Z74" s="39">
        <f t="shared" si="17"/>
        <v>0</v>
      </c>
      <c r="AA74" s="39">
        <f t="shared" si="11"/>
        <v>1</v>
      </c>
      <c r="AB74" s="39">
        <f t="shared" si="18"/>
        <v>1</v>
      </c>
      <c r="AC74" s="39">
        <f t="shared" si="12"/>
        <v>0</v>
      </c>
      <c r="AD74" s="39">
        <f t="shared" si="13"/>
        <v>0</v>
      </c>
      <c r="AE74" s="39" t="str">
        <f t="shared" si="14"/>
        <v>C</v>
      </c>
      <c r="AF74" s="39">
        <f t="shared" si="15"/>
        <v>0</v>
      </c>
      <c r="AG74" s="39">
        <f t="shared" si="16"/>
        <v>0</v>
      </c>
    </row>
    <row r="75" spans="1:35" ht="35.1" customHeight="1" x14ac:dyDescent="0.25">
      <c r="A75" s="61">
        <v>74</v>
      </c>
      <c r="B75" s="62" t="s">
        <v>156</v>
      </c>
      <c r="C75" s="64" t="s">
        <v>916</v>
      </c>
      <c r="D75" s="64" t="s">
        <v>339</v>
      </c>
      <c r="E75" s="61" t="s">
        <v>30</v>
      </c>
      <c r="F75" s="62" t="s">
        <v>517</v>
      </c>
      <c r="G75" s="62" t="s">
        <v>518</v>
      </c>
      <c r="H75" s="63" t="s">
        <v>15</v>
      </c>
      <c r="I75" s="29">
        <v>36</v>
      </c>
      <c r="J75" s="64">
        <v>1</v>
      </c>
      <c r="K75" s="64"/>
      <c r="L75" s="29">
        <v>8.1999999999999993</v>
      </c>
      <c r="M75" s="30"/>
      <c r="N75" s="30"/>
      <c r="O75" s="28" t="s">
        <v>682</v>
      </c>
      <c r="P75" s="81" t="s">
        <v>731</v>
      </c>
      <c r="Q75" s="24" t="s">
        <v>102</v>
      </c>
      <c r="R75" s="54" t="str">
        <f t="shared" si="10"/>
        <v>OK</v>
      </c>
      <c r="S75" s="29" t="s">
        <v>102</v>
      </c>
      <c r="T75" s="29" t="s">
        <v>32</v>
      </c>
      <c r="U75" s="29"/>
      <c r="V75" s="43">
        <v>2305</v>
      </c>
      <c r="W75" s="46">
        <v>7</v>
      </c>
      <c r="X75" s="76"/>
      <c r="Y75" s="76"/>
      <c r="Z75" s="39">
        <f t="shared" si="17"/>
        <v>0</v>
      </c>
      <c r="AA75" s="39">
        <f t="shared" si="11"/>
        <v>1</v>
      </c>
      <c r="AB75" s="39">
        <f t="shared" si="18"/>
        <v>1</v>
      </c>
      <c r="AC75" s="39">
        <f t="shared" si="12"/>
        <v>0</v>
      </c>
      <c r="AD75" s="39">
        <f t="shared" si="13"/>
        <v>0</v>
      </c>
      <c r="AE75" s="39" t="str">
        <f t="shared" si="14"/>
        <v>C</v>
      </c>
      <c r="AF75" s="39">
        <f t="shared" si="15"/>
        <v>0</v>
      </c>
      <c r="AG75" s="39">
        <f t="shared" si="16"/>
        <v>0</v>
      </c>
    </row>
    <row r="76" spans="1:35" ht="35.1" customHeight="1" x14ac:dyDescent="0.25">
      <c r="A76" s="61">
        <v>75</v>
      </c>
      <c r="B76" s="62" t="s">
        <v>167</v>
      </c>
      <c r="C76" s="64" t="s">
        <v>916</v>
      </c>
      <c r="D76" s="64" t="s">
        <v>350</v>
      </c>
      <c r="E76" s="61" t="s">
        <v>30</v>
      </c>
      <c r="F76" s="62" t="s">
        <v>531</v>
      </c>
      <c r="G76" s="62" t="s">
        <v>532</v>
      </c>
      <c r="H76" s="63" t="s">
        <v>522</v>
      </c>
      <c r="I76" s="25">
        <v>11.3</v>
      </c>
      <c r="J76" s="64">
        <v>3</v>
      </c>
      <c r="K76" s="64"/>
      <c r="L76" s="29">
        <v>11.7</v>
      </c>
      <c r="M76" s="29"/>
      <c r="N76" s="29"/>
      <c r="O76" s="65" t="s">
        <v>21</v>
      </c>
      <c r="P76" s="82" t="s">
        <v>730</v>
      </c>
      <c r="Q76" s="24" t="s">
        <v>27</v>
      </c>
      <c r="R76" s="54" t="str">
        <f t="shared" si="10"/>
        <v>OK</v>
      </c>
      <c r="S76" s="29" t="s">
        <v>27</v>
      </c>
      <c r="T76" s="29" t="s">
        <v>33</v>
      </c>
      <c r="U76" s="29"/>
      <c r="V76" s="29"/>
      <c r="W76" s="46"/>
      <c r="X76" s="76"/>
      <c r="Y76" s="76"/>
      <c r="Z76" s="39">
        <f t="shared" si="17"/>
        <v>0</v>
      </c>
      <c r="AA76" s="39">
        <f t="shared" si="11"/>
        <v>0</v>
      </c>
      <c r="AB76" s="39">
        <f t="shared" si="18"/>
        <v>0</v>
      </c>
      <c r="AC76" s="39">
        <f t="shared" si="12"/>
        <v>0</v>
      </c>
      <c r="AD76" s="39">
        <f t="shared" si="13"/>
        <v>0</v>
      </c>
      <c r="AE76" s="39">
        <f t="shared" si="14"/>
        <v>0</v>
      </c>
      <c r="AF76" s="39">
        <f t="shared" si="15"/>
        <v>0</v>
      </c>
      <c r="AG76" s="39" t="str">
        <f t="shared" si="16"/>
        <v>E</v>
      </c>
    </row>
    <row r="77" spans="1:35" ht="35.1" customHeight="1" x14ac:dyDescent="0.25">
      <c r="A77" s="61">
        <v>76</v>
      </c>
      <c r="B77" s="62" t="s">
        <v>168</v>
      </c>
      <c r="C77" s="64" t="s">
        <v>916</v>
      </c>
      <c r="D77" s="64" t="s">
        <v>350</v>
      </c>
      <c r="E77" s="61" t="s">
        <v>30</v>
      </c>
      <c r="F77" s="62" t="s">
        <v>533</v>
      </c>
      <c r="G77" s="62" t="s">
        <v>534</v>
      </c>
      <c r="H77" s="63" t="s">
        <v>522</v>
      </c>
      <c r="I77" s="29">
        <v>10.4</v>
      </c>
      <c r="J77" s="64">
        <v>3</v>
      </c>
      <c r="K77" s="64"/>
      <c r="L77" s="29">
        <v>9.5</v>
      </c>
      <c r="M77" s="29"/>
      <c r="N77" s="29"/>
      <c r="O77" s="65" t="s">
        <v>690</v>
      </c>
      <c r="P77" s="82" t="s">
        <v>730</v>
      </c>
      <c r="Q77" s="24" t="s">
        <v>27</v>
      </c>
      <c r="R77" s="54" t="str">
        <f t="shared" si="10"/>
        <v>OK</v>
      </c>
      <c r="S77" s="29" t="s">
        <v>27</v>
      </c>
      <c r="T77" s="29" t="s">
        <v>33</v>
      </c>
      <c r="U77" s="29"/>
      <c r="V77" s="29"/>
      <c r="W77" s="46"/>
      <c r="X77" s="76"/>
      <c r="Y77" s="76"/>
      <c r="Z77" s="39">
        <f t="shared" si="17"/>
        <v>0</v>
      </c>
      <c r="AA77" s="39">
        <f t="shared" si="11"/>
        <v>0</v>
      </c>
      <c r="AB77" s="39">
        <f t="shared" si="18"/>
        <v>0</v>
      </c>
      <c r="AC77" s="39">
        <f t="shared" si="12"/>
        <v>0</v>
      </c>
      <c r="AD77" s="39">
        <f t="shared" si="13"/>
        <v>0</v>
      </c>
      <c r="AE77" s="39">
        <f t="shared" si="14"/>
        <v>0</v>
      </c>
      <c r="AF77" s="39">
        <f t="shared" si="15"/>
        <v>0</v>
      </c>
      <c r="AG77" s="39" t="str">
        <f t="shared" si="16"/>
        <v>E</v>
      </c>
    </row>
    <row r="78" spans="1:35" ht="35.1" customHeight="1" x14ac:dyDescent="0.25">
      <c r="A78" s="61">
        <v>77</v>
      </c>
      <c r="B78" s="62" t="s">
        <v>169</v>
      </c>
      <c r="C78" s="64" t="s">
        <v>916</v>
      </c>
      <c r="D78" s="64" t="s">
        <v>350</v>
      </c>
      <c r="E78" s="61" t="s">
        <v>30</v>
      </c>
      <c r="F78" s="62" t="s">
        <v>535</v>
      </c>
      <c r="G78" s="62" t="s">
        <v>536</v>
      </c>
      <c r="H78" s="63" t="s">
        <v>522</v>
      </c>
      <c r="I78" s="29">
        <v>12</v>
      </c>
      <c r="J78" s="64">
        <v>4</v>
      </c>
      <c r="K78" s="64">
        <v>5.6</v>
      </c>
      <c r="L78" s="29">
        <v>13.5</v>
      </c>
      <c r="M78" s="30"/>
      <c r="N78" s="30"/>
      <c r="O78" s="65" t="s">
        <v>21</v>
      </c>
      <c r="P78" s="82" t="s">
        <v>730</v>
      </c>
      <c r="Q78" s="24" t="s">
        <v>27</v>
      </c>
      <c r="R78" s="54" t="str">
        <f t="shared" si="10"/>
        <v>OK</v>
      </c>
      <c r="S78" s="29" t="s">
        <v>27</v>
      </c>
      <c r="T78" s="29" t="s">
        <v>33</v>
      </c>
      <c r="U78" s="29"/>
      <c r="V78" s="29"/>
      <c r="W78" s="46"/>
      <c r="X78" s="76"/>
      <c r="Y78" s="76"/>
      <c r="Z78" s="39">
        <f t="shared" si="17"/>
        <v>0</v>
      </c>
      <c r="AA78" s="39">
        <f t="shared" si="11"/>
        <v>0</v>
      </c>
      <c r="AB78" s="39">
        <f t="shared" si="18"/>
        <v>0</v>
      </c>
      <c r="AC78" s="39">
        <f t="shared" si="12"/>
        <v>0</v>
      </c>
      <c r="AD78" s="39">
        <f t="shared" si="13"/>
        <v>0</v>
      </c>
      <c r="AE78" s="39">
        <f t="shared" si="14"/>
        <v>0</v>
      </c>
      <c r="AF78" s="39">
        <f t="shared" si="15"/>
        <v>0</v>
      </c>
      <c r="AG78" s="39" t="str">
        <f t="shared" si="16"/>
        <v>E</v>
      </c>
    </row>
    <row r="79" spans="1:35" ht="35.1" customHeight="1" x14ac:dyDescent="0.25">
      <c r="A79" s="61">
        <v>78</v>
      </c>
      <c r="B79" s="62" t="s">
        <v>170</v>
      </c>
      <c r="C79" s="64" t="s">
        <v>916</v>
      </c>
      <c r="D79" s="64" t="s">
        <v>350</v>
      </c>
      <c r="E79" s="61" t="s">
        <v>30</v>
      </c>
      <c r="F79" s="62" t="s">
        <v>537</v>
      </c>
      <c r="G79" s="62" t="s">
        <v>538</v>
      </c>
      <c r="H79" s="63" t="s">
        <v>522</v>
      </c>
      <c r="I79" s="29">
        <v>23.1</v>
      </c>
      <c r="J79" s="64">
        <v>6</v>
      </c>
      <c r="K79" s="64"/>
      <c r="L79" s="29">
        <v>12.5</v>
      </c>
      <c r="M79" s="29"/>
      <c r="N79" s="29"/>
      <c r="O79" s="65" t="s">
        <v>67</v>
      </c>
      <c r="P79" s="82" t="s">
        <v>730</v>
      </c>
      <c r="Q79" s="24" t="s">
        <v>857</v>
      </c>
      <c r="R79" s="54" t="str">
        <f t="shared" si="10"/>
        <v>OK</v>
      </c>
      <c r="S79" s="29" t="s">
        <v>27</v>
      </c>
      <c r="T79" s="29" t="s">
        <v>33</v>
      </c>
      <c r="U79" s="29"/>
      <c r="V79" s="29"/>
      <c r="W79" s="46"/>
      <c r="X79" s="76"/>
      <c r="Y79" s="76"/>
      <c r="Z79" s="39">
        <f t="shared" si="17"/>
        <v>0</v>
      </c>
      <c r="AA79" s="39">
        <f t="shared" si="11"/>
        <v>0</v>
      </c>
      <c r="AB79" s="39">
        <f t="shared" si="18"/>
        <v>0</v>
      </c>
      <c r="AC79" s="39"/>
      <c r="AD79" s="39">
        <f t="shared" si="13"/>
        <v>0</v>
      </c>
      <c r="AE79" s="39">
        <f t="shared" si="14"/>
        <v>0</v>
      </c>
      <c r="AF79" s="39">
        <f t="shared" si="15"/>
        <v>0</v>
      </c>
      <c r="AG79" s="39" t="str">
        <f t="shared" si="16"/>
        <v>E</v>
      </c>
    </row>
    <row r="80" spans="1:35" ht="35.1" customHeight="1" x14ac:dyDescent="0.25">
      <c r="A80" s="61">
        <v>79</v>
      </c>
      <c r="B80" s="62" t="s">
        <v>171</v>
      </c>
      <c r="C80" s="64" t="s">
        <v>916</v>
      </c>
      <c r="D80" s="64" t="s">
        <v>351</v>
      </c>
      <c r="E80" s="61" t="s">
        <v>30</v>
      </c>
      <c r="F80" s="62" t="s">
        <v>539</v>
      </c>
      <c r="G80" s="62" t="s">
        <v>540</v>
      </c>
      <c r="H80" s="63" t="s">
        <v>522</v>
      </c>
      <c r="I80" s="29">
        <v>20.100000000000001</v>
      </c>
      <c r="J80" s="64">
        <v>5</v>
      </c>
      <c r="K80" s="64">
        <v>3.5</v>
      </c>
      <c r="L80" s="29">
        <v>12.2</v>
      </c>
      <c r="M80" s="29"/>
      <c r="N80" s="29"/>
      <c r="O80" s="65" t="s">
        <v>672</v>
      </c>
      <c r="P80" s="82" t="s">
        <v>730</v>
      </c>
      <c r="Q80" s="24" t="s">
        <v>27</v>
      </c>
      <c r="R80" s="54" t="str">
        <f t="shared" si="10"/>
        <v>OK</v>
      </c>
      <c r="S80" s="29" t="s">
        <v>27</v>
      </c>
      <c r="T80" s="29" t="s">
        <v>33</v>
      </c>
      <c r="U80" s="29"/>
      <c r="V80" s="29"/>
      <c r="W80" s="46"/>
      <c r="X80" s="76"/>
      <c r="Y80" s="76"/>
      <c r="Z80" s="39">
        <f t="shared" si="17"/>
        <v>0</v>
      </c>
      <c r="AA80" s="39">
        <f t="shared" si="11"/>
        <v>0</v>
      </c>
      <c r="AB80" s="39">
        <f t="shared" si="18"/>
        <v>0</v>
      </c>
      <c r="AC80" s="39">
        <f t="shared" ref="AC80:AC111" si="19">IF(Z80+AB80=2,"A",0)</f>
        <v>0</v>
      </c>
      <c r="AD80" s="39">
        <f t="shared" si="13"/>
        <v>0</v>
      </c>
      <c r="AE80" s="39">
        <f t="shared" si="14"/>
        <v>0</v>
      </c>
      <c r="AF80" s="39">
        <f t="shared" si="15"/>
        <v>0</v>
      </c>
      <c r="AG80" s="39" t="str">
        <f t="shared" si="16"/>
        <v>E</v>
      </c>
    </row>
    <row r="81" spans="1:35" ht="35.1" customHeight="1" x14ac:dyDescent="0.25">
      <c r="A81" s="61">
        <v>80</v>
      </c>
      <c r="B81" s="66" t="s">
        <v>276</v>
      </c>
      <c r="C81" s="64" t="s">
        <v>916</v>
      </c>
      <c r="D81" s="64" t="s">
        <v>351</v>
      </c>
      <c r="E81" s="61" t="s">
        <v>30</v>
      </c>
      <c r="F81" s="62" t="s">
        <v>31</v>
      </c>
      <c r="G81" s="62" t="s">
        <v>637</v>
      </c>
      <c r="H81" s="63" t="s">
        <v>522</v>
      </c>
      <c r="I81" s="29">
        <v>59.2</v>
      </c>
      <c r="J81" s="64">
        <v>2</v>
      </c>
      <c r="K81" s="64">
        <v>30.2</v>
      </c>
      <c r="L81" s="29">
        <v>19.5</v>
      </c>
      <c r="M81" s="30"/>
      <c r="N81" s="30"/>
      <c r="O81" s="65" t="s">
        <v>877</v>
      </c>
      <c r="P81" s="82" t="s">
        <v>734</v>
      </c>
      <c r="Q81" s="24" t="s">
        <v>102</v>
      </c>
      <c r="R81" s="54" t="str">
        <f t="shared" si="10"/>
        <v>OK</v>
      </c>
      <c r="S81" s="29" t="s">
        <v>102</v>
      </c>
      <c r="T81" s="29" t="s">
        <v>32</v>
      </c>
      <c r="U81" s="29"/>
      <c r="V81" s="29"/>
      <c r="W81" s="46"/>
      <c r="X81" s="76"/>
      <c r="Y81" s="76"/>
      <c r="Z81" s="39">
        <f t="shared" si="17"/>
        <v>0</v>
      </c>
      <c r="AA81" s="39">
        <f t="shared" si="11"/>
        <v>1</v>
      </c>
      <c r="AB81" s="39">
        <f t="shared" si="18"/>
        <v>1</v>
      </c>
      <c r="AC81" s="39">
        <f t="shared" si="19"/>
        <v>0</v>
      </c>
      <c r="AD81" s="39">
        <f t="shared" si="13"/>
        <v>0</v>
      </c>
      <c r="AE81" s="39" t="str">
        <f t="shared" si="14"/>
        <v>C</v>
      </c>
      <c r="AF81" s="39">
        <f t="shared" si="15"/>
        <v>0</v>
      </c>
      <c r="AG81" s="39">
        <f t="shared" si="16"/>
        <v>0</v>
      </c>
    </row>
    <row r="82" spans="1:35" s="5" customFormat="1" ht="35.1" customHeight="1" x14ac:dyDescent="0.25">
      <c r="A82" s="61">
        <v>81</v>
      </c>
      <c r="B82" s="62" t="s">
        <v>173</v>
      </c>
      <c r="C82" s="64" t="s">
        <v>916</v>
      </c>
      <c r="D82" s="27" t="s">
        <v>352</v>
      </c>
      <c r="E82" s="61" t="s">
        <v>42</v>
      </c>
      <c r="F82" s="62" t="s">
        <v>173</v>
      </c>
      <c r="G82" s="62" t="s">
        <v>541</v>
      </c>
      <c r="H82" s="63" t="s">
        <v>854</v>
      </c>
      <c r="I82" s="29">
        <v>11</v>
      </c>
      <c r="J82" s="64">
        <v>1</v>
      </c>
      <c r="K82" s="64">
        <v>11</v>
      </c>
      <c r="L82" s="29">
        <v>9.6999999999999993</v>
      </c>
      <c r="M82" s="29"/>
      <c r="N82" s="29"/>
      <c r="O82" s="28" t="s">
        <v>21</v>
      </c>
      <c r="P82" s="53" t="s">
        <v>730</v>
      </c>
      <c r="Q82" s="24" t="s">
        <v>27</v>
      </c>
      <c r="R82" s="54" t="str">
        <f t="shared" si="10"/>
        <v>OK</v>
      </c>
      <c r="S82" s="29" t="s">
        <v>27</v>
      </c>
      <c r="T82" s="29" t="s">
        <v>33</v>
      </c>
      <c r="U82" s="29"/>
      <c r="V82" s="43">
        <v>2005</v>
      </c>
      <c r="W82" s="44">
        <v>4</v>
      </c>
      <c r="X82" s="74"/>
      <c r="Y82" s="74"/>
      <c r="Z82" s="39">
        <f t="shared" si="17"/>
        <v>0</v>
      </c>
      <c r="AA82" s="39">
        <f t="shared" si="11"/>
        <v>0</v>
      </c>
      <c r="AB82" s="39">
        <f t="shared" si="18"/>
        <v>0</v>
      </c>
      <c r="AC82" s="39">
        <f t="shared" si="19"/>
        <v>0</v>
      </c>
      <c r="AD82" s="39">
        <f t="shared" si="13"/>
        <v>0</v>
      </c>
      <c r="AE82" s="39">
        <f t="shared" si="14"/>
        <v>0</v>
      </c>
      <c r="AF82" s="39">
        <f t="shared" si="15"/>
        <v>0</v>
      </c>
      <c r="AG82" s="39" t="str">
        <f t="shared" si="16"/>
        <v>E</v>
      </c>
    </row>
    <row r="83" spans="1:35" s="5" customFormat="1" ht="35.1" customHeight="1" x14ac:dyDescent="0.25">
      <c r="A83" s="61">
        <v>82</v>
      </c>
      <c r="B83" s="62" t="s">
        <v>174</v>
      </c>
      <c r="C83" s="61" t="s">
        <v>946</v>
      </c>
      <c r="D83" s="27" t="s">
        <v>353</v>
      </c>
      <c r="E83" s="61" t="s">
        <v>42</v>
      </c>
      <c r="F83" s="62" t="s">
        <v>542</v>
      </c>
      <c r="G83" s="62" t="s">
        <v>543</v>
      </c>
      <c r="H83" s="63" t="s">
        <v>522</v>
      </c>
      <c r="I83" s="29">
        <v>10.6</v>
      </c>
      <c r="J83" s="64">
        <v>1</v>
      </c>
      <c r="K83" s="64">
        <v>10.6</v>
      </c>
      <c r="L83" s="29">
        <v>6</v>
      </c>
      <c r="M83" s="29"/>
      <c r="N83" s="29"/>
      <c r="O83" s="28" t="s">
        <v>68</v>
      </c>
      <c r="P83" s="53" t="s">
        <v>730</v>
      </c>
      <c r="Q83" s="24" t="s">
        <v>857</v>
      </c>
      <c r="R83" s="54" t="str">
        <f t="shared" si="10"/>
        <v>NARROW</v>
      </c>
      <c r="S83" s="29" t="s">
        <v>27</v>
      </c>
      <c r="T83" s="29" t="s">
        <v>33</v>
      </c>
      <c r="U83" s="29"/>
      <c r="V83" s="27"/>
      <c r="W83" s="44"/>
      <c r="X83" s="74"/>
      <c r="Y83" s="74"/>
      <c r="Z83" s="39">
        <f t="shared" si="17"/>
        <v>1</v>
      </c>
      <c r="AA83" s="39">
        <f t="shared" si="11"/>
        <v>0</v>
      </c>
      <c r="AB83" s="39">
        <f t="shared" si="18"/>
        <v>0</v>
      </c>
      <c r="AC83" s="39">
        <f t="shared" si="19"/>
        <v>0</v>
      </c>
      <c r="AD83" s="39">
        <f t="shared" si="13"/>
        <v>0</v>
      </c>
      <c r="AE83" s="39">
        <f t="shared" si="14"/>
        <v>0</v>
      </c>
      <c r="AF83" s="39">
        <f t="shared" si="15"/>
        <v>0</v>
      </c>
      <c r="AG83" s="39">
        <f t="shared" si="16"/>
        <v>0</v>
      </c>
    </row>
    <row r="84" spans="1:35" ht="35.1" customHeight="1" x14ac:dyDescent="0.25">
      <c r="A84" s="61">
        <v>83</v>
      </c>
      <c r="B84" s="62" t="s">
        <v>274</v>
      </c>
      <c r="C84" s="61" t="s">
        <v>947</v>
      </c>
      <c r="D84" s="61" t="s">
        <v>399</v>
      </c>
      <c r="E84" s="61" t="s">
        <v>42</v>
      </c>
      <c r="F84" s="62" t="s">
        <v>551</v>
      </c>
      <c r="G84" s="62" t="s">
        <v>548</v>
      </c>
      <c r="H84" s="63" t="s">
        <v>522</v>
      </c>
      <c r="I84" s="29">
        <v>20</v>
      </c>
      <c r="J84" s="64">
        <v>5</v>
      </c>
      <c r="K84" s="64"/>
      <c r="L84" s="29">
        <v>8.6999999999999993</v>
      </c>
      <c r="M84" s="29">
        <v>1955</v>
      </c>
      <c r="N84" s="29"/>
      <c r="O84" s="28" t="s">
        <v>725</v>
      </c>
      <c r="P84" s="53" t="s">
        <v>730</v>
      </c>
      <c r="Q84" s="24" t="s">
        <v>857</v>
      </c>
      <c r="R84" s="54" t="str">
        <f t="shared" si="10"/>
        <v>OK</v>
      </c>
      <c r="S84" s="29" t="s">
        <v>27</v>
      </c>
      <c r="T84" s="29" t="s">
        <v>32</v>
      </c>
      <c r="U84" s="29"/>
      <c r="V84" s="43">
        <v>2999</v>
      </c>
      <c r="W84" s="45">
        <v>2</v>
      </c>
      <c r="X84" s="75"/>
      <c r="Y84" s="75"/>
      <c r="Z84" s="39">
        <f t="shared" si="17"/>
        <v>0</v>
      </c>
      <c r="AA84" s="39">
        <f t="shared" si="11"/>
        <v>1</v>
      </c>
      <c r="AB84" s="39">
        <f t="shared" si="18"/>
        <v>0</v>
      </c>
      <c r="AC84" s="39">
        <f t="shared" si="19"/>
        <v>0</v>
      </c>
      <c r="AD84" s="39">
        <f t="shared" si="13"/>
        <v>0</v>
      </c>
      <c r="AE84" s="39">
        <f t="shared" si="14"/>
        <v>0</v>
      </c>
      <c r="AF84" s="39">
        <f t="shared" si="15"/>
        <v>0</v>
      </c>
      <c r="AG84" s="39">
        <f t="shared" si="16"/>
        <v>0</v>
      </c>
    </row>
    <row r="85" spans="1:35" ht="35.1" customHeight="1" x14ac:dyDescent="0.25">
      <c r="A85" s="61">
        <v>84</v>
      </c>
      <c r="B85" s="62" t="s">
        <v>227</v>
      </c>
      <c r="C85" s="61" t="s">
        <v>946</v>
      </c>
      <c r="D85" s="61" t="s">
        <v>399</v>
      </c>
      <c r="E85" s="61" t="s">
        <v>42</v>
      </c>
      <c r="F85" s="62" t="s">
        <v>227</v>
      </c>
      <c r="G85" s="62" t="s">
        <v>548</v>
      </c>
      <c r="H85" s="63" t="s">
        <v>522</v>
      </c>
      <c r="I85" s="29">
        <v>17</v>
      </c>
      <c r="J85" s="64">
        <v>2</v>
      </c>
      <c r="K85" s="64">
        <v>8.3000000000000007</v>
      </c>
      <c r="L85" s="29">
        <v>6.9</v>
      </c>
      <c r="M85" s="29"/>
      <c r="N85" s="29"/>
      <c r="O85" s="65" t="s">
        <v>878</v>
      </c>
      <c r="P85" s="70" t="s">
        <v>732</v>
      </c>
      <c r="Q85" s="24" t="s">
        <v>102</v>
      </c>
      <c r="R85" s="54" t="str">
        <f t="shared" si="10"/>
        <v>NARROW</v>
      </c>
      <c r="S85" s="29" t="s">
        <v>102</v>
      </c>
      <c r="T85" s="29" t="s">
        <v>32</v>
      </c>
      <c r="U85" s="29"/>
      <c r="V85" s="43">
        <v>1599</v>
      </c>
      <c r="W85" s="45">
        <v>2</v>
      </c>
      <c r="X85" s="75"/>
      <c r="Y85" s="75"/>
      <c r="Z85" s="39">
        <f t="shared" si="17"/>
        <v>1</v>
      </c>
      <c r="AA85" s="39">
        <f t="shared" si="11"/>
        <v>1</v>
      </c>
      <c r="AB85" s="39">
        <f t="shared" si="18"/>
        <v>1</v>
      </c>
      <c r="AC85" s="39" t="str">
        <f t="shared" si="19"/>
        <v>A</v>
      </c>
      <c r="AD85" s="39" t="str">
        <f t="shared" si="13"/>
        <v>B</v>
      </c>
      <c r="AE85" s="39" t="str">
        <f t="shared" si="14"/>
        <v>C</v>
      </c>
      <c r="AF85" s="39" t="str">
        <f t="shared" si="15"/>
        <v>D</v>
      </c>
      <c r="AG85" s="39">
        <f t="shared" si="16"/>
        <v>0</v>
      </c>
    </row>
    <row r="86" spans="1:35" ht="35.1" customHeight="1" x14ac:dyDescent="0.25">
      <c r="A86" s="61">
        <v>85</v>
      </c>
      <c r="B86" s="62" t="s">
        <v>177</v>
      </c>
      <c r="C86" s="61" t="s">
        <v>948</v>
      </c>
      <c r="D86" s="61" t="s">
        <v>356</v>
      </c>
      <c r="E86" s="61" t="s">
        <v>42</v>
      </c>
      <c r="F86" s="62" t="s">
        <v>547</v>
      </c>
      <c r="G86" s="62" t="s">
        <v>548</v>
      </c>
      <c r="H86" s="63" t="s">
        <v>522</v>
      </c>
      <c r="I86" s="29">
        <v>7.6</v>
      </c>
      <c r="J86" s="64">
        <v>2</v>
      </c>
      <c r="K86" s="64">
        <v>3</v>
      </c>
      <c r="L86" s="29">
        <v>12</v>
      </c>
      <c r="M86" s="29"/>
      <c r="N86" s="29"/>
      <c r="O86" s="65" t="s">
        <v>879</v>
      </c>
      <c r="P86" s="70" t="s">
        <v>753</v>
      </c>
      <c r="Q86" s="24" t="s">
        <v>102</v>
      </c>
      <c r="R86" s="54" t="str">
        <f t="shared" si="10"/>
        <v>OK</v>
      </c>
      <c r="S86" s="29" t="s">
        <v>102</v>
      </c>
      <c r="T86" s="29" t="s">
        <v>33</v>
      </c>
      <c r="U86" s="29"/>
      <c r="V86" s="22"/>
      <c r="W86" s="45"/>
      <c r="X86" s="75"/>
      <c r="Y86" s="75"/>
      <c r="Z86" s="39">
        <f t="shared" si="17"/>
        <v>0</v>
      </c>
      <c r="AA86" s="39">
        <f t="shared" si="11"/>
        <v>0</v>
      </c>
      <c r="AB86" s="39">
        <f t="shared" si="18"/>
        <v>1</v>
      </c>
      <c r="AC86" s="39">
        <f t="shared" si="19"/>
        <v>0</v>
      </c>
      <c r="AD86" s="39">
        <f t="shared" si="13"/>
        <v>0</v>
      </c>
      <c r="AE86" s="39">
        <f t="shared" si="14"/>
        <v>0</v>
      </c>
      <c r="AF86" s="39">
        <f t="shared" si="15"/>
        <v>0</v>
      </c>
      <c r="AG86" s="39">
        <f t="shared" si="16"/>
        <v>0</v>
      </c>
    </row>
    <row r="87" spans="1:35" ht="35.1" customHeight="1" x14ac:dyDescent="0.25">
      <c r="A87" s="61">
        <v>86</v>
      </c>
      <c r="B87" s="62" t="s">
        <v>178</v>
      </c>
      <c r="C87" s="61" t="s">
        <v>949</v>
      </c>
      <c r="D87" s="61" t="s">
        <v>356</v>
      </c>
      <c r="E87" s="61" t="s">
        <v>42</v>
      </c>
      <c r="F87" s="62" t="s">
        <v>549</v>
      </c>
      <c r="G87" s="62" t="s">
        <v>550</v>
      </c>
      <c r="H87" s="63" t="s">
        <v>40</v>
      </c>
      <c r="I87" s="29">
        <v>24.6</v>
      </c>
      <c r="J87" s="64">
        <v>1</v>
      </c>
      <c r="K87" s="64">
        <v>24.6</v>
      </c>
      <c r="L87" s="29">
        <v>5</v>
      </c>
      <c r="M87" s="29">
        <v>1979</v>
      </c>
      <c r="N87" s="29"/>
      <c r="O87" s="65" t="s">
        <v>21</v>
      </c>
      <c r="P87" s="70" t="s">
        <v>730</v>
      </c>
      <c r="Q87" s="24" t="s">
        <v>857</v>
      </c>
      <c r="R87" s="54" t="str">
        <f t="shared" si="10"/>
        <v>NARROW</v>
      </c>
      <c r="S87" s="29" t="s">
        <v>27</v>
      </c>
      <c r="T87" s="29" t="s">
        <v>33</v>
      </c>
      <c r="U87" s="29"/>
      <c r="V87" s="22"/>
      <c r="W87" s="45"/>
      <c r="X87" s="75"/>
      <c r="Y87" s="75"/>
      <c r="Z87" s="39">
        <f t="shared" si="17"/>
        <v>1</v>
      </c>
      <c r="AA87" s="39">
        <f t="shared" si="11"/>
        <v>0</v>
      </c>
      <c r="AB87" s="39">
        <f t="shared" si="18"/>
        <v>0</v>
      </c>
      <c r="AC87" s="39">
        <f t="shared" si="19"/>
        <v>0</v>
      </c>
      <c r="AD87" s="39">
        <f t="shared" si="13"/>
        <v>0</v>
      </c>
      <c r="AE87" s="39">
        <f t="shared" si="14"/>
        <v>0</v>
      </c>
      <c r="AF87" s="39">
        <f t="shared" si="15"/>
        <v>0</v>
      </c>
      <c r="AG87" s="39">
        <f t="shared" si="16"/>
        <v>0</v>
      </c>
      <c r="AI87" s="1">
        <f>I87</f>
        <v>24.6</v>
      </c>
    </row>
    <row r="88" spans="1:35" ht="35.1" customHeight="1" x14ac:dyDescent="0.25">
      <c r="A88" s="61">
        <v>87</v>
      </c>
      <c r="B88" s="62" t="s">
        <v>179</v>
      </c>
      <c r="C88" s="61" t="s">
        <v>950</v>
      </c>
      <c r="D88" s="61" t="s">
        <v>357</v>
      </c>
      <c r="E88" s="61" t="s">
        <v>42</v>
      </c>
      <c r="F88" s="62" t="s">
        <v>179</v>
      </c>
      <c r="G88" s="62" t="s">
        <v>551</v>
      </c>
      <c r="H88" s="63" t="s">
        <v>522</v>
      </c>
      <c r="I88" s="29">
        <v>19</v>
      </c>
      <c r="J88" s="64">
        <v>2</v>
      </c>
      <c r="K88" s="64">
        <v>9.1999999999999993</v>
      </c>
      <c r="L88" s="29">
        <v>12</v>
      </c>
      <c r="M88" s="29">
        <v>1947</v>
      </c>
      <c r="N88" s="29"/>
      <c r="O88" s="65" t="s">
        <v>68</v>
      </c>
      <c r="P88" s="70" t="s">
        <v>730</v>
      </c>
      <c r="Q88" s="24" t="s">
        <v>27</v>
      </c>
      <c r="R88" s="54" t="str">
        <f t="shared" si="10"/>
        <v>OK</v>
      </c>
      <c r="S88" s="29" t="s">
        <v>27</v>
      </c>
      <c r="T88" s="29" t="s">
        <v>33</v>
      </c>
      <c r="U88" s="29"/>
      <c r="V88" s="22"/>
      <c r="W88" s="45"/>
      <c r="X88" s="75"/>
      <c r="Y88" s="75"/>
      <c r="Z88" s="39">
        <f t="shared" si="17"/>
        <v>0</v>
      </c>
      <c r="AA88" s="39">
        <f t="shared" si="11"/>
        <v>0</v>
      </c>
      <c r="AB88" s="39">
        <f t="shared" si="18"/>
        <v>0</v>
      </c>
      <c r="AC88" s="39">
        <f t="shared" si="19"/>
        <v>0</v>
      </c>
      <c r="AD88" s="39">
        <f t="shared" si="13"/>
        <v>0</v>
      </c>
      <c r="AE88" s="39">
        <f t="shared" si="14"/>
        <v>0</v>
      </c>
      <c r="AF88" s="39">
        <f t="shared" si="15"/>
        <v>0</v>
      </c>
      <c r="AG88" s="39" t="str">
        <f t="shared" si="16"/>
        <v>E</v>
      </c>
    </row>
    <row r="89" spans="1:35" ht="35.1" customHeight="1" x14ac:dyDescent="0.25">
      <c r="A89" s="61">
        <v>88</v>
      </c>
      <c r="B89" s="62" t="s">
        <v>159</v>
      </c>
      <c r="C89" s="61" t="s">
        <v>946</v>
      </c>
      <c r="D89" s="61" t="s">
        <v>342</v>
      </c>
      <c r="E89" s="61" t="s">
        <v>42</v>
      </c>
      <c r="F89" s="62" t="s">
        <v>159</v>
      </c>
      <c r="G89" s="62" t="s">
        <v>521</v>
      </c>
      <c r="H89" s="63" t="s">
        <v>522</v>
      </c>
      <c r="I89" s="29">
        <v>7</v>
      </c>
      <c r="J89" s="64">
        <v>2</v>
      </c>
      <c r="K89" s="64">
        <v>3.2</v>
      </c>
      <c r="L89" s="29">
        <v>9.6999999999999993</v>
      </c>
      <c r="M89" s="29">
        <v>1972</v>
      </c>
      <c r="N89" s="29"/>
      <c r="O89" s="65" t="s">
        <v>685</v>
      </c>
      <c r="P89" s="70" t="s">
        <v>731</v>
      </c>
      <c r="Q89" s="24" t="s">
        <v>857</v>
      </c>
      <c r="R89" s="54" t="str">
        <f t="shared" si="10"/>
        <v>OK</v>
      </c>
      <c r="S89" s="29" t="s">
        <v>27</v>
      </c>
      <c r="T89" s="29" t="s">
        <v>32</v>
      </c>
      <c r="U89" s="29"/>
      <c r="V89" s="22"/>
      <c r="W89" s="45"/>
      <c r="X89" s="75"/>
      <c r="Y89" s="75"/>
      <c r="Z89" s="39">
        <f t="shared" si="17"/>
        <v>0</v>
      </c>
      <c r="AA89" s="39">
        <f t="shared" si="11"/>
        <v>1</v>
      </c>
      <c r="AB89" s="39">
        <f t="shared" si="18"/>
        <v>0</v>
      </c>
      <c r="AC89" s="39">
        <f t="shared" si="19"/>
        <v>0</v>
      </c>
      <c r="AD89" s="39">
        <f t="shared" si="13"/>
        <v>0</v>
      </c>
      <c r="AE89" s="39">
        <f t="shared" si="14"/>
        <v>0</v>
      </c>
      <c r="AF89" s="39">
        <f t="shared" si="15"/>
        <v>0</v>
      </c>
      <c r="AG89" s="39">
        <f t="shared" si="16"/>
        <v>0</v>
      </c>
    </row>
    <row r="90" spans="1:35" ht="35.1" customHeight="1" x14ac:dyDescent="0.25">
      <c r="A90" s="61">
        <v>89</v>
      </c>
      <c r="B90" s="62" t="s">
        <v>181</v>
      </c>
      <c r="C90" s="61" t="s">
        <v>960</v>
      </c>
      <c r="D90" s="27" t="s">
        <v>359</v>
      </c>
      <c r="E90" s="61" t="s">
        <v>42</v>
      </c>
      <c r="F90" s="62" t="s">
        <v>181</v>
      </c>
      <c r="G90" s="62" t="s">
        <v>553</v>
      </c>
      <c r="H90" s="63" t="s">
        <v>522</v>
      </c>
      <c r="I90" s="29" t="s">
        <v>554</v>
      </c>
      <c r="J90" s="64">
        <v>1</v>
      </c>
      <c r="K90" s="64"/>
      <c r="L90" s="29">
        <v>10.1</v>
      </c>
      <c r="M90" s="29"/>
      <c r="N90" s="29"/>
      <c r="O90" s="65" t="s">
        <v>21</v>
      </c>
      <c r="P90" s="70" t="s">
        <v>730</v>
      </c>
      <c r="Q90" s="24" t="s">
        <v>27</v>
      </c>
      <c r="R90" s="54" t="str">
        <f t="shared" si="10"/>
        <v>OK</v>
      </c>
      <c r="S90" s="29" t="s">
        <v>27</v>
      </c>
      <c r="T90" s="29" t="s">
        <v>33</v>
      </c>
      <c r="U90" s="29"/>
      <c r="V90" s="27"/>
      <c r="W90" s="44"/>
      <c r="X90" s="74"/>
      <c r="Y90" s="74"/>
      <c r="Z90" s="39">
        <f t="shared" si="17"/>
        <v>0</v>
      </c>
      <c r="AA90" s="39">
        <f t="shared" si="11"/>
        <v>0</v>
      </c>
      <c r="AB90" s="39">
        <f t="shared" si="18"/>
        <v>0</v>
      </c>
      <c r="AC90" s="39">
        <f t="shared" si="19"/>
        <v>0</v>
      </c>
      <c r="AD90" s="39">
        <f t="shared" si="13"/>
        <v>0</v>
      </c>
      <c r="AE90" s="39">
        <f t="shared" si="14"/>
        <v>0</v>
      </c>
      <c r="AF90" s="39">
        <f t="shared" si="15"/>
        <v>0</v>
      </c>
      <c r="AG90" s="39" t="str">
        <f t="shared" si="16"/>
        <v>E</v>
      </c>
    </row>
    <row r="91" spans="1:35" ht="35.1" customHeight="1" x14ac:dyDescent="0.25">
      <c r="A91" s="61">
        <v>90</v>
      </c>
      <c r="B91" s="62" t="s">
        <v>160</v>
      </c>
      <c r="C91" s="61" t="s">
        <v>961</v>
      </c>
      <c r="D91" s="61" t="s">
        <v>344</v>
      </c>
      <c r="E91" s="61" t="s">
        <v>42</v>
      </c>
      <c r="F91" s="62" t="s">
        <v>183</v>
      </c>
      <c r="G91" s="62" t="s">
        <v>273</v>
      </c>
      <c r="H91" s="63" t="s">
        <v>854</v>
      </c>
      <c r="I91" s="29">
        <v>13</v>
      </c>
      <c r="J91" s="64">
        <v>1</v>
      </c>
      <c r="K91" s="64">
        <v>9.3000000000000007</v>
      </c>
      <c r="L91" s="29">
        <v>11.3</v>
      </c>
      <c r="M91" s="29"/>
      <c r="N91" s="29"/>
      <c r="O91" s="65" t="s">
        <v>686</v>
      </c>
      <c r="P91" s="70" t="s">
        <v>731</v>
      </c>
      <c r="Q91" s="24" t="s">
        <v>857</v>
      </c>
      <c r="R91" s="54" t="str">
        <f t="shared" si="10"/>
        <v>OK</v>
      </c>
      <c r="S91" s="29" t="s">
        <v>27</v>
      </c>
      <c r="T91" s="29" t="s">
        <v>32</v>
      </c>
      <c r="U91" s="29"/>
      <c r="V91" s="43">
        <v>8399</v>
      </c>
      <c r="W91" s="45">
        <v>2</v>
      </c>
      <c r="X91" s="75"/>
      <c r="Y91" s="75"/>
      <c r="Z91" s="39">
        <f t="shared" si="17"/>
        <v>0</v>
      </c>
      <c r="AA91" s="39">
        <f t="shared" si="11"/>
        <v>1</v>
      </c>
      <c r="AB91" s="39">
        <f t="shared" si="18"/>
        <v>0</v>
      </c>
      <c r="AC91" s="39">
        <f t="shared" si="19"/>
        <v>0</v>
      </c>
      <c r="AD91" s="39">
        <f t="shared" si="13"/>
        <v>0</v>
      </c>
      <c r="AE91" s="39">
        <f t="shared" si="14"/>
        <v>0</v>
      </c>
      <c r="AF91" s="39">
        <f t="shared" si="15"/>
        <v>0</v>
      </c>
      <c r="AG91" s="39">
        <f t="shared" si="16"/>
        <v>0</v>
      </c>
    </row>
    <row r="92" spans="1:35" ht="35.1" customHeight="1" x14ac:dyDescent="0.25">
      <c r="A92" s="61">
        <v>91</v>
      </c>
      <c r="B92" s="62" t="s">
        <v>183</v>
      </c>
      <c r="C92" s="61" t="s">
        <v>962</v>
      </c>
      <c r="D92" s="61" t="s">
        <v>361</v>
      </c>
      <c r="E92" s="61" t="s">
        <v>42</v>
      </c>
      <c r="F92" s="62" t="s">
        <v>183</v>
      </c>
      <c r="G92" s="62" t="s">
        <v>273</v>
      </c>
      <c r="H92" s="63" t="s">
        <v>854</v>
      </c>
      <c r="I92" s="29">
        <v>19.350000000000001</v>
      </c>
      <c r="J92" s="64">
        <v>2</v>
      </c>
      <c r="K92" s="64"/>
      <c r="L92" s="29">
        <v>8.9</v>
      </c>
      <c r="M92" s="29">
        <v>1951</v>
      </c>
      <c r="N92" s="29"/>
      <c r="O92" s="65" t="s">
        <v>69</v>
      </c>
      <c r="P92" s="70" t="s">
        <v>730</v>
      </c>
      <c r="Q92" s="24" t="s">
        <v>27</v>
      </c>
      <c r="R92" s="54" t="str">
        <f t="shared" si="10"/>
        <v>OK</v>
      </c>
      <c r="S92" s="29" t="s">
        <v>27</v>
      </c>
      <c r="T92" s="29" t="s">
        <v>33</v>
      </c>
      <c r="U92" s="29"/>
      <c r="V92" s="22"/>
      <c r="W92" s="45"/>
      <c r="X92" s="75"/>
      <c r="Y92" s="75"/>
      <c r="Z92" s="39">
        <f t="shared" si="17"/>
        <v>0</v>
      </c>
      <c r="AA92" s="39">
        <f t="shared" si="11"/>
        <v>0</v>
      </c>
      <c r="AB92" s="39">
        <f t="shared" si="18"/>
        <v>0</v>
      </c>
      <c r="AC92" s="39">
        <f t="shared" si="19"/>
        <v>0</v>
      </c>
      <c r="AD92" s="39">
        <f t="shared" si="13"/>
        <v>0</v>
      </c>
      <c r="AE92" s="39">
        <f t="shared" si="14"/>
        <v>0</v>
      </c>
      <c r="AF92" s="39">
        <f t="shared" si="15"/>
        <v>0</v>
      </c>
      <c r="AG92" s="39" t="str">
        <f t="shared" si="16"/>
        <v>E</v>
      </c>
    </row>
    <row r="93" spans="1:35" ht="35.1" customHeight="1" x14ac:dyDescent="0.25">
      <c r="A93" s="61">
        <v>92</v>
      </c>
      <c r="B93" s="62" t="s">
        <v>184</v>
      </c>
      <c r="C93" s="61" t="s">
        <v>963</v>
      </c>
      <c r="D93" s="61" t="s">
        <v>361</v>
      </c>
      <c r="E93" s="61" t="s">
        <v>42</v>
      </c>
      <c r="F93" s="62" t="s">
        <v>184</v>
      </c>
      <c r="G93" s="62" t="s">
        <v>273</v>
      </c>
      <c r="H93" s="63" t="s">
        <v>522</v>
      </c>
      <c r="I93" s="29">
        <v>15</v>
      </c>
      <c r="J93" s="64">
        <v>3</v>
      </c>
      <c r="K93" s="64"/>
      <c r="L93" s="29">
        <v>8.75</v>
      </c>
      <c r="M93" s="29">
        <v>1957</v>
      </c>
      <c r="N93" s="29"/>
      <c r="O93" s="65" t="s">
        <v>69</v>
      </c>
      <c r="P93" s="70" t="s">
        <v>730</v>
      </c>
      <c r="Q93" s="24" t="s">
        <v>27</v>
      </c>
      <c r="R93" s="54" t="str">
        <f t="shared" si="10"/>
        <v>OK</v>
      </c>
      <c r="S93" s="29" t="s">
        <v>27</v>
      </c>
      <c r="T93" s="29" t="s">
        <v>33</v>
      </c>
      <c r="U93" s="29"/>
      <c r="V93" s="22"/>
      <c r="W93" s="45"/>
      <c r="X93" s="75"/>
      <c r="Y93" s="75"/>
      <c r="Z93" s="39">
        <f t="shared" si="17"/>
        <v>0</v>
      </c>
      <c r="AA93" s="39">
        <f t="shared" si="11"/>
        <v>0</v>
      </c>
      <c r="AB93" s="39">
        <f t="shared" si="18"/>
        <v>0</v>
      </c>
      <c r="AC93" s="39">
        <f t="shared" si="19"/>
        <v>0</v>
      </c>
      <c r="AD93" s="39">
        <f t="shared" si="13"/>
        <v>0</v>
      </c>
      <c r="AE93" s="39">
        <f t="shared" si="14"/>
        <v>0</v>
      </c>
      <c r="AF93" s="39">
        <f t="shared" si="15"/>
        <v>0</v>
      </c>
      <c r="AG93" s="39" t="str">
        <f t="shared" si="16"/>
        <v>E</v>
      </c>
    </row>
    <row r="94" spans="1:35" ht="35.1" customHeight="1" x14ac:dyDescent="0.25">
      <c r="A94" s="61">
        <v>93</v>
      </c>
      <c r="B94" s="62" t="s">
        <v>185</v>
      </c>
      <c r="C94" s="61" t="s">
        <v>964</v>
      </c>
      <c r="D94" s="61" t="s">
        <v>361</v>
      </c>
      <c r="E94" s="61" t="s">
        <v>42</v>
      </c>
      <c r="F94" s="62" t="s">
        <v>555</v>
      </c>
      <c r="G94" s="62" t="s">
        <v>273</v>
      </c>
      <c r="H94" s="63" t="s">
        <v>522</v>
      </c>
      <c r="I94" s="29">
        <v>12.9</v>
      </c>
      <c r="J94" s="64">
        <v>3</v>
      </c>
      <c r="K94" s="64">
        <v>4</v>
      </c>
      <c r="L94" s="29">
        <v>8.8000000000000007</v>
      </c>
      <c r="M94" s="29">
        <v>1957</v>
      </c>
      <c r="N94" s="29"/>
      <c r="O94" s="65" t="s">
        <v>69</v>
      </c>
      <c r="P94" s="70" t="s">
        <v>730</v>
      </c>
      <c r="Q94" s="24" t="s">
        <v>27</v>
      </c>
      <c r="R94" s="54" t="str">
        <f t="shared" si="10"/>
        <v>OK</v>
      </c>
      <c r="S94" s="29" t="s">
        <v>27</v>
      </c>
      <c r="T94" s="29" t="s">
        <v>33</v>
      </c>
      <c r="U94" s="29"/>
      <c r="V94" s="22"/>
      <c r="W94" s="45"/>
      <c r="X94" s="75"/>
      <c r="Y94" s="75"/>
      <c r="Z94" s="39">
        <f t="shared" si="17"/>
        <v>0</v>
      </c>
      <c r="AA94" s="39">
        <f t="shared" si="11"/>
        <v>0</v>
      </c>
      <c r="AB94" s="39">
        <f t="shared" si="18"/>
        <v>0</v>
      </c>
      <c r="AC94" s="39">
        <f t="shared" si="19"/>
        <v>0</v>
      </c>
      <c r="AD94" s="39">
        <f t="shared" si="13"/>
        <v>0</v>
      </c>
      <c r="AE94" s="39">
        <f t="shared" si="14"/>
        <v>0</v>
      </c>
      <c r="AF94" s="39">
        <f t="shared" si="15"/>
        <v>0</v>
      </c>
      <c r="AG94" s="39" t="str">
        <f t="shared" si="16"/>
        <v>E</v>
      </c>
    </row>
    <row r="95" spans="1:35" ht="35.1" customHeight="1" x14ac:dyDescent="0.25">
      <c r="A95" s="61">
        <v>94</v>
      </c>
      <c r="B95" s="62" t="s">
        <v>186</v>
      </c>
      <c r="C95" s="61" t="s">
        <v>965</v>
      </c>
      <c r="D95" s="61" t="s">
        <v>362</v>
      </c>
      <c r="E95" s="61" t="s">
        <v>42</v>
      </c>
      <c r="F95" s="62" t="s">
        <v>186</v>
      </c>
      <c r="G95" s="62" t="s">
        <v>556</v>
      </c>
      <c r="H95" s="63" t="s">
        <v>522</v>
      </c>
      <c r="I95" s="29">
        <v>12.3</v>
      </c>
      <c r="J95" s="64">
        <v>1</v>
      </c>
      <c r="K95" s="64">
        <v>12.3</v>
      </c>
      <c r="L95" s="29">
        <v>10.7</v>
      </c>
      <c r="M95" s="29"/>
      <c r="N95" s="29"/>
      <c r="O95" s="65" t="s">
        <v>694</v>
      </c>
      <c r="P95" s="70" t="s">
        <v>730</v>
      </c>
      <c r="Q95" s="24" t="s">
        <v>857</v>
      </c>
      <c r="R95" s="54" t="str">
        <f t="shared" si="10"/>
        <v>OK</v>
      </c>
      <c r="S95" s="29" t="s">
        <v>27</v>
      </c>
      <c r="T95" s="29" t="s">
        <v>32</v>
      </c>
      <c r="U95" s="29"/>
      <c r="V95" s="22"/>
      <c r="W95" s="45"/>
      <c r="X95" s="75"/>
      <c r="Y95" s="75"/>
      <c r="Z95" s="39">
        <f t="shared" si="17"/>
        <v>0</v>
      </c>
      <c r="AA95" s="39">
        <f t="shared" si="11"/>
        <v>1</v>
      </c>
      <c r="AB95" s="39">
        <f t="shared" si="18"/>
        <v>0</v>
      </c>
      <c r="AC95" s="39">
        <f t="shared" si="19"/>
        <v>0</v>
      </c>
      <c r="AD95" s="39">
        <f t="shared" si="13"/>
        <v>0</v>
      </c>
      <c r="AE95" s="39">
        <f t="shared" si="14"/>
        <v>0</v>
      </c>
      <c r="AF95" s="39">
        <f t="shared" si="15"/>
        <v>0</v>
      </c>
      <c r="AG95" s="39">
        <f t="shared" si="16"/>
        <v>0</v>
      </c>
    </row>
    <row r="96" spans="1:35" ht="35.1" customHeight="1" x14ac:dyDescent="0.25">
      <c r="A96" s="61">
        <v>95</v>
      </c>
      <c r="B96" s="62" t="s">
        <v>187</v>
      </c>
      <c r="C96" s="61" t="s">
        <v>951</v>
      </c>
      <c r="D96" s="61" t="s">
        <v>363</v>
      </c>
      <c r="E96" s="61" t="s">
        <v>42</v>
      </c>
      <c r="F96" s="62" t="s">
        <v>187</v>
      </c>
      <c r="G96" s="62" t="s">
        <v>278</v>
      </c>
      <c r="H96" s="63" t="s">
        <v>40</v>
      </c>
      <c r="I96" s="29">
        <v>15.5</v>
      </c>
      <c r="J96" s="64">
        <v>1</v>
      </c>
      <c r="K96" s="64">
        <v>15.5</v>
      </c>
      <c r="L96" s="29">
        <v>4.3</v>
      </c>
      <c r="M96" s="29"/>
      <c r="N96" s="29"/>
      <c r="O96" s="65" t="s">
        <v>21</v>
      </c>
      <c r="P96" s="70" t="s">
        <v>730</v>
      </c>
      <c r="Q96" s="24" t="s">
        <v>857</v>
      </c>
      <c r="R96" s="54" t="str">
        <f t="shared" si="10"/>
        <v>NARROW</v>
      </c>
      <c r="S96" s="29" t="s">
        <v>27</v>
      </c>
      <c r="T96" s="29" t="s">
        <v>33</v>
      </c>
      <c r="U96" s="29"/>
      <c r="V96" s="43">
        <v>2591</v>
      </c>
      <c r="W96" s="45">
        <v>2</v>
      </c>
      <c r="X96" s="75"/>
      <c r="Y96" s="75"/>
      <c r="Z96" s="39">
        <f t="shared" si="17"/>
        <v>1</v>
      </c>
      <c r="AA96" s="39">
        <f t="shared" si="11"/>
        <v>0</v>
      </c>
      <c r="AB96" s="39">
        <f t="shared" si="18"/>
        <v>0</v>
      </c>
      <c r="AC96" s="39">
        <f t="shared" si="19"/>
        <v>0</v>
      </c>
      <c r="AD96" s="39">
        <f t="shared" si="13"/>
        <v>0</v>
      </c>
      <c r="AE96" s="39">
        <f t="shared" si="14"/>
        <v>0</v>
      </c>
      <c r="AF96" s="39">
        <f t="shared" si="15"/>
        <v>0</v>
      </c>
      <c r="AG96" s="39">
        <f t="shared" si="16"/>
        <v>0</v>
      </c>
      <c r="AI96" s="1">
        <f>I96</f>
        <v>15.5</v>
      </c>
    </row>
    <row r="97" spans="1:33" ht="35.1" customHeight="1" x14ac:dyDescent="0.25">
      <c r="A97" s="61">
        <v>96</v>
      </c>
      <c r="B97" s="62" t="s">
        <v>188</v>
      </c>
      <c r="C97" s="61" t="s">
        <v>952</v>
      </c>
      <c r="D97" s="61" t="s">
        <v>363</v>
      </c>
      <c r="E97" s="61" t="s">
        <v>42</v>
      </c>
      <c r="F97" s="62" t="s">
        <v>557</v>
      </c>
      <c r="G97" s="62" t="s">
        <v>278</v>
      </c>
      <c r="H97" s="63" t="s">
        <v>522</v>
      </c>
      <c r="I97" s="29">
        <v>14.3</v>
      </c>
      <c r="J97" s="64">
        <v>2</v>
      </c>
      <c r="K97" s="64">
        <v>6.9</v>
      </c>
      <c r="L97" s="29">
        <v>7.3</v>
      </c>
      <c r="M97" s="29"/>
      <c r="N97" s="29"/>
      <c r="O97" s="65" t="s">
        <v>21</v>
      </c>
      <c r="P97" s="70" t="s">
        <v>730</v>
      </c>
      <c r="Q97" s="24" t="s">
        <v>27</v>
      </c>
      <c r="R97" s="54" t="str">
        <f t="shared" si="10"/>
        <v>OK</v>
      </c>
      <c r="S97" s="29" t="s">
        <v>27</v>
      </c>
      <c r="T97" s="29" t="s">
        <v>33</v>
      </c>
      <c r="U97" s="29"/>
      <c r="V97" s="43">
        <v>2591</v>
      </c>
      <c r="W97" s="45">
        <v>2</v>
      </c>
      <c r="X97" s="75"/>
      <c r="Y97" s="75"/>
      <c r="Z97" s="39">
        <f t="shared" si="17"/>
        <v>0</v>
      </c>
      <c r="AA97" s="39">
        <f t="shared" si="11"/>
        <v>0</v>
      </c>
      <c r="AB97" s="39">
        <f t="shared" si="18"/>
        <v>0</v>
      </c>
      <c r="AC97" s="39">
        <f t="shared" si="19"/>
        <v>0</v>
      </c>
      <c r="AD97" s="39">
        <f t="shared" si="13"/>
        <v>0</v>
      </c>
      <c r="AE97" s="39">
        <f t="shared" si="14"/>
        <v>0</v>
      </c>
      <c r="AF97" s="39">
        <f t="shared" si="15"/>
        <v>0</v>
      </c>
      <c r="AG97" s="39" t="str">
        <f t="shared" si="16"/>
        <v>E</v>
      </c>
    </row>
    <row r="98" spans="1:33" ht="35.1" customHeight="1" x14ac:dyDescent="0.25">
      <c r="A98" s="61">
        <v>97</v>
      </c>
      <c r="B98" s="62" t="s">
        <v>189</v>
      </c>
      <c r="C98" s="61" t="s">
        <v>892</v>
      </c>
      <c r="D98" s="61" t="s">
        <v>364</v>
      </c>
      <c r="E98" s="61" t="s">
        <v>42</v>
      </c>
      <c r="F98" s="62" t="s">
        <v>558</v>
      </c>
      <c r="G98" s="62" t="s">
        <v>278</v>
      </c>
      <c r="H98" s="63" t="s">
        <v>522</v>
      </c>
      <c r="I98" s="29">
        <v>22.1</v>
      </c>
      <c r="J98" s="64">
        <v>1</v>
      </c>
      <c r="K98" s="64"/>
      <c r="L98" s="29">
        <v>12</v>
      </c>
      <c r="M98" s="29">
        <v>2015</v>
      </c>
      <c r="N98" s="29"/>
      <c r="O98" s="65" t="s">
        <v>69</v>
      </c>
      <c r="P98" s="70" t="s">
        <v>730</v>
      </c>
      <c r="Q98" s="24" t="s">
        <v>27</v>
      </c>
      <c r="R98" s="54" t="str">
        <f t="shared" ref="R98:R129" si="20">IF(L98&lt;7.3,"NARROW","OK")</f>
        <v>OK</v>
      </c>
      <c r="S98" s="29" t="s">
        <v>27</v>
      </c>
      <c r="T98" s="29" t="s">
        <v>33</v>
      </c>
      <c r="U98" s="29"/>
      <c r="V98" s="22"/>
      <c r="W98" s="45"/>
      <c r="X98" s="75"/>
      <c r="Y98" s="75"/>
      <c r="Z98" s="39">
        <f t="shared" si="17"/>
        <v>0</v>
      </c>
      <c r="AA98" s="39">
        <f t="shared" si="11"/>
        <v>0</v>
      </c>
      <c r="AB98" s="39">
        <f t="shared" si="18"/>
        <v>0</v>
      </c>
      <c r="AC98" s="39">
        <f t="shared" si="19"/>
        <v>0</v>
      </c>
      <c r="AD98" s="39">
        <f t="shared" si="13"/>
        <v>0</v>
      </c>
      <c r="AE98" s="39">
        <f t="shared" si="14"/>
        <v>0</v>
      </c>
      <c r="AF98" s="39">
        <f t="shared" si="15"/>
        <v>0</v>
      </c>
      <c r="AG98" s="39" t="str">
        <f t="shared" si="16"/>
        <v>E</v>
      </c>
    </row>
    <row r="99" spans="1:33" ht="35.1" customHeight="1" x14ac:dyDescent="0.25">
      <c r="A99" s="61">
        <v>98</v>
      </c>
      <c r="B99" s="62" t="s">
        <v>190</v>
      </c>
      <c r="C99" s="61" t="s">
        <v>953</v>
      </c>
      <c r="D99" s="61" t="s">
        <v>365</v>
      </c>
      <c r="E99" s="61" t="s">
        <v>42</v>
      </c>
      <c r="F99" s="62" t="s">
        <v>558</v>
      </c>
      <c r="G99" s="62" t="s">
        <v>278</v>
      </c>
      <c r="H99" s="63" t="s">
        <v>522</v>
      </c>
      <c r="I99" s="29" t="s">
        <v>559</v>
      </c>
      <c r="J99" s="64">
        <v>1</v>
      </c>
      <c r="K99" s="64"/>
      <c r="L99" s="29">
        <v>6.8</v>
      </c>
      <c r="M99" s="29"/>
      <c r="N99" s="29"/>
      <c r="O99" s="65" t="s">
        <v>69</v>
      </c>
      <c r="P99" s="70" t="s">
        <v>730</v>
      </c>
      <c r="Q99" s="24" t="s">
        <v>857</v>
      </c>
      <c r="R99" s="54" t="str">
        <f t="shared" si="20"/>
        <v>NARROW</v>
      </c>
      <c r="S99" s="29" t="s">
        <v>27</v>
      </c>
      <c r="T99" s="29" t="s">
        <v>33</v>
      </c>
      <c r="U99" s="29"/>
      <c r="V99" s="22"/>
      <c r="W99" s="45"/>
      <c r="X99" s="75"/>
      <c r="Y99" s="75"/>
      <c r="Z99" s="39">
        <f t="shared" si="17"/>
        <v>1</v>
      </c>
      <c r="AA99" s="39">
        <f t="shared" si="11"/>
        <v>0</v>
      </c>
      <c r="AB99" s="39">
        <f t="shared" si="18"/>
        <v>0</v>
      </c>
      <c r="AC99" s="39">
        <f t="shared" si="19"/>
        <v>0</v>
      </c>
      <c r="AD99" s="39">
        <f t="shared" si="13"/>
        <v>0</v>
      </c>
      <c r="AE99" s="39">
        <f t="shared" si="14"/>
        <v>0</v>
      </c>
      <c r="AF99" s="39">
        <f t="shared" si="15"/>
        <v>0</v>
      </c>
      <c r="AG99" s="39">
        <f t="shared" si="16"/>
        <v>0</v>
      </c>
    </row>
    <row r="100" spans="1:33" ht="35.1" customHeight="1" x14ac:dyDescent="0.25">
      <c r="A100" s="61">
        <v>99</v>
      </c>
      <c r="B100" s="62" t="s">
        <v>191</v>
      </c>
      <c r="C100" s="61" t="s">
        <v>954</v>
      </c>
      <c r="D100" s="61" t="s">
        <v>365</v>
      </c>
      <c r="E100" s="61" t="s">
        <v>42</v>
      </c>
      <c r="F100" s="62" t="s">
        <v>558</v>
      </c>
      <c r="G100" s="62" t="s">
        <v>278</v>
      </c>
      <c r="H100" s="63" t="s">
        <v>522</v>
      </c>
      <c r="I100" s="29">
        <v>6.5</v>
      </c>
      <c r="J100" s="64">
        <v>1</v>
      </c>
      <c r="K100" s="64"/>
      <c r="L100" s="29">
        <v>9.1</v>
      </c>
      <c r="M100" s="30"/>
      <c r="N100" s="30"/>
      <c r="O100" s="65" t="s">
        <v>69</v>
      </c>
      <c r="P100" s="70" t="s">
        <v>730</v>
      </c>
      <c r="Q100" s="24" t="s">
        <v>27</v>
      </c>
      <c r="R100" s="54" t="str">
        <f t="shared" si="20"/>
        <v>OK</v>
      </c>
      <c r="S100" s="29" t="s">
        <v>27</v>
      </c>
      <c r="T100" s="29" t="s">
        <v>33</v>
      </c>
      <c r="U100" s="29"/>
      <c r="V100" s="22"/>
      <c r="W100" s="45"/>
      <c r="X100" s="75"/>
      <c r="Y100" s="75"/>
      <c r="Z100" s="39">
        <f t="shared" si="17"/>
        <v>0</v>
      </c>
      <c r="AA100" s="39">
        <f t="shared" si="11"/>
        <v>0</v>
      </c>
      <c r="AB100" s="39">
        <f t="shared" si="18"/>
        <v>0</v>
      </c>
      <c r="AC100" s="39">
        <f t="shared" si="19"/>
        <v>0</v>
      </c>
      <c r="AD100" s="39">
        <f t="shared" si="13"/>
        <v>0</v>
      </c>
      <c r="AE100" s="39">
        <f t="shared" si="14"/>
        <v>0</v>
      </c>
      <c r="AF100" s="39">
        <f t="shared" si="15"/>
        <v>0</v>
      </c>
      <c r="AG100" s="39" t="str">
        <f t="shared" si="16"/>
        <v>E</v>
      </c>
    </row>
    <row r="101" spans="1:33" ht="35.1" customHeight="1" x14ac:dyDescent="0.25">
      <c r="A101" s="61">
        <v>100</v>
      </c>
      <c r="B101" s="62" t="s">
        <v>191</v>
      </c>
      <c r="C101" s="61" t="s">
        <v>954</v>
      </c>
      <c r="D101" s="61" t="s">
        <v>365</v>
      </c>
      <c r="E101" s="61" t="s">
        <v>42</v>
      </c>
      <c r="F101" s="62" t="s">
        <v>558</v>
      </c>
      <c r="G101" s="62" t="s">
        <v>278</v>
      </c>
      <c r="H101" s="63" t="s">
        <v>854</v>
      </c>
      <c r="I101" s="29">
        <v>15</v>
      </c>
      <c r="J101" s="64">
        <v>2</v>
      </c>
      <c r="K101" s="64"/>
      <c r="L101" s="29">
        <v>8.1999999999999993</v>
      </c>
      <c r="M101" s="29"/>
      <c r="N101" s="29"/>
      <c r="O101" s="65" t="s">
        <v>695</v>
      </c>
      <c r="P101" s="70" t="s">
        <v>730</v>
      </c>
      <c r="Q101" s="24" t="s">
        <v>27</v>
      </c>
      <c r="R101" s="54" t="str">
        <f t="shared" si="20"/>
        <v>OK</v>
      </c>
      <c r="S101" s="29" t="s">
        <v>27</v>
      </c>
      <c r="T101" s="29" t="s">
        <v>33</v>
      </c>
      <c r="U101" s="29"/>
      <c r="V101" s="22"/>
      <c r="W101" s="45"/>
      <c r="X101" s="75"/>
      <c r="Y101" s="75"/>
      <c r="Z101" s="39">
        <f t="shared" si="17"/>
        <v>0</v>
      </c>
      <c r="AA101" s="39">
        <f t="shared" si="11"/>
        <v>0</v>
      </c>
      <c r="AB101" s="39">
        <f t="shared" si="18"/>
        <v>0</v>
      </c>
      <c r="AC101" s="39">
        <f t="shared" si="19"/>
        <v>0</v>
      </c>
      <c r="AD101" s="39">
        <f t="shared" si="13"/>
        <v>0</v>
      </c>
      <c r="AE101" s="39">
        <f t="shared" si="14"/>
        <v>0</v>
      </c>
      <c r="AF101" s="39">
        <f t="shared" si="15"/>
        <v>0</v>
      </c>
      <c r="AG101" s="39" t="str">
        <f t="shared" si="16"/>
        <v>E</v>
      </c>
    </row>
    <row r="102" spans="1:33" ht="35.1" customHeight="1" x14ac:dyDescent="0.25">
      <c r="A102" s="61">
        <v>101</v>
      </c>
      <c r="B102" s="62" t="s">
        <v>192</v>
      </c>
      <c r="C102" s="61" t="s">
        <v>955</v>
      </c>
      <c r="D102" s="61" t="s">
        <v>366</v>
      </c>
      <c r="E102" s="61" t="s">
        <v>42</v>
      </c>
      <c r="F102" s="62" t="s">
        <v>558</v>
      </c>
      <c r="G102" s="62" t="s">
        <v>278</v>
      </c>
      <c r="H102" s="63" t="s">
        <v>522</v>
      </c>
      <c r="I102" s="29">
        <v>4.4000000000000004</v>
      </c>
      <c r="J102" s="64">
        <v>1</v>
      </c>
      <c r="K102" s="64"/>
      <c r="L102" s="29">
        <v>6.6</v>
      </c>
      <c r="M102" s="29"/>
      <c r="N102" s="29"/>
      <c r="O102" s="65" t="s">
        <v>696</v>
      </c>
      <c r="P102" s="70" t="s">
        <v>730</v>
      </c>
      <c r="Q102" s="24" t="s">
        <v>857</v>
      </c>
      <c r="R102" s="54" t="str">
        <f t="shared" si="20"/>
        <v>NARROW</v>
      </c>
      <c r="S102" s="29" t="s">
        <v>27</v>
      </c>
      <c r="T102" s="29" t="s">
        <v>32</v>
      </c>
      <c r="U102" s="29"/>
      <c r="V102" s="22"/>
      <c r="W102" s="45"/>
      <c r="X102" s="75"/>
      <c r="Y102" s="75"/>
      <c r="Z102" s="39">
        <f t="shared" si="17"/>
        <v>1</v>
      </c>
      <c r="AA102" s="39">
        <f t="shared" si="11"/>
        <v>1</v>
      </c>
      <c r="AB102" s="39">
        <f t="shared" si="18"/>
        <v>0</v>
      </c>
      <c r="AC102" s="39">
        <f t="shared" si="19"/>
        <v>0</v>
      </c>
      <c r="AD102" s="39" t="str">
        <f t="shared" si="13"/>
        <v>B</v>
      </c>
      <c r="AE102" s="39">
        <f t="shared" si="14"/>
        <v>0</v>
      </c>
      <c r="AF102" s="39">
        <f t="shared" si="15"/>
        <v>0</v>
      </c>
      <c r="AG102" s="39">
        <f t="shared" si="16"/>
        <v>0</v>
      </c>
    </row>
    <row r="103" spans="1:33" ht="35.1" customHeight="1" x14ac:dyDescent="0.25">
      <c r="A103" s="61">
        <v>102</v>
      </c>
      <c r="B103" s="62" t="s">
        <v>161</v>
      </c>
      <c r="C103" s="61" t="s">
        <v>965</v>
      </c>
      <c r="D103" s="64" t="s">
        <v>345</v>
      </c>
      <c r="E103" s="61" t="s">
        <v>42</v>
      </c>
      <c r="F103" s="62" t="s">
        <v>186</v>
      </c>
      <c r="G103" s="62" t="s">
        <v>525</v>
      </c>
      <c r="H103" s="63" t="s">
        <v>854</v>
      </c>
      <c r="I103" s="29">
        <v>12.5</v>
      </c>
      <c r="J103" s="64">
        <v>1</v>
      </c>
      <c r="K103" s="64"/>
      <c r="L103" s="29">
        <v>11.3</v>
      </c>
      <c r="M103" s="30"/>
      <c r="N103" s="30"/>
      <c r="O103" s="65" t="s">
        <v>880</v>
      </c>
      <c r="P103" s="70" t="s">
        <v>731</v>
      </c>
      <c r="Q103" s="24" t="s">
        <v>102</v>
      </c>
      <c r="R103" s="54" t="str">
        <f t="shared" si="20"/>
        <v>OK</v>
      </c>
      <c r="S103" s="29" t="s">
        <v>102</v>
      </c>
      <c r="T103" s="29" t="s">
        <v>32</v>
      </c>
      <c r="U103" s="29"/>
      <c r="V103" s="29"/>
      <c r="W103" s="46"/>
      <c r="X103" s="76"/>
      <c r="Y103" s="76"/>
      <c r="Z103" s="39">
        <f t="shared" si="17"/>
        <v>0</v>
      </c>
      <c r="AA103" s="39">
        <f t="shared" si="11"/>
        <v>1</v>
      </c>
      <c r="AB103" s="39">
        <f t="shared" si="18"/>
        <v>1</v>
      </c>
      <c r="AC103" s="39">
        <f t="shared" si="19"/>
        <v>0</v>
      </c>
      <c r="AD103" s="39">
        <f t="shared" si="13"/>
        <v>0</v>
      </c>
      <c r="AE103" s="39" t="str">
        <f t="shared" si="14"/>
        <v>C</v>
      </c>
      <c r="AF103" s="39">
        <f t="shared" si="15"/>
        <v>0</v>
      </c>
      <c r="AG103" s="39">
        <f t="shared" si="16"/>
        <v>0</v>
      </c>
    </row>
    <row r="104" spans="1:33" ht="35.1" customHeight="1" x14ac:dyDescent="0.25">
      <c r="A104" s="61">
        <v>103</v>
      </c>
      <c r="B104" s="62" t="s">
        <v>194</v>
      </c>
      <c r="C104" s="61" t="s">
        <v>888</v>
      </c>
      <c r="D104" s="64" t="s">
        <v>345</v>
      </c>
      <c r="E104" s="61" t="s">
        <v>42</v>
      </c>
      <c r="F104" s="62" t="s">
        <v>194</v>
      </c>
      <c r="G104" s="62" t="s">
        <v>525</v>
      </c>
      <c r="H104" s="63" t="s">
        <v>854</v>
      </c>
      <c r="I104" s="29">
        <v>32</v>
      </c>
      <c r="J104" s="64">
        <v>4</v>
      </c>
      <c r="K104" s="64"/>
      <c r="L104" s="29">
        <v>6.5</v>
      </c>
      <c r="M104" s="29"/>
      <c r="N104" s="29"/>
      <c r="O104" s="65" t="s">
        <v>698</v>
      </c>
      <c r="P104" s="70" t="s">
        <v>730</v>
      </c>
      <c r="Q104" s="24" t="s">
        <v>857</v>
      </c>
      <c r="R104" s="54" t="str">
        <f t="shared" si="20"/>
        <v>NARROW</v>
      </c>
      <c r="S104" s="29" t="s">
        <v>27</v>
      </c>
      <c r="T104" s="29" t="s">
        <v>33</v>
      </c>
      <c r="U104" s="29"/>
      <c r="V104" s="29"/>
      <c r="W104" s="46"/>
      <c r="X104" s="76"/>
      <c r="Y104" s="76"/>
      <c r="Z104" s="39">
        <f t="shared" si="17"/>
        <v>1</v>
      </c>
      <c r="AA104" s="39">
        <f t="shared" si="11"/>
        <v>0</v>
      </c>
      <c r="AB104" s="39">
        <f t="shared" si="18"/>
        <v>0</v>
      </c>
      <c r="AC104" s="39">
        <f t="shared" si="19"/>
        <v>0</v>
      </c>
      <c r="AD104" s="39">
        <f t="shared" si="13"/>
        <v>0</v>
      </c>
      <c r="AE104" s="39">
        <f t="shared" si="14"/>
        <v>0</v>
      </c>
      <c r="AF104" s="39">
        <f t="shared" si="15"/>
        <v>0</v>
      </c>
      <c r="AG104" s="39">
        <f t="shared" si="16"/>
        <v>0</v>
      </c>
    </row>
    <row r="105" spans="1:33" ht="35.1" customHeight="1" x14ac:dyDescent="0.25">
      <c r="A105" s="61">
        <v>104</v>
      </c>
      <c r="B105" s="62" t="s">
        <v>277</v>
      </c>
      <c r="C105" s="61" t="s">
        <v>966</v>
      </c>
      <c r="D105" s="64" t="s">
        <v>369</v>
      </c>
      <c r="E105" s="61" t="s">
        <v>42</v>
      </c>
      <c r="F105" s="62" t="s">
        <v>186</v>
      </c>
      <c r="G105" s="62" t="s">
        <v>527</v>
      </c>
      <c r="H105" s="63" t="s">
        <v>854</v>
      </c>
      <c r="I105" s="29">
        <v>21.3</v>
      </c>
      <c r="J105" s="64">
        <v>2</v>
      </c>
      <c r="K105" s="64">
        <v>10.199999999999999</v>
      </c>
      <c r="L105" s="29">
        <v>6.8</v>
      </c>
      <c r="M105" s="29"/>
      <c r="N105" s="29"/>
      <c r="O105" s="65" t="s">
        <v>728</v>
      </c>
      <c r="P105" s="70" t="s">
        <v>734</v>
      </c>
      <c r="Q105" s="24" t="s">
        <v>102</v>
      </c>
      <c r="R105" s="54" t="str">
        <f t="shared" si="20"/>
        <v>NARROW</v>
      </c>
      <c r="S105" s="29" t="s">
        <v>102</v>
      </c>
      <c r="T105" s="29" t="s">
        <v>32</v>
      </c>
      <c r="U105" s="29"/>
      <c r="V105" s="29"/>
      <c r="W105" s="46"/>
      <c r="X105" s="76"/>
      <c r="Y105" s="76"/>
      <c r="Z105" s="39">
        <f t="shared" si="17"/>
        <v>1</v>
      </c>
      <c r="AA105" s="39">
        <f t="shared" si="11"/>
        <v>1</v>
      </c>
      <c r="AB105" s="39">
        <f t="shared" si="18"/>
        <v>1</v>
      </c>
      <c r="AC105" s="39" t="str">
        <f t="shared" si="19"/>
        <v>A</v>
      </c>
      <c r="AD105" s="39" t="str">
        <f t="shared" si="13"/>
        <v>B</v>
      </c>
      <c r="AE105" s="39" t="str">
        <f t="shared" si="14"/>
        <v>C</v>
      </c>
      <c r="AF105" s="39" t="str">
        <f t="shared" si="15"/>
        <v>D</v>
      </c>
      <c r="AG105" s="39">
        <f t="shared" si="16"/>
        <v>0</v>
      </c>
    </row>
    <row r="106" spans="1:33" ht="35.1" customHeight="1" x14ac:dyDescent="0.25">
      <c r="A106" s="61">
        <v>105</v>
      </c>
      <c r="B106" s="62" t="s">
        <v>196</v>
      </c>
      <c r="C106" s="61" t="s">
        <v>967</v>
      </c>
      <c r="D106" s="61" t="s">
        <v>369</v>
      </c>
      <c r="E106" s="61" t="s">
        <v>42</v>
      </c>
      <c r="F106" s="62" t="s">
        <v>186</v>
      </c>
      <c r="G106" s="62" t="s">
        <v>527</v>
      </c>
      <c r="H106" s="63" t="s">
        <v>854</v>
      </c>
      <c r="I106" s="29">
        <v>10.199999999999999</v>
      </c>
      <c r="J106" s="64">
        <v>1</v>
      </c>
      <c r="K106" s="64">
        <v>5</v>
      </c>
      <c r="L106" s="29">
        <v>10</v>
      </c>
      <c r="M106" s="30"/>
      <c r="N106" s="30"/>
      <c r="O106" s="65" t="s">
        <v>69</v>
      </c>
      <c r="P106" s="70" t="s">
        <v>730</v>
      </c>
      <c r="Q106" s="24" t="s">
        <v>27</v>
      </c>
      <c r="R106" s="54" t="str">
        <f t="shared" si="20"/>
        <v>OK</v>
      </c>
      <c r="S106" s="29" t="s">
        <v>27</v>
      </c>
      <c r="T106" s="29" t="s">
        <v>33</v>
      </c>
      <c r="U106" s="29"/>
      <c r="V106" s="22"/>
      <c r="W106" s="45"/>
      <c r="X106" s="75"/>
      <c r="Y106" s="75"/>
      <c r="Z106" s="39">
        <f t="shared" si="17"/>
        <v>0</v>
      </c>
      <c r="AA106" s="39">
        <f t="shared" si="11"/>
        <v>0</v>
      </c>
      <c r="AB106" s="39">
        <f t="shared" si="18"/>
        <v>0</v>
      </c>
      <c r="AC106" s="39">
        <f t="shared" si="19"/>
        <v>0</v>
      </c>
      <c r="AD106" s="39">
        <f t="shared" si="13"/>
        <v>0</v>
      </c>
      <c r="AE106" s="39">
        <f t="shared" si="14"/>
        <v>0</v>
      </c>
      <c r="AF106" s="39">
        <f t="shared" si="15"/>
        <v>0</v>
      </c>
      <c r="AG106" s="39" t="str">
        <f t="shared" si="16"/>
        <v>E</v>
      </c>
    </row>
    <row r="107" spans="1:33" ht="35.1" customHeight="1" x14ac:dyDescent="0.25">
      <c r="A107" s="61">
        <v>106</v>
      </c>
      <c r="B107" s="62" t="s">
        <v>196</v>
      </c>
      <c r="C107" s="61" t="s">
        <v>968</v>
      </c>
      <c r="D107" s="61" t="s">
        <v>369</v>
      </c>
      <c r="E107" s="61" t="s">
        <v>42</v>
      </c>
      <c r="F107" s="62" t="s">
        <v>186</v>
      </c>
      <c r="G107" s="62" t="s">
        <v>527</v>
      </c>
      <c r="H107" s="63" t="s">
        <v>854</v>
      </c>
      <c r="I107" s="29">
        <v>12</v>
      </c>
      <c r="J107" s="64">
        <v>1</v>
      </c>
      <c r="K107" s="64">
        <v>9.3000000000000007</v>
      </c>
      <c r="L107" s="29">
        <v>10</v>
      </c>
      <c r="M107" s="29"/>
      <c r="N107" s="29"/>
      <c r="O107" s="65" t="s">
        <v>700</v>
      </c>
      <c r="P107" s="70" t="s">
        <v>730</v>
      </c>
      <c r="Q107" s="24" t="s">
        <v>27</v>
      </c>
      <c r="R107" s="54" t="str">
        <f t="shared" si="20"/>
        <v>OK</v>
      </c>
      <c r="S107" s="29" t="s">
        <v>27</v>
      </c>
      <c r="T107" s="29" t="s">
        <v>33</v>
      </c>
      <c r="U107" s="29"/>
      <c r="V107" s="22"/>
      <c r="W107" s="45"/>
      <c r="X107" s="75"/>
      <c r="Y107" s="75"/>
      <c r="Z107" s="39">
        <f t="shared" si="17"/>
        <v>0</v>
      </c>
      <c r="AA107" s="39">
        <f t="shared" si="11"/>
        <v>0</v>
      </c>
      <c r="AB107" s="39">
        <f t="shared" si="18"/>
        <v>0</v>
      </c>
      <c r="AC107" s="39">
        <f t="shared" si="19"/>
        <v>0</v>
      </c>
      <c r="AD107" s="39">
        <f t="shared" si="13"/>
        <v>0</v>
      </c>
      <c r="AE107" s="39">
        <f t="shared" si="14"/>
        <v>0</v>
      </c>
      <c r="AF107" s="39">
        <f t="shared" si="15"/>
        <v>0</v>
      </c>
      <c r="AG107" s="39" t="str">
        <f t="shared" si="16"/>
        <v>E</v>
      </c>
    </row>
    <row r="108" spans="1:33" ht="35.1" customHeight="1" x14ac:dyDescent="0.25">
      <c r="A108" s="61">
        <v>107</v>
      </c>
      <c r="B108" s="62" t="s">
        <v>163</v>
      </c>
      <c r="C108" s="61" t="s">
        <v>969</v>
      </c>
      <c r="D108" s="61" t="s">
        <v>347</v>
      </c>
      <c r="E108" s="61" t="s">
        <v>42</v>
      </c>
      <c r="F108" s="62" t="s">
        <v>186</v>
      </c>
      <c r="G108" s="62" t="s">
        <v>527</v>
      </c>
      <c r="H108" s="63" t="s">
        <v>854</v>
      </c>
      <c r="I108" s="29">
        <v>21.5</v>
      </c>
      <c r="J108" s="64">
        <v>2</v>
      </c>
      <c r="K108" s="64">
        <v>10.5</v>
      </c>
      <c r="L108" s="29">
        <v>6.75</v>
      </c>
      <c r="M108" s="29"/>
      <c r="N108" s="29"/>
      <c r="O108" s="65" t="s">
        <v>688</v>
      </c>
      <c r="P108" s="70" t="s">
        <v>731</v>
      </c>
      <c r="Q108" s="24" t="s">
        <v>102</v>
      </c>
      <c r="R108" s="54" t="str">
        <f t="shared" si="20"/>
        <v>NARROW</v>
      </c>
      <c r="S108" s="29" t="s">
        <v>102</v>
      </c>
      <c r="T108" s="29" t="s">
        <v>32</v>
      </c>
      <c r="U108" s="29"/>
      <c r="V108" s="22"/>
      <c r="W108" s="45"/>
      <c r="X108" s="75"/>
      <c r="Y108" s="75"/>
      <c r="Z108" s="39">
        <f t="shared" si="17"/>
        <v>1</v>
      </c>
      <c r="AA108" s="39">
        <f t="shared" si="11"/>
        <v>1</v>
      </c>
      <c r="AB108" s="39">
        <f t="shared" si="18"/>
        <v>1</v>
      </c>
      <c r="AC108" s="39" t="str">
        <f t="shared" si="19"/>
        <v>A</v>
      </c>
      <c r="AD108" s="39" t="str">
        <f t="shared" si="13"/>
        <v>B</v>
      </c>
      <c r="AE108" s="39" t="str">
        <f t="shared" si="14"/>
        <v>C</v>
      </c>
      <c r="AF108" s="39" t="str">
        <f t="shared" si="15"/>
        <v>D</v>
      </c>
      <c r="AG108" s="39">
        <f t="shared" si="16"/>
        <v>0</v>
      </c>
    </row>
    <row r="109" spans="1:33" ht="35.1" customHeight="1" x14ac:dyDescent="0.25">
      <c r="A109" s="61">
        <v>108</v>
      </c>
      <c r="B109" s="62" t="s">
        <v>278</v>
      </c>
      <c r="C109" s="61" t="s">
        <v>956</v>
      </c>
      <c r="D109" s="61" t="s">
        <v>456</v>
      </c>
      <c r="E109" s="61" t="s">
        <v>42</v>
      </c>
      <c r="F109" s="62" t="s">
        <v>530</v>
      </c>
      <c r="G109" s="62" t="s">
        <v>525</v>
      </c>
      <c r="H109" s="63" t="s">
        <v>854</v>
      </c>
      <c r="I109" s="29">
        <v>64</v>
      </c>
      <c r="J109" s="64">
        <v>4</v>
      </c>
      <c r="K109" s="64"/>
      <c r="L109" s="29">
        <v>7.1</v>
      </c>
      <c r="M109" s="29"/>
      <c r="N109" s="29"/>
      <c r="O109" s="65" t="s">
        <v>729</v>
      </c>
      <c r="P109" s="70" t="s">
        <v>734</v>
      </c>
      <c r="Q109" s="24" t="s">
        <v>102</v>
      </c>
      <c r="R109" s="54" t="str">
        <f t="shared" si="20"/>
        <v>NARROW</v>
      </c>
      <c r="S109" s="29" t="s">
        <v>102</v>
      </c>
      <c r="T109" s="29" t="s">
        <v>32</v>
      </c>
      <c r="U109" s="29"/>
      <c r="V109" s="22"/>
      <c r="W109" s="45"/>
      <c r="X109" s="75"/>
      <c r="Y109" s="75"/>
      <c r="Z109" s="39">
        <f t="shared" si="17"/>
        <v>1</v>
      </c>
      <c r="AA109" s="39">
        <f t="shared" si="11"/>
        <v>1</v>
      </c>
      <c r="AB109" s="39">
        <f t="shared" si="18"/>
        <v>1</v>
      </c>
      <c r="AC109" s="39" t="str">
        <f t="shared" si="19"/>
        <v>A</v>
      </c>
      <c r="AD109" s="39" t="str">
        <f t="shared" si="13"/>
        <v>B</v>
      </c>
      <c r="AE109" s="39" t="str">
        <f t="shared" si="14"/>
        <v>C</v>
      </c>
      <c r="AF109" s="39" t="str">
        <f t="shared" si="15"/>
        <v>D</v>
      </c>
      <c r="AG109" s="39">
        <f t="shared" si="16"/>
        <v>0</v>
      </c>
    </row>
    <row r="110" spans="1:33" ht="35.1" customHeight="1" x14ac:dyDescent="0.25">
      <c r="A110" s="61">
        <v>109</v>
      </c>
      <c r="B110" s="62" t="s">
        <v>199</v>
      </c>
      <c r="C110" s="61" t="s">
        <v>970</v>
      </c>
      <c r="D110" s="61" t="s">
        <v>371</v>
      </c>
      <c r="E110" s="61" t="s">
        <v>42</v>
      </c>
      <c r="F110" s="62" t="s">
        <v>530</v>
      </c>
      <c r="G110" s="62" t="s">
        <v>525</v>
      </c>
      <c r="H110" s="63" t="s">
        <v>522</v>
      </c>
      <c r="I110" s="29">
        <v>14</v>
      </c>
      <c r="J110" s="64">
        <v>2</v>
      </c>
      <c r="K110" s="64"/>
      <c r="L110" s="29">
        <v>6.8</v>
      </c>
      <c r="M110" s="29"/>
      <c r="N110" s="29"/>
      <c r="O110" s="65" t="s">
        <v>703</v>
      </c>
      <c r="P110" s="70" t="s">
        <v>730</v>
      </c>
      <c r="Q110" s="24" t="s">
        <v>857</v>
      </c>
      <c r="R110" s="54" t="str">
        <f t="shared" si="20"/>
        <v>NARROW</v>
      </c>
      <c r="S110" s="29" t="s">
        <v>27</v>
      </c>
      <c r="T110" s="29" t="s">
        <v>33</v>
      </c>
      <c r="U110" s="29"/>
      <c r="V110" s="22"/>
      <c r="W110" s="45"/>
      <c r="X110" s="75"/>
      <c r="Y110" s="75"/>
      <c r="Z110" s="39">
        <f t="shared" si="17"/>
        <v>1</v>
      </c>
      <c r="AA110" s="39">
        <f t="shared" si="11"/>
        <v>0</v>
      </c>
      <c r="AB110" s="39">
        <f t="shared" si="18"/>
        <v>0</v>
      </c>
      <c r="AC110" s="39">
        <f t="shared" si="19"/>
        <v>0</v>
      </c>
      <c r="AD110" s="39">
        <f t="shared" si="13"/>
        <v>0</v>
      </c>
      <c r="AE110" s="39">
        <f t="shared" si="14"/>
        <v>0</v>
      </c>
      <c r="AF110" s="39">
        <f t="shared" si="15"/>
        <v>0</v>
      </c>
      <c r="AG110" s="39">
        <f t="shared" si="16"/>
        <v>0</v>
      </c>
    </row>
    <row r="111" spans="1:33" ht="35.1" customHeight="1" x14ac:dyDescent="0.25">
      <c r="A111" s="61">
        <v>110</v>
      </c>
      <c r="B111" s="62" t="s">
        <v>165</v>
      </c>
      <c r="C111" s="61" t="s">
        <v>971</v>
      </c>
      <c r="D111" s="61" t="s">
        <v>349</v>
      </c>
      <c r="E111" s="61" t="s">
        <v>42</v>
      </c>
      <c r="F111" s="62" t="s">
        <v>530</v>
      </c>
      <c r="G111" s="62" t="s">
        <v>525</v>
      </c>
      <c r="H111" s="63" t="s">
        <v>522</v>
      </c>
      <c r="I111" s="29">
        <v>14</v>
      </c>
      <c r="J111" s="64">
        <v>2</v>
      </c>
      <c r="K111" s="64"/>
      <c r="L111" s="29">
        <v>7.2</v>
      </c>
      <c r="M111" s="30"/>
      <c r="N111" s="30"/>
      <c r="O111" s="65" t="s">
        <v>881</v>
      </c>
      <c r="P111" s="70" t="s">
        <v>731</v>
      </c>
      <c r="Q111" s="24" t="s">
        <v>102</v>
      </c>
      <c r="R111" s="54" t="str">
        <f t="shared" si="20"/>
        <v>NARROW</v>
      </c>
      <c r="S111" s="29" t="s">
        <v>102</v>
      </c>
      <c r="T111" s="29" t="s">
        <v>32</v>
      </c>
      <c r="U111" s="29"/>
      <c r="V111" s="22"/>
      <c r="W111" s="45"/>
      <c r="X111" s="75"/>
      <c r="Y111" s="75"/>
      <c r="Z111" s="39">
        <f t="shared" si="17"/>
        <v>1</v>
      </c>
      <c r="AA111" s="39">
        <f t="shared" si="11"/>
        <v>1</v>
      </c>
      <c r="AB111" s="39">
        <f t="shared" si="18"/>
        <v>1</v>
      </c>
      <c r="AC111" s="39" t="str">
        <f t="shared" si="19"/>
        <v>A</v>
      </c>
      <c r="AD111" s="39" t="str">
        <f t="shared" si="13"/>
        <v>B</v>
      </c>
      <c r="AE111" s="39" t="str">
        <f t="shared" si="14"/>
        <v>C</v>
      </c>
      <c r="AF111" s="39" t="str">
        <f t="shared" si="15"/>
        <v>D</v>
      </c>
      <c r="AG111" s="39">
        <f t="shared" si="16"/>
        <v>0</v>
      </c>
    </row>
    <row r="112" spans="1:33" ht="35.1" customHeight="1" x14ac:dyDescent="0.25">
      <c r="A112" s="61">
        <v>111</v>
      </c>
      <c r="B112" s="62" t="s">
        <v>166</v>
      </c>
      <c r="C112" s="61" t="s">
        <v>957</v>
      </c>
      <c r="D112" s="61" t="s">
        <v>349</v>
      </c>
      <c r="E112" s="61" t="s">
        <v>42</v>
      </c>
      <c r="F112" s="62" t="s">
        <v>530</v>
      </c>
      <c r="G112" s="62" t="s">
        <v>525</v>
      </c>
      <c r="H112" s="63" t="s">
        <v>522</v>
      </c>
      <c r="I112" s="29">
        <v>6.3</v>
      </c>
      <c r="J112" s="64">
        <v>1</v>
      </c>
      <c r="K112" s="64"/>
      <c r="L112" s="29">
        <v>7</v>
      </c>
      <c r="M112" s="29"/>
      <c r="N112" s="29"/>
      <c r="O112" s="65" t="s">
        <v>689</v>
      </c>
      <c r="P112" s="70" t="s">
        <v>731</v>
      </c>
      <c r="Q112" s="24" t="s">
        <v>857</v>
      </c>
      <c r="R112" s="54" t="str">
        <f t="shared" si="20"/>
        <v>NARROW</v>
      </c>
      <c r="S112" s="29" t="s">
        <v>27</v>
      </c>
      <c r="T112" s="29" t="s">
        <v>32</v>
      </c>
      <c r="U112" s="29"/>
      <c r="V112" s="22"/>
      <c r="W112" s="45"/>
      <c r="X112" s="75"/>
      <c r="Y112" s="75"/>
      <c r="Z112" s="39">
        <f t="shared" si="17"/>
        <v>1</v>
      </c>
      <c r="AA112" s="39">
        <f t="shared" si="11"/>
        <v>1</v>
      </c>
      <c r="AB112" s="39">
        <f t="shared" si="18"/>
        <v>0</v>
      </c>
      <c r="AC112" s="39">
        <f t="shared" ref="AC112:AC143" si="21">IF(Z112+AB112=2,"A",0)</f>
        <v>0</v>
      </c>
      <c r="AD112" s="39" t="str">
        <f t="shared" si="13"/>
        <v>B</v>
      </c>
      <c r="AE112" s="39">
        <f t="shared" si="14"/>
        <v>0</v>
      </c>
      <c r="AF112" s="39">
        <f t="shared" si="15"/>
        <v>0</v>
      </c>
      <c r="AG112" s="39">
        <f t="shared" si="16"/>
        <v>0</v>
      </c>
    </row>
    <row r="113" spans="1:35" ht="35.1" customHeight="1" x14ac:dyDescent="0.25">
      <c r="A113" s="61">
        <v>112</v>
      </c>
      <c r="B113" s="62" t="s">
        <v>172</v>
      </c>
      <c r="C113" s="61" t="s">
        <v>958</v>
      </c>
      <c r="D113" s="61" t="s">
        <v>349</v>
      </c>
      <c r="E113" s="61" t="s">
        <v>42</v>
      </c>
      <c r="F113" s="62" t="s">
        <v>530</v>
      </c>
      <c r="G113" s="62" t="s">
        <v>525</v>
      </c>
      <c r="H113" s="63" t="s">
        <v>522</v>
      </c>
      <c r="I113" s="29">
        <v>14</v>
      </c>
      <c r="J113" s="64">
        <v>2</v>
      </c>
      <c r="K113" s="64">
        <v>6.1</v>
      </c>
      <c r="L113" s="29">
        <v>7.2</v>
      </c>
      <c r="M113" s="29"/>
      <c r="N113" s="29"/>
      <c r="O113" s="65" t="s">
        <v>691</v>
      </c>
      <c r="P113" s="70" t="s">
        <v>731</v>
      </c>
      <c r="Q113" s="24" t="s">
        <v>857</v>
      </c>
      <c r="R113" s="54" t="str">
        <f t="shared" si="20"/>
        <v>NARROW</v>
      </c>
      <c r="S113" s="29" t="s">
        <v>27</v>
      </c>
      <c r="T113" s="29" t="s">
        <v>32</v>
      </c>
      <c r="U113" s="29"/>
      <c r="V113" s="22"/>
      <c r="W113" s="45"/>
      <c r="X113" s="75"/>
      <c r="Y113" s="75"/>
      <c r="Z113" s="39">
        <f t="shared" si="17"/>
        <v>1</v>
      </c>
      <c r="AA113" s="39">
        <f t="shared" si="11"/>
        <v>1</v>
      </c>
      <c r="AB113" s="39">
        <f t="shared" si="18"/>
        <v>0</v>
      </c>
      <c r="AC113" s="39">
        <f t="shared" si="21"/>
        <v>0</v>
      </c>
      <c r="AD113" s="39" t="str">
        <f t="shared" si="13"/>
        <v>B</v>
      </c>
      <c r="AE113" s="39">
        <f t="shared" si="14"/>
        <v>0</v>
      </c>
      <c r="AF113" s="39">
        <f t="shared" si="15"/>
        <v>0</v>
      </c>
      <c r="AG113" s="39">
        <f t="shared" si="16"/>
        <v>0</v>
      </c>
    </row>
    <row r="114" spans="1:35" ht="35.1" customHeight="1" x14ac:dyDescent="0.25">
      <c r="A114" s="61">
        <v>113</v>
      </c>
      <c r="B114" s="62" t="s">
        <v>110</v>
      </c>
      <c r="C114" s="61" t="s">
        <v>959</v>
      </c>
      <c r="D114" s="24" t="s">
        <v>287</v>
      </c>
      <c r="E114" s="61" t="s">
        <v>42</v>
      </c>
      <c r="F114" s="62" t="s">
        <v>467</v>
      </c>
      <c r="G114" s="62" t="s">
        <v>468</v>
      </c>
      <c r="H114" s="63" t="s">
        <v>40</v>
      </c>
      <c r="I114" s="29">
        <v>39.799999999999997</v>
      </c>
      <c r="J114" s="64">
        <v>1</v>
      </c>
      <c r="K114" s="64"/>
      <c r="L114" s="29">
        <v>4.0999999999999996</v>
      </c>
      <c r="M114" s="29">
        <v>1994</v>
      </c>
      <c r="N114" s="29"/>
      <c r="O114" s="65" t="s">
        <v>644</v>
      </c>
      <c r="P114" s="70" t="s">
        <v>753</v>
      </c>
      <c r="Q114" s="24" t="s">
        <v>857</v>
      </c>
      <c r="R114" s="54" t="str">
        <f t="shared" si="20"/>
        <v>NARROW</v>
      </c>
      <c r="S114" s="29" t="s">
        <v>27</v>
      </c>
      <c r="T114" s="29" t="s">
        <v>32</v>
      </c>
      <c r="U114" s="29"/>
      <c r="V114" s="24"/>
      <c r="W114" s="47"/>
      <c r="X114" s="77"/>
      <c r="Y114" s="77"/>
      <c r="Z114" s="39">
        <f t="shared" si="17"/>
        <v>1</v>
      </c>
      <c r="AA114" s="39">
        <f t="shared" si="11"/>
        <v>1</v>
      </c>
      <c r="AB114" s="39">
        <f t="shared" si="18"/>
        <v>0</v>
      </c>
      <c r="AC114" s="39">
        <f t="shared" si="21"/>
        <v>0</v>
      </c>
      <c r="AD114" s="39" t="str">
        <f t="shared" si="13"/>
        <v>B</v>
      </c>
      <c r="AE114" s="39">
        <f t="shared" si="14"/>
        <v>0</v>
      </c>
      <c r="AF114" s="39">
        <f t="shared" si="15"/>
        <v>0</v>
      </c>
      <c r="AG114" s="39">
        <f t="shared" si="16"/>
        <v>0</v>
      </c>
      <c r="AI114" s="1">
        <f>I114</f>
        <v>39.799999999999997</v>
      </c>
    </row>
    <row r="115" spans="1:35" ht="35.1" customHeight="1" x14ac:dyDescent="0.25">
      <c r="A115" s="61">
        <v>114</v>
      </c>
      <c r="B115" s="62" t="s">
        <v>111</v>
      </c>
      <c r="C115" s="61" t="s">
        <v>972</v>
      </c>
      <c r="D115" s="61" t="s">
        <v>288</v>
      </c>
      <c r="E115" s="61" t="s">
        <v>42</v>
      </c>
      <c r="F115" s="62" t="s">
        <v>111</v>
      </c>
      <c r="G115" s="62" t="s">
        <v>469</v>
      </c>
      <c r="H115" s="63" t="s">
        <v>40</v>
      </c>
      <c r="I115" s="29">
        <v>36.5</v>
      </c>
      <c r="J115" s="64">
        <v>1</v>
      </c>
      <c r="K115" s="64">
        <v>36.5</v>
      </c>
      <c r="L115" s="29">
        <v>4.75</v>
      </c>
      <c r="M115" s="30"/>
      <c r="N115" s="30"/>
      <c r="O115" s="65" t="s">
        <v>645</v>
      </c>
      <c r="P115" s="70" t="s">
        <v>753</v>
      </c>
      <c r="Q115" s="24" t="s">
        <v>102</v>
      </c>
      <c r="R115" s="54" t="str">
        <f t="shared" si="20"/>
        <v>NARROW</v>
      </c>
      <c r="S115" s="29" t="s">
        <v>102</v>
      </c>
      <c r="T115" s="29" t="s">
        <v>32</v>
      </c>
      <c r="U115" s="29"/>
      <c r="V115" s="22"/>
      <c r="W115" s="45"/>
      <c r="X115" s="75"/>
      <c r="Y115" s="75"/>
      <c r="Z115" s="39">
        <f t="shared" si="17"/>
        <v>1</v>
      </c>
      <c r="AA115" s="39">
        <f t="shared" si="11"/>
        <v>1</v>
      </c>
      <c r="AB115" s="39">
        <f t="shared" si="18"/>
        <v>1</v>
      </c>
      <c r="AC115" s="39" t="str">
        <f t="shared" si="21"/>
        <v>A</v>
      </c>
      <c r="AD115" s="39" t="str">
        <f t="shared" si="13"/>
        <v>B</v>
      </c>
      <c r="AE115" s="39" t="str">
        <f t="shared" si="14"/>
        <v>C</v>
      </c>
      <c r="AF115" s="39" t="str">
        <f t="shared" si="15"/>
        <v>D</v>
      </c>
      <c r="AG115" s="39">
        <f t="shared" si="16"/>
        <v>0</v>
      </c>
      <c r="AI115" s="1">
        <f>I115</f>
        <v>36.5</v>
      </c>
    </row>
    <row r="116" spans="1:35" ht="35.1" customHeight="1" x14ac:dyDescent="0.25">
      <c r="A116" s="61">
        <v>115</v>
      </c>
      <c r="B116" s="70" t="s">
        <v>204</v>
      </c>
      <c r="C116" s="64" t="s">
        <v>948</v>
      </c>
      <c r="D116" s="64" t="s">
        <v>288</v>
      </c>
      <c r="E116" s="64" t="s">
        <v>42</v>
      </c>
      <c r="F116" s="70" t="s">
        <v>187</v>
      </c>
      <c r="G116" s="70" t="s">
        <v>572</v>
      </c>
      <c r="H116" s="64" t="s">
        <v>522</v>
      </c>
      <c r="I116" s="64">
        <v>14.85</v>
      </c>
      <c r="J116" s="64">
        <v>2</v>
      </c>
      <c r="K116" s="64">
        <v>7</v>
      </c>
      <c r="L116" s="64">
        <v>7</v>
      </c>
      <c r="M116" s="29"/>
      <c r="N116" s="29"/>
      <c r="O116" s="70" t="s">
        <v>709</v>
      </c>
      <c r="P116" s="70" t="s">
        <v>730</v>
      </c>
      <c r="Q116" s="24" t="s">
        <v>857</v>
      </c>
      <c r="R116" s="54" t="str">
        <f t="shared" si="20"/>
        <v>NARROW</v>
      </c>
      <c r="S116" s="29" t="s">
        <v>27</v>
      </c>
      <c r="T116" s="29" t="s">
        <v>33</v>
      </c>
      <c r="U116" s="29"/>
      <c r="V116" s="29"/>
      <c r="W116" s="46"/>
      <c r="X116" s="76"/>
      <c r="Y116" s="76"/>
      <c r="Z116" s="39">
        <f t="shared" si="17"/>
        <v>1</v>
      </c>
      <c r="AA116" s="39">
        <f t="shared" si="11"/>
        <v>0</v>
      </c>
      <c r="AB116" s="39">
        <f t="shared" si="18"/>
        <v>0</v>
      </c>
      <c r="AC116" s="39">
        <f t="shared" si="21"/>
        <v>0</v>
      </c>
      <c r="AD116" s="39">
        <f t="shared" si="13"/>
        <v>0</v>
      </c>
      <c r="AE116" s="39">
        <f t="shared" si="14"/>
        <v>0</v>
      </c>
      <c r="AF116" s="39">
        <f t="shared" si="15"/>
        <v>0</v>
      </c>
      <c r="AG116" s="39">
        <f t="shared" si="16"/>
        <v>0</v>
      </c>
    </row>
    <row r="117" spans="1:35" ht="35.1" customHeight="1" x14ac:dyDescent="0.25">
      <c r="A117" s="61">
        <v>116</v>
      </c>
      <c r="B117" s="70" t="s">
        <v>205</v>
      </c>
      <c r="C117" s="64" t="s">
        <v>973</v>
      </c>
      <c r="D117" s="64" t="s">
        <v>288</v>
      </c>
      <c r="E117" s="64" t="s">
        <v>42</v>
      </c>
      <c r="F117" s="70" t="s">
        <v>205</v>
      </c>
      <c r="G117" s="70" t="s">
        <v>572</v>
      </c>
      <c r="H117" s="64" t="s">
        <v>522</v>
      </c>
      <c r="I117" s="64">
        <v>5.8</v>
      </c>
      <c r="J117" s="64">
        <v>1</v>
      </c>
      <c r="K117" s="64">
        <v>5.2</v>
      </c>
      <c r="L117" s="64">
        <v>6.8</v>
      </c>
      <c r="M117" s="29"/>
      <c r="N117" s="29"/>
      <c r="O117" s="70" t="s">
        <v>710</v>
      </c>
      <c r="P117" s="70" t="s">
        <v>730</v>
      </c>
      <c r="Q117" s="24" t="s">
        <v>857</v>
      </c>
      <c r="R117" s="54" t="str">
        <f t="shared" si="20"/>
        <v>NARROW</v>
      </c>
      <c r="S117" s="29" t="s">
        <v>27</v>
      </c>
      <c r="T117" s="29" t="s">
        <v>33</v>
      </c>
      <c r="U117" s="29"/>
      <c r="V117" s="29"/>
      <c r="W117" s="46"/>
      <c r="X117" s="76"/>
      <c r="Y117" s="76"/>
      <c r="Z117" s="39">
        <f t="shared" si="17"/>
        <v>1</v>
      </c>
      <c r="AA117" s="39">
        <f t="shared" si="11"/>
        <v>0</v>
      </c>
      <c r="AB117" s="39">
        <f t="shared" si="18"/>
        <v>0</v>
      </c>
      <c r="AC117" s="39">
        <f t="shared" si="21"/>
        <v>0</v>
      </c>
      <c r="AD117" s="39">
        <f t="shared" si="13"/>
        <v>0</v>
      </c>
      <c r="AE117" s="39">
        <f t="shared" si="14"/>
        <v>0</v>
      </c>
      <c r="AF117" s="39">
        <f t="shared" si="15"/>
        <v>0</v>
      </c>
      <c r="AG117" s="39">
        <f t="shared" si="16"/>
        <v>0</v>
      </c>
    </row>
    <row r="118" spans="1:35" ht="35.1" customHeight="1" x14ac:dyDescent="0.25">
      <c r="A118" s="61">
        <v>117</v>
      </c>
      <c r="B118" s="70" t="s">
        <v>206</v>
      </c>
      <c r="C118" s="64" t="s">
        <v>974</v>
      </c>
      <c r="D118" s="64" t="s">
        <v>376</v>
      </c>
      <c r="E118" s="64" t="s">
        <v>42</v>
      </c>
      <c r="F118" s="70" t="s">
        <v>573</v>
      </c>
      <c r="G118" s="70" t="s">
        <v>16</v>
      </c>
      <c r="H118" s="64" t="s">
        <v>522</v>
      </c>
      <c r="I118" s="64">
        <v>7.1</v>
      </c>
      <c r="J118" s="64">
        <v>1</v>
      </c>
      <c r="K118" s="64"/>
      <c r="L118" s="64">
        <v>7.2</v>
      </c>
      <c r="M118" s="30"/>
      <c r="N118" s="30"/>
      <c r="O118" s="70" t="s">
        <v>69</v>
      </c>
      <c r="P118" s="70" t="s">
        <v>730</v>
      </c>
      <c r="Q118" s="24" t="s">
        <v>857</v>
      </c>
      <c r="R118" s="54" t="str">
        <f t="shared" si="20"/>
        <v>NARROW</v>
      </c>
      <c r="S118" s="29" t="s">
        <v>27</v>
      </c>
      <c r="T118" s="29" t="s">
        <v>33</v>
      </c>
      <c r="U118" s="29"/>
      <c r="V118" s="29"/>
      <c r="W118" s="46"/>
      <c r="X118" s="76"/>
      <c r="Y118" s="76"/>
      <c r="Z118" s="39">
        <f t="shared" si="17"/>
        <v>1</v>
      </c>
      <c r="AA118" s="39">
        <f t="shared" si="11"/>
        <v>0</v>
      </c>
      <c r="AB118" s="39">
        <f t="shared" si="18"/>
        <v>0</v>
      </c>
      <c r="AC118" s="39">
        <f t="shared" si="21"/>
        <v>0</v>
      </c>
      <c r="AD118" s="39">
        <f t="shared" si="13"/>
        <v>0</v>
      </c>
      <c r="AE118" s="39">
        <f t="shared" si="14"/>
        <v>0</v>
      </c>
      <c r="AF118" s="39">
        <f t="shared" si="15"/>
        <v>0</v>
      </c>
      <c r="AG118" s="39">
        <f t="shared" si="16"/>
        <v>0</v>
      </c>
    </row>
    <row r="119" spans="1:35" ht="35.1" customHeight="1" x14ac:dyDescent="0.25">
      <c r="A119" s="61">
        <v>118</v>
      </c>
      <c r="B119" s="70" t="s">
        <v>207</v>
      </c>
      <c r="C119" s="64" t="s">
        <v>975</v>
      </c>
      <c r="D119" s="64" t="s">
        <v>377</v>
      </c>
      <c r="E119" s="64" t="s">
        <v>42</v>
      </c>
      <c r="F119" s="70" t="s">
        <v>573</v>
      </c>
      <c r="G119" s="70" t="s">
        <v>16</v>
      </c>
      <c r="H119" s="64" t="s">
        <v>522</v>
      </c>
      <c r="I119" s="64">
        <v>6</v>
      </c>
      <c r="J119" s="61">
        <v>2</v>
      </c>
      <c r="K119" s="61"/>
      <c r="L119" s="61">
        <v>7</v>
      </c>
      <c r="M119" s="29"/>
      <c r="N119" s="29"/>
      <c r="O119" s="70" t="s">
        <v>69</v>
      </c>
      <c r="P119" s="70" t="s">
        <v>730</v>
      </c>
      <c r="Q119" s="24" t="s">
        <v>857</v>
      </c>
      <c r="R119" s="54" t="str">
        <f t="shared" si="20"/>
        <v>NARROW</v>
      </c>
      <c r="S119" s="29" t="s">
        <v>27</v>
      </c>
      <c r="T119" s="29" t="s">
        <v>33</v>
      </c>
      <c r="U119" s="29"/>
      <c r="V119" s="29"/>
      <c r="W119" s="46"/>
      <c r="X119" s="76"/>
      <c r="Y119" s="76"/>
      <c r="Z119" s="39">
        <f t="shared" si="17"/>
        <v>1</v>
      </c>
      <c r="AA119" s="39">
        <f t="shared" si="11"/>
        <v>0</v>
      </c>
      <c r="AB119" s="39">
        <f t="shared" si="18"/>
        <v>0</v>
      </c>
      <c r="AC119" s="39">
        <f t="shared" si="21"/>
        <v>0</v>
      </c>
      <c r="AD119" s="39">
        <f t="shared" si="13"/>
        <v>0</v>
      </c>
      <c r="AE119" s="39">
        <f t="shared" si="14"/>
        <v>0</v>
      </c>
      <c r="AF119" s="39">
        <f t="shared" si="15"/>
        <v>0</v>
      </c>
      <c r="AG119" s="39">
        <f t="shared" si="16"/>
        <v>0</v>
      </c>
    </row>
    <row r="120" spans="1:35" ht="35.1" customHeight="1" x14ac:dyDescent="0.25">
      <c r="A120" s="61">
        <v>119</v>
      </c>
      <c r="B120" s="70" t="s">
        <v>175</v>
      </c>
      <c r="C120" s="64" t="s">
        <v>916</v>
      </c>
      <c r="D120" s="64" t="s">
        <v>354</v>
      </c>
      <c r="E120" s="64" t="s">
        <v>42</v>
      </c>
      <c r="F120" s="70" t="s">
        <v>544</v>
      </c>
      <c r="G120" s="70" t="s">
        <v>545</v>
      </c>
      <c r="H120" s="64" t="s">
        <v>40</v>
      </c>
      <c r="I120" s="64">
        <v>61</v>
      </c>
      <c r="J120" s="61">
        <v>3</v>
      </c>
      <c r="K120" s="61">
        <v>20.5</v>
      </c>
      <c r="L120" s="61">
        <v>3.9</v>
      </c>
      <c r="M120" s="22">
        <v>1964</v>
      </c>
      <c r="N120" s="22"/>
      <c r="O120" s="37" t="s">
        <v>692</v>
      </c>
      <c r="P120" s="70" t="s">
        <v>731</v>
      </c>
      <c r="Q120" s="24" t="s">
        <v>102</v>
      </c>
      <c r="R120" s="54" t="str">
        <f t="shared" si="20"/>
        <v>NARROW</v>
      </c>
      <c r="S120" s="29" t="s">
        <v>102</v>
      </c>
      <c r="T120" s="29" t="s">
        <v>32</v>
      </c>
      <c r="U120" s="29"/>
      <c r="V120" s="29"/>
      <c r="W120" s="46"/>
      <c r="X120" s="76"/>
      <c r="Y120" s="76"/>
      <c r="Z120" s="39">
        <f t="shared" si="17"/>
        <v>1</v>
      </c>
      <c r="AA120" s="39">
        <f t="shared" si="11"/>
        <v>1</v>
      </c>
      <c r="AB120" s="39">
        <f t="shared" si="18"/>
        <v>1</v>
      </c>
      <c r="AC120" s="39" t="str">
        <f t="shared" si="21"/>
        <v>A</v>
      </c>
      <c r="AD120" s="39" t="str">
        <f t="shared" si="13"/>
        <v>B</v>
      </c>
      <c r="AE120" s="39" t="str">
        <f t="shared" si="14"/>
        <v>C</v>
      </c>
      <c r="AF120" s="39" t="str">
        <f t="shared" si="15"/>
        <v>D</v>
      </c>
      <c r="AG120" s="39">
        <f t="shared" si="16"/>
        <v>0</v>
      </c>
      <c r="AI120" s="1">
        <f>I120</f>
        <v>61</v>
      </c>
    </row>
    <row r="121" spans="1:35" ht="35.1" customHeight="1" x14ac:dyDescent="0.25">
      <c r="A121" s="61">
        <v>120</v>
      </c>
      <c r="B121" s="23" t="s">
        <v>176</v>
      </c>
      <c r="C121" s="29" t="s">
        <v>976</v>
      </c>
      <c r="D121" s="29" t="s">
        <v>355</v>
      </c>
      <c r="E121" s="29" t="s">
        <v>42</v>
      </c>
      <c r="F121" s="23" t="s">
        <v>544</v>
      </c>
      <c r="G121" s="23" t="s">
        <v>546</v>
      </c>
      <c r="H121" s="29" t="s">
        <v>854</v>
      </c>
      <c r="I121" s="29">
        <v>17.3</v>
      </c>
      <c r="J121" s="22">
        <v>3</v>
      </c>
      <c r="K121" s="22"/>
      <c r="L121" s="22">
        <v>5.8</v>
      </c>
      <c r="M121" s="30"/>
      <c r="N121" s="30"/>
      <c r="O121" s="37" t="s">
        <v>755</v>
      </c>
      <c r="P121" s="23" t="s">
        <v>731</v>
      </c>
      <c r="Q121" s="24" t="s">
        <v>857</v>
      </c>
      <c r="R121" s="54" t="str">
        <f t="shared" si="20"/>
        <v>NARROW</v>
      </c>
      <c r="S121" s="29" t="s">
        <v>27</v>
      </c>
      <c r="T121" s="29" t="s">
        <v>32</v>
      </c>
      <c r="U121" s="29"/>
      <c r="V121" s="29"/>
      <c r="W121" s="46"/>
      <c r="X121" s="76"/>
      <c r="Y121" s="76"/>
      <c r="Z121" s="39">
        <f t="shared" si="17"/>
        <v>1</v>
      </c>
      <c r="AA121" s="39">
        <f t="shared" si="11"/>
        <v>1</v>
      </c>
      <c r="AB121" s="39">
        <f t="shared" si="18"/>
        <v>0</v>
      </c>
      <c r="AC121" s="39">
        <f t="shared" si="21"/>
        <v>0</v>
      </c>
      <c r="AD121" s="39" t="str">
        <f t="shared" si="13"/>
        <v>B</v>
      </c>
      <c r="AE121" s="39">
        <f t="shared" si="14"/>
        <v>0</v>
      </c>
      <c r="AF121" s="39">
        <f t="shared" si="15"/>
        <v>0</v>
      </c>
      <c r="AG121" s="39">
        <f t="shared" si="16"/>
        <v>0</v>
      </c>
    </row>
    <row r="122" spans="1:35" ht="35.1" customHeight="1" x14ac:dyDescent="0.25">
      <c r="A122" s="61">
        <v>121</v>
      </c>
      <c r="B122" s="23" t="s">
        <v>22</v>
      </c>
      <c r="C122" s="29" t="s">
        <v>916</v>
      </c>
      <c r="D122" s="29" t="s">
        <v>380</v>
      </c>
      <c r="E122" s="22" t="s">
        <v>17</v>
      </c>
      <c r="F122" s="23" t="s">
        <v>578</v>
      </c>
      <c r="G122" s="23" t="s">
        <v>579</v>
      </c>
      <c r="H122" s="29" t="s">
        <v>522</v>
      </c>
      <c r="I122" s="4">
        <v>16.399999999999999</v>
      </c>
      <c r="J122" s="29">
        <v>4</v>
      </c>
      <c r="K122" s="29"/>
      <c r="L122" s="4">
        <v>16.399999999999999</v>
      </c>
      <c r="M122" s="29"/>
      <c r="N122" s="29"/>
      <c r="O122" s="53"/>
      <c r="P122" s="53"/>
      <c r="Q122" s="24"/>
      <c r="R122" s="54" t="str">
        <f t="shared" si="20"/>
        <v>OK</v>
      </c>
      <c r="S122" s="29"/>
      <c r="T122" s="29"/>
      <c r="U122" s="29"/>
      <c r="V122" s="29"/>
      <c r="W122" s="46"/>
      <c r="X122" s="76"/>
      <c r="Y122" s="76"/>
      <c r="Z122" s="39">
        <f t="shared" si="17"/>
        <v>0</v>
      </c>
      <c r="AA122" s="39">
        <f t="shared" si="11"/>
        <v>0</v>
      </c>
      <c r="AB122" s="39">
        <f t="shared" si="18"/>
        <v>0</v>
      </c>
      <c r="AC122" s="39">
        <f t="shared" si="21"/>
        <v>0</v>
      </c>
      <c r="AD122" s="39">
        <f t="shared" si="13"/>
        <v>0</v>
      </c>
      <c r="AE122" s="39">
        <f t="shared" si="14"/>
        <v>0</v>
      </c>
      <c r="AF122" s="39">
        <f t="shared" si="15"/>
        <v>0</v>
      </c>
      <c r="AG122" s="39" t="str">
        <f t="shared" si="16"/>
        <v>E</v>
      </c>
    </row>
    <row r="123" spans="1:35" ht="35.1" customHeight="1" x14ac:dyDescent="0.25">
      <c r="A123" s="61">
        <v>122</v>
      </c>
      <c r="B123" s="23" t="s">
        <v>210</v>
      </c>
      <c r="C123" s="29" t="s">
        <v>977</v>
      </c>
      <c r="D123" s="29" t="s">
        <v>381</v>
      </c>
      <c r="E123" s="22" t="s">
        <v>17</v>
      </c>
      <c r="F123" s="23" t="s">
        <v>54</v>
      </c>
      <c r="G123" s="23" t="s">
        <v>580</v>
      </c>
      <c r="H123" s="29" t="s">
        <v>851</v>
      </c>
      <c r="I123" s="4">
        <v>17.899999999999999</v>
      </c>
      <c r="J123" s="29">
        <v>3</v>
      </c>
      <c r="K123" s="29">
        <v>6</v>
      </c>
      <c r="L123" s="4">
        <v>5.6</v>
      </c>
      <c r="M123" s="29"/>
      <c r="N123" s="29"/>
      <c r="O123" s="53" t="s">
        <v>21</v>
      </c>
      <c r="P123" s="53"/>
      <c r="Q123" s="24" t="s">
        <v>857</v>
      </c>
      <c r="R123" s="54" t="str">
        <f t="shared" si="20"/>
        <v>NARROW</v>
      </c>
      <c r="S123" s="29" t="s">
        <v>27</v>
      </c>
      <c r="T123" s="29" t="s">
        <v>33</v>
      </c>
      <c r="U123" s="29"/>
      <c r="V123" s="29"/>
      <c r="W123" s="46"/>
      <c r="X123" s="76"/>
      <c r="Y123" s="76"/>
      <c r="Z123" s="39">
        <f t="shared" si="17"/>
        <v>1</v>
      </c>
      <c r="AA123" s="39">
        <f t="shared" si="11"/>
        <v>0</v>
      </c>
      <c r="AB123" s="39">
        <f t="shared" si="18"/>
        <v>0</v>
      </c>
      <c r="AC123" s="39">
        <f t="shared" si="21"/>
        <v>0</v>
      </c>
      <c r="AD123" s="39">
        <f t="shared" si="13"/>
        <v>0</v>
      </c>
      <c r="AE123" s="39">
        <f t="shared" si="14"/>
        <v>0</v>
      </c>
      <c r="AF123" s="39">
        <f t="shared" si="15"/>
        <v>0</v>
      </c>
      <c r="AG123" s="39">
        <f t="shared" si="16"/>
        <v>0</v>
      </c>
    </row>
    <row r="124" spans="1:35" ht="35.1" customHeight="1" x14ac:dyDescent="0.25">
      <c r="A124" s="61">
        <v>123</v>
      </c>
      <c r="B124" s="23" t="s">
        <v>211</v>
      </c>
      <c r="C124" s="29" t="s">
        <v>978</v>
      </c>
      <c r="D124" s="29" t="s">
        <v>382</v>
      </c>
      <c r="E124" s="22" t="s">
        <v>17</v>
      </c>
      <c r="F124" s="23"/>
      <c r="G124" s="23"/>
      <c r="H124" s="29" t="s">
        <v>522</v>
      </c>
      <c r="I124" s="29">
        <v>60</v>
      </c>
      <c r="J124" s="29">
        <v>3</v>
      </c>
      <c r="K124" s="29">
        <v>20</v>
      </c>
      <c r="L124" s="29">
        <v>7</v>
      </c>
      <c r="M124" s="30"/>
      <c r="N124" s="30"/>
      <c r="O124" s="23" t="s">
        <v>713</v>
      </c>
      <c r="P124" s="23"/>
      <c r="Q124" s="24"/>
      <c r="R124" s="54" t="str">
        <f t="shared" si="20"/>
        <v>NARROW</v>
      </c>
      <c r="S124" s="29"/>
      <c r="T124" s="29"/>
      <c r="U124" s="29"/>
      <c r="V124" s="29"/>
      <c r="W124" s="46"/>
      <c r="X124" s="76"/>
      <c r="Y124" s="76"/>
      <c r="Z124" s="39">
        <f t="shared" si="17"/>
        <v>1</v>
      </c>
      <c r="AA124" s="39">
        <f t="shared" si="11"/>
        <v>0</v>
      </c>
      <c r="AB124" s="39">
        <f t="shared" si="18"/>
        <v>0</v>
      </c>
      <c r="AC124" s="39">
        <f t="shared" si="21"/>
        <v>0</v>
      </c>
      <c r="AD124" s="39">
        <f t="shared" si="13"/>
        <v>0</v>
      </c>
      <c r="AE124" s="39">
        <f t="shared" si="14"/>
        <v>0</v>
      </c>
      <c r="AF124" s="39">
        <f t="shared" si="15"/>
        <v>0</v>
      </c>
      <c r="AG124" s="39">
        <f t="shared" si="16"/>
        <v>0</v>
      </c>
    </row>
    <row r="125" spans="1:35" ht="35.1" customHeight="1" x14ac:dyDescent="0.25">
      <c r="A125" s="61">
        <v>124</v>
      </c>
      <c r="B125" s="23" t="s">
        <v>212</v>
      </c>
      <c r="C125" s="29" t="s">
        <v>916</v>
      </c>
      <c r="D125" s="29" t="s">
        <v>383</v>
      </c>
      <c r="E125" s="22" t="s">
        <v>17</v>
      </c>
      <c r="F125" s="23" t="s">
        <v>212</v>
      </c>
      <c r="G125" s="23" t="s">
        <v>581</v>
      </c>
      <c r="H125" s="29" t="s">
        <v>15</v>
      </c>
      <c r="I125" s="4">
        <v>25.3</v>
      </c>
      <c r="J125" s="29">
        <v>1</v>
      </c>
      <c r="K125" s="29"/>
      <c r="L125" s="4">
        <v>4</v>
      </c>
      <c r="M125" s="29"/>
      <c r="N125" s="29"/>
      <c r="O125" s="53"/>
      <c r="P125" s="53"/>
      <c r="Q125" s="24"/>
      <c r="R125" s="54" t="str">
        <f t="shared" si="20"/>
        <v>NARROW</v>
      </c>
      <c r="S125" s="29"/>
      <c r="T125" s="29"/>
      <c r="U125" s="29"/>
      <c r="V125" s="29"/>
      <c r="W125" s="46"/>
      <c r="X125" s="76"/>
      <c r="Y125" s="76"/>
      <c r="Z125" s="39">
        <f t="shared" si="17"/>
        <v>1</v>
      </c>
      <c r="AA125" s="39">
        <f t="shared" si="11"/>
        <v>0</v>
      </c>
      <c r="AB125" s="39">
        <f t="shared" si="18"/>
        <v>0</v>
      </c>
      <c r="AC125" s="39">
        <f t="shared" si="21"/>
        <v>0</v>
      </c>
      <c r="AD125" s="39">
        <f t="shared" si="13"/>
        <v>0</v>
      </c>
      <c r="AE125" s="39">
        <f t="shared" si="14"/>
        <v>0</v>
      </c>
      <c r="AF125" s="39">
        <f t="shared" si="15"/>
        <v>0</v>
      </c>
      <c r="AG125" s="39">
        <f t="shared" si="16"/>
        <v>0</v>
      </c>
    </row>
    <row r="126" spans="1:35" ht="35.1" customHeight="1" x14ac:dyDescent="0.25">
      <c r="A126" s="61">
        <v>125</v>
      </c>
      <c r="B126" s="23" t="s">
        <v>213</v>
      </c>
      <c r="C126" s="29" t="s">
        <v>916</v>
      </c>
      <c r="D126" s="29" t="s">
        <v>384</v>
      </c>
      <c r="E126" s="22" t="s">
        <v>17</v>
      </c>
      <c r="F126" s="23" t="s">
        <v>213</v>
      </c>
      <c r="G126" s="23" t="s">
        <v>582</v>
      </c>
      <c r="H126" s="29" t="s">
        <v>522</v>
      </c>
      <c r="I126" s="4">
        <v>19</v>
      </c>
      <c r="J126" s="29">
        <v>2</v>
      </c>
      <c r="K126" s="29"/>
      <c r="L126" s="4">
        <v>4.5</v>
      </c>
      <c r="M126" s="30"/>
      <c r="N126" s="30"/>
      <c r="O126" s="23"/>
      <c r="P126" s="23"/>
      <c r="Q126" s="24"/>
      <c r="R126" s="54" t="str">
        <f t="shared" si="20"/>
        <v>NARROW</v>
      </c>
      <c r="S126" s="29"/>
      <c r="T126" s="29"/>
      <c r="U126" s="29"/>
      <c r="V126" s="29"/>
      <c r="W126" s="46"/>
      <c r="X126" s="76"/>
      <c r="Y126" s="76"/>
      <c r="Z126" s="39">
        <f t="shared" si="17"/>
        <v>1</v>
      </c>
      <c r="AA126" s="39">
        <f t="shared" si="11"/>
        <v>0</v>
      </c>
      <c r="AB126" s="39">
        <f t="shared" si="18"/>
        <v>0</v>
      </c>
      <c r="AC126" s="39">
        <f t="shared" si="21"/>
        <v>0</v>
      </c>
      <c r="AD126" s="39">
        <f t="shared" si="13"/>
        <v>0</v>
      </c>
      <c r="AE126" s="39">
        <f t="shared" si="14"/>
        <v>0</v>
      </c>
      <c r="AF126" s="39">
        <f t="shared" si="15"/>
        <v>0</v>
      </c>
      <c r="AG126" s="39">
        <f t="shared" si="16"/>
        <v>0</v>
      </c>
    </row>
    <row r="127" spans="1:35" ht="35.1" customHeight="1" x14ac:dyDescent="0.25">
      <c r="A127" s="61">
        <v>126</v>
      </c>
      <c r="B127" s="23" t="s">
        <v>214</v>
      </c>
      <c r="C127" s="29" t="s">
        <v>916</v>
      </c>
      <c r="D127" s="29" t="s">
        <v>385</v>
      </c>
      <c r="E127" s="22" t="s">
        <v>17</v>
      </c>
      <c r="F127" s="23" t="s">
        <v>214</v>
      </c>
      <c r="G127" s="23" t="s">
        <v>583</v>
      </c>
      <c r="H127" s="29" t="s">
        <v>522</v>
      </c>
      <c r="I127" s="4">
        <v>51.1</v>
      </c>
      <c r="J127" s="29">
        <v>3</v>
      </c>
      <c r="K127" s="29"/>
      <c r="L127" s="4">
        <v>10.3</v>
      </c>
      <c r="M127" s="29"/>
      <c r="N127" s="29"/>
      <c r="O127" s="23"/>
      <c r="P127" s="23"/>
      <c r="Q127" s="24"/>
      <c r="R127" s="54" t="str">
        <f t="shared" si="20"/>
        <v>OK</v>
      </c>
      <c r="S127" s="29"/>
      <c r="T127" s="29"/>
      <c r="U127" s="29"/>
      <c r="V127" s="43">
        <v>3599</v>
      </c>
      <c r="W127" s="46">
        <v>11</v>
      </c>
      <c r="X127" s="76"/>
      <c r="Y127" s="76"/>
      <c r="Z127" s="39">
        <f t="shared" si="17"/>
        <v>0</v>
      </c>
      <c r="AA127" s="39">
        <f t="shared" si="11"/>
        <v>0</v>
      </c>
      <c r="AB127" s="39">
        <f t="shared" si="18"/>
        <v>0</v>
      </c>
      <c r="AC127" s="39">
        <f t="shared" si="21"/>
        <v>0</v>
      </c>
      <c r="AD127" s="39">
        <f t="shared" si="13"/>
        <v>0</v>
      </c>
      <c r="AE127" s="39">
        <f t="shared" si="14"/>
        <v>0</v>
      </c>
      <c r="AF127" s="39">
        <f t="shared" si="15"/>
        <v>0</v>
      </c>
      <c r="AG127" s="39" t="str">
        <f t="shared" si="16"/>
        <v>E</v>
      </c>
    </row>
    <row r="128" spans="1:35" ht="35.1" customHeight="1" x14ac:dyDescent="0.25">
      <c r="A128" s="61">
        <v>127</v>
      </c>
      <c r="B128" s="23" t="s">
        <v>215</v>
      </c>
      <c r="C128" s="29" t="s">
        <v>979</v>
      </c>
      <c r="D128" s="29" t="s">
        <v>386</v>
      </c>
      <c r="E128" s="22" t="s">
        <v>17</v>
      </c>
      <c r="F128" s="23"/>
      <c r="G128" s="23"/>
      <c r="H128" s="29" t="s">
        <v>522</v>
      </c>
      <c r="I128" s="29">
        <v>12</v>
      </c>
      <c r="J128" s="29">
        <v>1</v>
      </c>
      <c r="K128" s="29">
        <v>4</v>
      </c>
      <c r="L128" s="29">
        <v>9</v>
      </c>
      <c r="M128" s="29"/>
      <c r="N128" s="29"/>
      <c r="O128" s="23" t="s">
        <v>21</v>
      </c>
      <c r="P128" s="23"/>
      <c r="Q128" s="24" t="s">
        <v>27</v>
      </c>
      <c r="R128" s="54" t="str">
        <f t="shared" si="20"/>
        <v>OK</v>
      </c>
      <c r="S128" s="29" t="s">
        <v>27</v>
      </c>
      <c r="T128" s="29" t="s">
        <v>33</v>
      </c>
      <c r="U128" s="29"/>
      <c r="V128" s="29"/>
      <c r="W128" s="46"/>
      <c r="X128" s="76"/>
      <c r="Y128" s="76"/>
      <c r="Z128" s="39">
        <f t="shared" si="17"/>
        <v>0</v>
      </c>
      <c r="AA128" s="39">
        <f t="shared" si="11"/>
        <v>0</v>
      </c>
      <c r="AB128" s="39">
        <f t="shared" si="18"/>
        <v>0</v>
      </c>
      <c r="AC128" s="39">
        <f t="shared" si="21"/>
        <v>0</v>
      </c>
      <c r="AD128" s="39">
        <f t="shared" si="13"/>
        <v>0</v>
      </c>
      <c r="AE128" s="39">
        <f t="shared" si="14"/>
        <v>0</v>
      </c>
      <c r="AF128" s="39">
        <f t="shared" si="15"/>
        <v>0</v>
      </c>
      <c r="AG128" s="39" t="str">
        <f t="shared" si="16"/>
        <v>E</v>
      </c>
    </row>
    <row r="129" spans="1:33" ht="35.1" customHeight="1" x14ac:dyDescent="0.25">
      <c r="A129" s="61">
        <v>128</v>
      </c>
      <c r="B129" s="23" t="s">
        <v>180</v>
      </c>
      <c r="C129" s="29" t="s">
        <v>980</v>
      </c>
      <c r="D129" s="29" t="s">
        <v>358</v>
      </c>
      <c r="E129" s="22" t="s">
        <v>17</v>
      </c>
      <c r="F129" s="23" t="s">
        <v>180</v>
      </c>
      <c r="G129" s="23" t="s">
        <v>552</v>
      </c>
      <c r="H129" s="29" t="s">
        <v>522</v>
      </c>
      <c r="I129" s="29">
        <v>18.600000000000001</v>
      </c>
      <c r="J129" s="29">
        <v>1</v>
      </c>
      <c r="K129" s="29">
        <v>6.6</v>
      </c>
      <c r="L129" s="29">
        <v>7</v>
      </c>
      <c r="M129" s="30"/>
      <c r="N129" s="30"/>
      <c r="O129" s="23" t="s">
        <v>41</v>
      </c>
      <c r="P129" s="23" t="s">
        <v>731</v>
      </c>
      <c r="Q129" s="24" t="s">
        <v>102</v>
      </c>
      <c r="R129" s="54" t="str">
        <f t="shared" si="20"/>
        <v>NARROW</v>
      </c>
      <c r="S129" s="29" t="s">
        <v>102</v>
      </c>
      <c r="T129" s="29" t="s">
        <v>32</v>
      </c>
      <c r="U129" s="29"/>
      <c r="V129" s="29"/>
      <c r="W129" s="46"/>
      <c r="X129" s="76"/>
      <c r="Y129" s="76"/>
      <c r="Z129" s="39">
        <f t="shared" si="17"/>
        <v>1</v>
      </c>
      <c r="AA129" s="39">
        <f t="shared" si="11"/>
        <v>1</v>
      </c>
      <c r="AB129" s="39">
        <f t="shared" si="18"/>
        <v>1</v>
      </c>
      <c r="AC129" s="39" t="str">
        <f t="shared" si="21"/>
        <v>A</v>
      </c>
      <c r="AD129" s="39" t="str">
        <f t="shared" si="13"/>
        <v>B</v>
      </c>
      <c r="AE129" s="39" t="str">
        <f t="shared" si="14"/>
        <v>C</v>
      </c>
      <c r="AF129" s="39" t="str">
        <f t="shared" si="15"/>
        <v>D</v>
      </c>
      <c r="AG129" s="39">
        <f t="shared" si="16"/>
        <v>0</v>
      </c>
    </row>
    <row r="130" spans="1:33" ht="35.1" customHeight="1" x14ac:dyDescent="0.25">
      <c r="A130" s="61">
        <v>129</v>
      </c>
      <c r="B130" s="23" t="s">
        <v>217</v>
      </c>
      <c r="C130" s="29" t="s">
        <v>981</v>
      </c>
      <c r="D130" s="29" t="s">
        <v>388</v>
      </c>
      <c r="E130" s="22" t="s">
        <v>17</v>
      </c>
      <c r="F130" s="23"/>
      <c r="G130" s="23"/>
      <c r="H130" s="29" t="s">
        <v>522</v>
      </c>
      <c r="I130" s="29">
        <v>18.920000000000002</v>
      </c>
      <c r="J130" s="29">
        <v>2</v>
      </c>
      <c r="K130" s="29">
        <v>9.48</v>
      </c>
      <c r="L130" s="29">
        <v>3.7</v>
      </c>
      <c r="M130" s="29"/>
      <c r="N130" s="29"/>
      <c r="O130" s="23" t="s">
        <v>20</v>
      </c>
      <c r="P130" s="23"/>
      <c r="Q130" s="24" t="s">
        <v>857</v>
      </c>
      <c r="R130" s="54" t="str">
        <f t="shared" ref="R130:R146" si="22">IF(L130&lt;7.3,"NARROW","OK")</f>
        <v>NARROW</v>
      </c>
      <c r="S130" s="29" t="s">
        <v>27</v>
      </c>
      <c r="T130" s="29" t="s">
        <v>33</v>
      </c>
      <c r="U130" s="29"/>
      <c r="V130" s="29"/>
      <c r="W130" s="46"/>
      <c r="X130" s="76"/>
      <c r="Y130" s="76"/>
      <c r="Z130" s="39">
        <f t="shared" si="17"/>
        <v>1</v>
      </c>
      <c r="AA130" s="39">
        <f t="shared" ref="AA130:AA193" si="23">IF(T130= "UNSAFE",1,0)</f>
        <v>0</v>
      </c>
      <c r="AB130" s="39">
        <f t="shared" si="18"/>
        <v>0</v>
      </c>
      <c r="AC130" s="39">
        <f t="shared" si="21"/>
        <v>0</v>
      </c>
      <c r="AD130" s="39">
        <f t="shared" ref="AD130:AD193" si="24">IF(Z130+AA130=2,"B",0)</f>
        <v>0</v>
      </c>
      <c r="AE130" s="39">
        <f t="shared" ref="AE130:AE193" si="25">IF(AB130+AA130=2,"C",0)</f>
        <v>0</v>
      </c>
      <c r="AF130" s="39">
        <f t="shared" ref="AF130:AF193" si="26">IF(Z130+AB130+AA130=3,"D",0)</f>
        <v>0</v>
      </c>
      <c r="AG130" s="39">
        <f t="shared" ref="AG130:AG193" si="27">IF(Z130+AB130+AA130=0,"E",0)</f>
        <v>0</v>
      </c>
    </row>
    <row r="131" spans="1:33" ht="35.1" customHeight="1" x14ac:dyDescent="0.25">
      <c r="A131" s="61">
        <v>130</v>
      </c>
      <c r="B131" s="23" t="s">
        <v>756</v>
      </c>
      <c r="C131" s="29" t="s">
        <v>916</v>
      </c>
      <c r="D131" s="29" t="s">
        <v>389</v>
      </c>
      <c r="E131" s="22" t="s">
        <v>17</v>
      </c>
      <c r="F131" s="23" t="s">
        <v>218</v>
      </c>
      <c r="G131" s="23" t="s">
        <v>585</v>
      </c>
      <c r="H131" s="29" t="s">
        <v>522</v>
      </c>
      <c r="I131" s="4">
        <v>23</v>
      </c>
      <c r="J131" s="29">
        <v>3</v>
      </c>
      <c r="K131" s="29"/>
      <c r="L131" s="4">
        <v>6.9</v>
      </c>
      <c r="M131" s="30"/>
      <c r="N131" s="30"/>
      <c r="O131" s="23" t="s">
        <v>757</v>
      </c>
      <c r="P131" s="23" t="s">
        <v>730</v>
      </c>
      <c r="Q131" s="24" t="s">
        <v>857</v>
      </c>
      <c r="R131" s="54" t="str">
        <f t="shared" si="22"/>
        <v>NARROW</v>
      </c>
      <c r="S131" s="29"/>
      <c r="T131" s="29"/>
      <c r="U131" s="29"/>
      <c r="V131" s="29"/>
      <c r="W131" s="46"/>
      <c r="X131" s="76"/>
      <c r="Y131" s="76"/>
      <c r="Z131" s="39">
        <f t="shared" ref="Z131:Z194" si="28">IF(R131="NARROW",1,0)</f>
        <v>1</v>
      </c>
      <c r="AA131" s="39">
        <f t="shared" si="23"/>
        <v>0</v>
      </c>
      <c r="AB131" s="39">
        <f t="shared" ref="AB131:AB194" si="29">IF(S131= "POOR",1,0)</f>
        <v>0</v>
      </c>
      <c r="AC131" s="39">
        <f t="shared" si="21"/>
        <v>0</v>
      </c>
      <c r="AD131" s="39">
        <f t="shared" si="24"/>
        <v>0</v>
      </c>
      <c r="AE131" s="39">
        <f t="shared" si="25"/>
        <v>0</v>
      </c>
      <c r="AF131" s="39">
        <f t="shared" si="26"/>
        <v>0</v>
      </c>
      <c r="AG131" s="39">
        <f t="shared" si="27"/>
        <v>0</v>
      </c>
    </row>
    <row r="132" spans="1:33" ht="35.1" customHeight="1" x14ac:dyDescent="0.25">
      <c r="A132" s="61">
        <v>131</v>
      </c>
      <c r="B132" s="23" t="s">
        <v>219</v>
      </c>
      <c r="C132" s="29" t="s">
        <v>916</v>
      </c>
      <c r="D132" s="29" t="s">
        <v>390</v>
      </c>
      <c r="E132" s="22" t="s">
        <v>17</v>
      </c>
      <c r="F132" s="23" t="s">
        <v>586</v>
      </c>
      <c r="G132" s="23" t="s">
        <v>586</v>
      </c>
      <c r="H132" s="29" t="s">
        <v>522</v>
      </c>
      <c r="I132" s="4">
        <v>22.1</v>
      </c>
      <c r="J132" s="29">
        <v>1</v>
      </c>
      <c r="K132" s="29"/>
      <c r="L132" s="4">
        <v>11.9</v>
      </c>
      <c r="M132" s="29"/>
      <c r="N132" s="29"/>
      <c r="O132" s="23"/>
      <c r="P132" s="23"/>
      <c r="Q132" s="24"/>
      <c r="R132" s="54" t="str">
        <f t="shared" si="22"/>
        <v>OK</v>
      </c>
      <c r="S132" s="29"/>
      <c r="T132" s="29"/>
      <c r="U132" s="29"/>
      <c r="V132" s="29"/>
      <c r="W132" s="46"/>
      <c r="X132" s="76"/>
      <c r="Y132" s="76"/>
      <c r="Z132" s="39">
        <f t="shared" si="28"/>
        <v>0</v>
      </c>
      <c r="AA132" s="39">
        <f t="shared" si="23"/>
        <v>0</v>
      </c>
      <c r="AB132" s="39">
        <f t="shared" si="29"/>
        <v>0</v>
      </c>
      <c r="AC132" s="39">
        <f t="shared" si="21"/>
        <v>0</v>
      </c>
      <c r="AD132" s="39">
        <f t="shared" si="24"/>
        <v>0</v>
      </c>
      <c r="AE132" s="39">
        <f t="shared" si="25"/>
        <v>0</v>
      </c>
      <c r="AF132" s="39">
        <f t="shared" si="26"/>
        <v>0</v>
      </c>
      <c r="AG132" s="39" t="str">
        <f t="shared" si="27"/>
        <v>E</v>
      </c>
    </row>
    <row r="133" spans="1:33" ht="35.1" customHeight="1" x14ac:dyDescent="0.25">
      <c r="A133" s="61">
        <v>132</v>
      </c>
      <c r="B133" s="23" t="s">
        <v>18</v>
      </c>
      <c r="C133" s="29" t="s">
        <v>982</v>
      </c>
      <c r="D133" s="29" t="s">
        <v>454</v>
      </c>
      <c r="E133" s="22" t="s">
        <v>17</v>
      </c>
      <c r="F133" s="23"/>
      <c r="G133" s="23"/>
      <c r="H133" s="29" t="s">
        <v>851</v>
      </c>
      <c r="I133" s="29">
        <v>32.700000000000003</v>
      </c>
      <c r="J133" s="29">
        <v>1</v>
      </c>
      <c r="K133" s="29">
        <v>32.700000000000003</v>
      </c>
      <c r="L133" s="29">
        <v>2.78</v>
      </c>
      <c r="M133" s="29"/>
      <c r="N133" s="29"/>
      <c r="O133" s="23" t="s">
        <v>726</v>
      </c>
      <c r="P133" s="23" t="s">
        <v>730</v>
      </c>
      <c r="Q133" s="24"/>
      <c r="R133" s="54" t="str">
        <f t="shared" si="22"/>
        <v>NARROW</v>
      </c>
      <c r="S133" s="29" t="s">
        <v>102</v>
      </c>
      <c r="T133" s="29" t="s">
        <v>32</v>
      </c>
      <c r="U133" s="29"/>
      <c r="V133" s="29"/>
      <c r="W133" s="46"/>
      <c r="X133" s="76"/>
      <c r="Y133" s="76"/>
      <c r="Z133" s="39">
        <f t="shared" si="28"/>
        <v>1</v>
      </c>
      <c r="AA133" s="39">
        <f t="shared" si="23"/>
        <v>1</v>
      </c>
      <c r="AB133" s="39">
        <f t="shared" si="29"/>
        <v>1</v>
      </c>
      <c r="AC133" s="39" t="str">
        <f t="shared" si="21"/>
        <v>A</v>
      </c>
      <c r="AD133" s="39" t="str">
        <f t="shared" si="24"/>
        <v>B</v>
      </c>
      <c r="AE133" s="39" t="str">
        <f t="shared" si="25"/>
        <v>C</v>
      </c>
      <c r="AF133" s="39" t="str">
        <f t="shared" si="26"/>
        <v>D</v>
      </c>
      <c r="AG133" s="39">
        <f t="shared" si="27"/>
        <v>0</v>
      </c>
    </row>
    <row r="134" spans="1:33" ht="35.1" customHeight="1" x14ac:dyDescent="0.25">
      <c r="A134" s="61">
        <v>133</v>
      </c>
      <c r="B134" s="23" t="s">
        <v>221</v>
      </c>
      <c r="C134" s="29" t="s">
        <v>986</v>
      </c>
      <c r="D134" s="29" t="s">
        <v>392</v>
      </c>
      <c r="E134" s="22" t="s">
        <v>17</v>
      </c>
      <c r="F134" s="23" t="s">
        <v>221</v>
      </c>
      <c r="G134" s="23" t="s">
        <v>588</v>
      </c>
      <c r="H134" s="29" t="s">
        <v>522</v>
      </c>
      <c r="I134" s="4">
        <v>14.2</v>
      </c>
      <c r="J134" s="29">
        <v>3</v>
      </c>
      <c r="K134" s="29"/>
      <c r="L134" s="4">
        <v>6.8</v>
      </c>
      <c r="M134" s="30"/>
      <c r="N134" s="30"/>
      <c r="O134" s="23"/>
      <c r="P134" s="23"/>
      <c r="Q134" s="24"/>
      <c r="R134" s="54" t="str">
        <f t="shared" si="22"/>
        <v>NARROW</v>
      </c>
      <c r="S134" s="29"/>
      <c r="T134" s="29"/>
      <c r="U134" s="29"/>
      <c r="V134" s="43">
        <v>2925</v>
      </c>
      <c r="W134" s="46">
        <v>6</v>
      </c>
      <c r="X134" s="76"/>
      <c r="Y134" s="76"/>
      <c r="Z134" s="39">
        <f t="shared" si="28"/>
        <v>1</v>
      </c>
      <c r="AA134" s="39">
        <f t="shared" si="23"/>
        <v>0</v>
      </c>
      <c r="AB134" s="39">
        <f t="shared" si="29"/>
        <v>0</v>
      </c>
      <c r="AC134" s="39">
        <f t="shared" si="21"/>
        <v>0</v>
      </c>
      <c r="AD134" s="39">
        <f t="shared" si="24"/>
        <v>0</v>
      </c>
      <c r="AE134" s="39">
        <f t="shared" si="25"/>
        <v>0</v>
      </c>
      <c r="AF134" s="39">
        <f t="shared" si="26"/>
        <v>0</v>
      </c>
      <c r="AG134" s="39">
        <f t="shared" si="27"/>
        <v>0</v>
      </c>
    </row>
    <row r="135" spans="1:33" ht="35.1" customHeight="1" x14ac:dyDescent="0.25">
      <c r="A135" s="61">
        <v>134</v>
      </c>
      <c r="B135" s="23" t="s">
        <v>222</v>
      </c>
      <c r="C135" s="29" t="s">
        <v>987</v>
      </c>
      <c r="D135" s="29" t="s">
        <v>393</v>
      </c>
      <c r="E135" s="22" t="s">
        <v>17</v>
      </c>
      <c r="F135" s="23" t="s">
        <v>222</v>
      </c>
      <c r="G135" s="23" t="s">
        <v>589</v>
      </c>
      <c r="H135" s="29" t="s">
        <v>522</v>
      </c>
      <c r="I135" s="4">
        <v>12</v>
      </c>
      <c r="J135" s="29">
        <v>1</v>
      </c>
      <c r="K135" s="29"/>
      <c r="L135" s="4">
        <v>7.3</v>
      </c>
      <c r="M135" s="29"/>
      <c r="N135" s="29"/>
      <c r="O135" s="23"/>
      <c r="P135" s="23"/>
      <c r="Q135" s="24"/>
      <c r="R135" s="54" t="str">
        <f t="shared" si="22"/>
        <v>OK</v>
      </c>
      <c r="S135" s="29"/>
      <c r="T135" s="29"/>
      <c r="U135" s="29"/>
      <c r="V135" s="43">
        <v>8313</v>
      </c>
      <c r="W135" s="46">
        <v>7</v>
      </c>
      <c r="X135" s="76"/>
      <c r="Y135" s="76"/>
      <c r="Z135" s="39">
        <f t="shared" si="28"/>
        <v>0</v>
      </c>
      <c r="AA135" s="39">
        <f t="shared" si="23"/>
        <v>0</v>
      </c>
      <c r="AB135" s="39">
        <f t="shared" si="29"/>
        <v>0</v>
      </c>
      <c r="AC135" s="39">
        <f t="shared" si="21"/>
        <v>0</v>
      </c>
      <c r="AD135" s="39">
        <f t="shared" si="24"/>
        <v>0</v>
      </c>
      <c r="AE135" s="39">
        <f t="shared" si="25"/>
        <v>0</v>
      </c>
      <c r="AF135" s="39">
        <f t="shared" si="26"/>
        <v>0</v>
      </c>
      <c r="AG135" s="39" t="str">
        <f t="shared" si="27"/>
        <v>E</v>
      </c>
    </row>
    <row r="136" spans="1:33" ht="35.1" customHeight="1" x14ac:dyDescent="0.25">
      <c r="A136" s="61">
        <v>135</v>
      </c>
      <c r="B136" s="23" t="s">
        <v>18</v>
      </c>
      <c r="C136" s="29" t="s">
        <v>982</v>
      </c>
      <c r="D136" s="29" t="s">
        <v>394</v>
      </c>
      <c r="E136" s="22" t="s">
        <v>17</v>
      </c>
      <c r="F136" s="23"/>
      <c r="G136" s="23"/>
      <c r="H136" s="29" t="s">
        <v>851</v>
      </c>
      <c r="I136" s="29">
        <v>10.4</v>
      </c>
      <c r="J136" s="29">
        <v>1</v>
      </c>
      <c r="K136" s="29">
        <v>10.4</v>
      </c>
      <c r="L136" s="29">
        <v>9.1199999999999992</v>
      </c>
      <c r="M136" s="30"/>
      <c r="N136" s="30"/>
      <c r="O136" s="23"/>
      <c r="P136" s="23"/>
      <c r="Q136" s="24"/>
      <c r="R136" s="54" t="str">
        <f t="shared" si="22"/>
        <v>OK</v>
      </c>
      <c r="S136" s="29"/>
      <c r="T136" s="29"/>
      <c r="U136" s="29"/>
      <c r="V136" s="43">
        <v>6367.9</v>
      </c>
      <c r="W136" s="46">
        <v>1</v>
      </c>
      <c r="X136" s="76"/>
      <c r="Y136" s="76"/>
      <c r="Z136" s="39">
        <f t="shared" si="28"/>
        <v>0</v>
      </c>
      <c r="AA136" s="39">
        <f t="shared" si="23"/>
        <v>0</v>
      </c>
      <c r="AB136" s="39">
        <f t="shared" si="29"/>
        <v>0</v>
      </c>
      <c r="AC136" s="39">
        <f t="shared" si="21"/>
        <v>0</v>
      </c>
      <c r="AD136" s="39">
        <f t="shared" si="24"/>
        <v>0</v>
      </c>
      <c r="AE136" s="39">
        <f t="shared" si="25"/>
        <v>0</v>
      </c>
      <c r="AF136" s="39">
        <f t="shared" si="26"/>
        <v>0</v>
      </c>
      <c r="AG136" s="39" t="str">
        <f t="shared" si="27"/>
        <v>E</v>
      </c>
    </row>
    <row r="137" spans="1:33" ht="35.1" customHeight="1" x14ac:dyDescent="0.25">
      <c r="A137" s="61">
        <v>136</v>
      </c>
      <c r="B137" s="23" t="s">
        <v>758</v>
      </c>
      <c r="C137" s="29" t="s">
        <v>983</v>
      </c>
      <c r="D137" s="29" t="s">
        <v>395</v>
      </c>
      <c r="E137" s="22" t="s">
        <v>17</v>
      </c>
      <c r="F137" s="23" t="s">
        <v>223</v>
      </c>
      <c r="G137" s="23" t="s">
        <v>590</v>
      </c>
      <c r="H137" s="29" t="s">
        <v>522</v>
      </c>
      <c r="I137" s="4">
        <v>20</v>
      </c>
      <c r="J137" s="29">
        <v>2</v>
      </c>
      <c r="K137" s="29"/>
      <c r="L137" s="4">
        <v>6.5</v>
      </c>
      <c r="M137" s="29"/>
      <c r="N137" s="29"/>
      <c r="O137" s="23" t="s">
        <v>21</v>
      </c>
      <c r="P137" s="23" t="s">
        <v>730</v>
      </c>
      <c r="Q137" s="24"/>
      <c r="R137" s="54" t="str">
        <f t="shared" si="22"/>
        <v>NARROW</v>
      </c>
      <c r="S137" s="29"/>
      <c r="T137" s="29"/>
      <c r="U137" s="29"/>
      <c r="V137" s="29"/>
      <c r="W137" s="46"/>
      <c r="X137" s="76"/>
      <c r="Y137" s="76"/>
      <c r="Z137" s="39">
        <f t="shared" si="28"/>
        <v>1</v>
      </c>
      <c r="AA137" s="39">
        <f t="shared" si="23"/>
        <v>0</v>
      </c>
      <c r="AB137" s="39">
        <f t="shared" si="29"/>
        <v>0</v>
      </c>
      <c r="AC137" s="39">
        <f t="shared" si="21"/>
        <v>0</v>
      </c>
      <c r="AD137" s="39">
        <f t="shared" si="24"/>
        <v>0</v>
      </c>
      <c r="AE137" s="39">
        <f t="shared" si="25"/>
        <v>0</v>
      </c>
      <c r="AF137" s="39">
        <f t="shared" si="26"/>
        <v>0</v>
      </c>
      <c r="AG137" s="39">
        <f t="shared" si="27"/>
        <v>0</v>
      </c>
    </row>
    <row r="138" spans="1:33" ht="35.1" customHeight="1" x14ac:dyDescent="0.25">
      <c r="A138" s="61">
        <v>137</v>
      </c>
      <c r="B138" s="23" t="s">
        <v>224</v>
      </c>
      <c r="C138" s="29" t="s">
        <v>988</v>
      </c>
      <c r="D138" s="29" t="s">
        <v>396</v>
      </c>
      <c r="E138" s="22" t="s">
        <v>17</v>
      </c>
      <c r="F138" s="23"/>
      <c r="G138" s="23"/>
      <c r="H138" s="29" t="s">
        <v>522</v>
      </c>
      <c r="I138" s="29">
        <v>16.8</v>
      </c>
      <c r="J138" s="29">
        <v>4</v>
      </c>
      <c r="K138" s="29">
        <v>4.3</v>
      </c>
      <c r="L138" s="29">
        <v>13.5</v>
      </c>
      <c r="M138" s="29"/>
      <c r="N138" s="29"/>
      <c r="O138" s="23" t="s">
        <v>20</v>
      </c>
      <c r="P138" s="23"/>
      <c r="Q138" s="24" t="s">
        <v>27</v>
      </c>
      <c r="R138" s="54" t="str">
        <f t="shared" si="22"/>
        <v>OK</v>
      </c>
      <c r="S138" s="29" t="s">
        <v>27</v>
      </c>
      <c r="T138" s="29" t="s">
        <v>33</v>
      </c>
      <c r="U138" s="29"/>
      <c r="V138" s="29"/>
      <c r="W138" s="46"/>
      <c r="X138" s="76"/>
      <c r="Y138" s="76"/>
      <c r="Z138" s="39">
        <f t="shared" si="28"/>
        <v>0</v>
      </c>
      <c r="AA138" s="39">
        <f t="shared" si="23"/>
        <v>0</v>
      </c>
      <c r="AB138" s="39">
        <f t="shared" si="29"/>
        <v>0</v>
      </c>
      <c r="AC138" s="39">
        <f t="shared" si="21"/>
        <v>0</v>
      </c>
      <c r="AD138" s="39">
        <f t="shared" si="24"/>
        <v>0</v>
      </c>
      <c r="AE138" s="39">
        <f t="shared" si="25"/>
        <v>0</v>
      </c>
      <c r="AF138" s="39">
        <f t="shared" si="26"/>
        <v>0</v>
      </c>
      <c r="AG138" s="39" t="str">
        <f t="shared" si="27"/>
        <v>E</v>
      </c>
    </row>
    <row r="139" spans="1:33" ht="35.1" customHeight="1" x14ac:dyDescent="0.25">
      <c r="A139" s="61">
        <v>138</v>
      </c>
      <c r="B139" s="23" t="s">
        <v>225</v>
      </c>
      <c r="C139" s="29" t="s">
        <v>983</v>
      </c>
      <c r="D139" s="29" t="s">
        <v>397</v>
      </c>
      <c r="E139" s="22" t="s">
        <v>17</v>
      </c>
      <c r="F139" s="23"/>
      <c r="G139" s="23"/>
      <c r="H139" s="29" t="s">
        <v>851</v>
      </c>
      <c r="I139" s="29">
        <v>24</v>
      </c>
      <c r="J139" s="29">
        <v>2</v>
      </c>
      <c r="K139" s="29">
        <v>10</v>
      </c>
      <c r="L139" s="29">
        <v>9.1199999999999992</v>
      </c>
      <c r="M139" s="30"/>
      <c r="N139" s="30"/>
      <c r="O139" s="23" t="s">
        <v>20</v>
      </c>
      <c r="P139" s="23"/>
      <c r="Q139" s="24" t="s">
        <v>27</v>
      </c>
      <c r="R139" s="54" t="str">
        <f t="shared" si="22"/>
        <v>OK</v>
      </c>
      <c r="S139" s="29" t="s">
        <v>27</v>
      </c>
      <c r="T139" s="29" t="s">
        <v>33</v>
      </c>
      <c r="U139" s="29"/>
      <c r="V139" s="29"/>
      <c r="W139" s="46"/>
      <c r="X139" s="76"/>
      <c r="Y139" s="76"/>
      <c r="Z139" s="39">
        <f t="shared" si="28"/>
        <v>0</v>
      </c>
      <c r="AA139" s="39">
        <f t="shared" si="23"/>
        <v>0</v>
      </c>
      <c r="AB139" s="39">
        <f t="shared" si="29"/>
        <v>0</v>
      </c>
      <c r="AC139" s="39">
        <f t="shared" si="21"/>
        <v>0</v>
      </c>
      <c r="AD139" s="39">
        <f t="shared" si="24"/>
        <v>0</v>
      </c>
      <c r="AE139" s="39">
        <f t="shared" si="25"/>
        <v>0</v>
      </c>
      <c r="AF139" s="39">
        <f t="shared" si="26"/>
        <v>0</v>
      </c>
      <c r="AG139" s="39" t="str">
        <f t="shared" si="27"/>
        <v>E</v>
      </c>
    </row>
    <row r="140" spans="1:33" ht="35.1" customHeight="1" x14ac:dyDescent="0.25">
      <c r="A140" s="61">
        <v>139</v>
      </c>
      <c r="B140" s="23" t="s">
        <v>226</v>
      </c>
      <c r="C140" s="29" t="s">
        <v>948</v>
      </c>
      <c r="D140" s="29" t="s">
        <v>398</v>
      </c>
      <c r="E140" s="22" t="s">
        <v>17</v>
      </c>
      <c r="F140" s="23"/>
      <c r="G140" s="23"/>
      <c r="H140" s="29" t="s">
        <v>522</v>
      </c>
      <c r="I140" s="29">
        <v>12.3</v>
      </c>
      <c r="J140" s="29">
        <v>3</v>
      </c>
      <c r="K140" s="29">
        <v>4</v>
      </c>
      <c r="L140" s="29">
        <v>15.6</v>
      </c>
      <c r="M140" s="29"/>
      <c r="N140" s="29"/>
      <c r="O140" s="23" t="s">
        <v>20</v>
      </c>
      <c r="P140" s="23"/>
      <c r="Q140" s="24" t="s">
        <v>27</v>
      </c>
      <c r="R140" s="54" t="str">
        <f t="shared" si="22"/>
        <v>OK</v>
      </c>
      <c r="S140" s="29" t="s">
        <v>27</v>
      </c>
      <c r="T140" s="29" t="s">
        <v>33</v>
      </c>
      <c r="U140" s="29"/>
      <c r="V140" s="29"/>
      <c r="W140" s="46"/>
      <c r="X140" s="76"/>
      <c r="Y140" s="76"/>
      <c r="Z140" s="39">
        <f t="shared" si="28"/>
        <v>0</v>
      </c>
      <c r="AA140" s="39">
        <f t="shared" si="23"/>
        <v>0</v>
      </c>
      <c r="AB140" s="39">
        <f t="shared" si="29"/>
        <v>0</v>
      </c>
      <c r="AC140" s="39">
        <f t="shared" si="21"/>
        <v>0</v>
      </c>
      <c r="AD140" s="39">
        <f t="shared" si="24"/>
        <v>0</v>
      </c>
      <c r="AE140" s="39">
        <f t="shared" si="25"/>
        <v>0</v>
      </c>
      <c r="AF140" s="39">
        <f t="shared" si="26"/>
        <v>0</v>
      </c>
      <c r="AG140" s="39" t="str">
        <f t="shared" si="27"/>
        <v>E</v>
      </c>
    </row>
    <row r="141" spans="1:33" ht="48" customHeight="1" x14ac:dyDescent="0.25">
      <c r="A141" s="61">
        <v>140</v>
      </c>
      <c r="B141" s="23" t="s">
        <v>182</v>
      </c>
      <c r="C141" s="29" t="s">
        <v>984</v>
      </c>
      <c r="D141" s="29" t="s">
        <v>360</v>
      </c>
      <c r="E141" s="22" t="s">
        <v>17</v>
      </c>
      <c r="F141" s="23"/>
      <c r="G141" s="23"/>
      <c r="H141" s="29" t="s">
        <v>522</v>
      </c>
      <c r="I141" s="29">
        <v>12.4</v>
      </c>
      <c r="J141" s="29">
        <v>3</v>
      </c>
      <c r="K141" s="29">
        <v>4.95</v>
      </c>
      <c r="L141" s="29">
        <v>6.8</v>
      </c>
      <c r="M141" s="30"/>
      <c r="N141" s="30"/>
      <c r="O141" s="35" t="s">
        <v>693</v>
      </c>
      <c r="P141" s="23" t="s">
        <v>731</v>
      </c>
      <c r="Q141" s="24" t="s">
        <v>102</v>
      </c>
      <c r="R141" s="54" t="str">
        <f t="shared" si="22"/>
        <v>NARROW</v>
      </c>
      <c r="S141" s="29" t="s">
        <v>102</v>
      </c>
      <c r="T141" s="29" t="s">
        <v>32</v>
      </c>
      <c r="U141" s="29"/>
      <c r="V141" s="29"/>
      <c r="W141" s="46"/>
      <c r="X141" s="76"/>
      <c r="Y141" s="76"/>
      <c r="Z141" s="39">
        <f t="shared" si="28"/>
        <v>1</v>
      </c>
      <c r="AA141" s="39">
        <f t="shared" si="23"/>
        <v>1</v>
      </c>
      <c r="AB141" s="39">
        <f t="shared" si="29"/>
        <v>1</v>
      </c>
      <c r="AC141" s="39" t="str">
        <f t="shared" si="21"/>
        <v>A</v>
      </c>
      <c r="AD141" s="39" t="str">
        <f t="shared" si="24"/>
        <v>B</v>
      </c>
      <c r="AE141" s="39" t="str">
        <f t="shared" si="25"/>
        <v>C</v>
      </c>
      <c r="AF141" s="39" t="str">
        <f t="shared" si="26"/>
        <v>D</v>
      </c>
      <c r="AG141" s="39">
        <f t="shared" si="27"/>
        <v>0</v>
      </c>
    </row>
    <row r="142" spans="1:33" ht="46.5" customHeight="1" x14ac:dyDescent="0.25">
      <c r="A142" s="61">
        <v>141</v>
      </c>
      <c r="B142" s="23" t="s">
        <v>193</v>
      </c>
      <c r="C142" s="29" t="s">
        <v>985</v>
      </c>
      <c r="D142" s="29" t="s">
        <v>367</v>
      </c>
      <c r="E142" s="22" t="s">
        <v>17</v>
      </c>
      <c r="F142" s="23"/>
      <c r="G142" s="23"/>
      <c r="H142" s="29" t="s">
        <v>522</v>
      </c>
      <c r="I142" s="29">
        <v>21.7</v>
      </c>
      <c r="J142" s="29">
        <v>4</v>
      </c>
      <c r="K142" s="29">
        <v>8.61</v>
      </c>
      <c r="L142" s="29">
        <v>12</v>
      </c>
      <c r="M142" s="29"/>
      <c r="N142" s="29"/>
      <c r="O142" s="35" t="s">
        <v>697</v>
      </c>
      <c r="P142" s="23" t="s">
        <v>731</v>
      </c>
      <c r="Q142" s="24" t="s">
        <v>102</v>
      </c>
      <c r="R142" s="54" t="str">
        <f t="shared" si="22"/>
        <v>OK</v>
      </c>
      <c r="S142" s="29" t="s">
        <v>102</v>
      </c>
      <c r="T142" s="29" t="s">
        <v>32</v>
      </c>
      <c r="U142" s="29"/>
      <c r="V142" s="29"/>
      <c r="W142" s="46"/>
      <c r="X142" s="76"/>
      <c r="Y142" s="76"/>
      <c r="Z142" s="39">
        <f t="shared" si="28"/>
        <v>0</v>
      </c>
      <c r="AA142" s="39">
        <f t="shared" si="23"/>
        <v>1</v>
      </c>
      <c r="AB142" s="39">
        <f t="shared" si="29"/>
        <v>1</v>
      </c>
      <c r="AC142" s="39">
        <f t="shared" si="21"/>
        <v>0</v>
      </c>
      <c r="AD142" s="39">
        <f t="shared" si="24"/>
        <v>0</v>
      </c>
      <c r="AE142" s="39" t="str">
        <f t="shared" si="25"/>
        <v>C</v>
      </c>
      <c r="AF142" s="39">
        <f t="shared" si="26"/>
        <v>0</v>
      </c>
      <c r="AG142" s="39">
        <f t="shared" si="27"/>
        <v>0</v>
      </c>
    </row>
    <row r="143" spans="1:33" ht="38.25" customHeight="1" x14ac:dyDescent="0.25">
      <c r="A143" s="61">
        <v>142</v>
      </c>
      <c r="B143" s="23" t="s">
        <v>228</v>
      </c>
      <c r="C143" s="29" t="s">
        <v>989</v>
      </c>
      <c r="D143" s="29" t="s">
        <v>401</v>
      </c>
      <c r="E143" s="22" t="s">
        <v>17</v>
      </c>
      <c r="F143" s="23"/>
      <c r="G143" s="23"/>
      <c r="H143" s="29" t="s">
        <v>522</v>
      </c>
      <c r="I143" s="29">
        <v>21.7</v>
      </c>
      <c r="J143" s="29">
        <v>4</v>
      </c>
      <c r="K143" s="29">
        <v>5</v>
      </c>
      <c r="L143" s="29">
        <v>12</v>
      </c>
      <c r="M143" s="29"/>
      <c r="N143" s="29"/>
      <c r="O143" s="23" t="s">
        <v>41</v>
      </c>
      <c r="P143" s="23"/>
      <c r="Q143" s="24" t="s">
        <v>102</v>
      </c>
      <c r="R143" s="54" t="str">
        <f t="shared" si="22"/>
        <v>OK</v>
      </c>
      <c r="S143" s="29" t="s">
        <v>102</v>
      </c>
      <c r="T143" s="29" t="s">
        <v>33</v>
      </c>
      <c r="U143" s="29"/>
      <c r="V143" s="29"/>
      <c r="W143" s="46"/>
      <c r="X143" s="76"/>
      <c r="Y143" s="76"/>
      <c r="Z143" s="39">
        <f t="shared" si="28"/>
        <v>0</v>
      </c>
      <c r="AA143" s="39">
        <f t="shared" si="23"/>
        <v>0</v>
      </c>
      <c r="AB143" s="39">
        <f t="shared" si="29"/>
        <v>1</v>
      </c>
      <c r="AC143" s="39">
        <f t="shared" si="21"/>
        <v>0</v>
      </c>
      <c r="AD143" s="39">
        <f t="shared" si="24"/>
        <v>0</v>
      </c>
      <c r="AE143" s="39">
        <f t="shared" si="25"/>
        <v>0</v>
      </c>
      <c r="AF143" s="39">
        <f t="shared" si="26"/>
        <v>0</v>
      </c>
      <c r="AG143" s="39">
        <f t="shared" si="27"/>
        <v>0</v>
      </c>
    </row>
    <row r="144" spans="1:33" ht="35.1" customHeight="1" x14ac:dyDescent="0.25">
      <c r="A144" s="61">
        <v>144</v>
      </c>
      <c r="B144" s="23" t="s">
        <v>195</v>
      </c>
      <c r="C144" s="29" t="s">
        <v>990</v>
      </c>
      <c r="D144" s="29" t="s">
        <v>368</v>
      </c>
      <c r="E144" s="22" t="s">
        <v>29</v>
      </c>
      <c r="F144" s="23" t="s">
        <v>195</v>
      </c>
      <c r="G144" s="23" t="s">
        <v>560</v>
      </c>
      <c r="H144" s="29" t="s">
        <v>522</v>
      </c>
      <c r="I144" s="4">
        <v>30.4</v>
      </c>
      <c r="J144" s="29">
        <v>4</v>
      </c>
      <c r="K144" s="29">
        <v>7.7</v>
      </c>
      <c r="L144" s="4">
        <v>10.4</v>
      </c>
      <c r="M144" s="29"/>
      <c r="N144" s="29"/>
      <c r="O144" s="28" t="s">
        <v>699</v>
      </c>
      <c r="P144" s="53" t="s">
        <v>731</v>
      </c>
      <c r="Q144" s="24" t="s">
        <v>857</v>
      </c>
      <c r="R144" s="54" t="str">
        <f t="shared" si="22"/>
        <v>OK</v>
      </c>
      <c r="S144" s="29" t="s">
        <v>27</v>
      </c>
      <c r="T144" s="29" t="s">
        <v>32</v>
      </c>
      <c r="U144" s="29"/>
      <c r="V144" s="29"/>
      <c r="W144" s="46"/>
      <c r="X144" s="76"/>
      <c r="Y144" s="76"/>
      <c r="Z144" s="39">
        <f t="shared" si="28"/>
        <v>0</v>
      </c>
      <c r="AA144" s="39">
        <f t="shared" si="23"/>
        <v>1</v>
      </c>
      <c r="AB144" s="39">
        <f t="shared" si="29"/>
        <v>0</v>
      </c>
      <c r="AC144" s="39">
        <f t="shared" ref="AC144:AC175" si="30">IF(Z144+AB144=2,"A",0)</f>
        <v>0</v>
      </c>
      <c r="AD144" s="39">
        <f t="shared" si="24"/>
        <v>0</v>
      </c>
      <c r="AE144" s="39">
        <f t="shared" si="25"/>
        <v>0</v>
      </c>
      <c r="AF144" s="39">
        <f t="shared" si="26"/>
        <v>0</v>
      </c>
      <c r="AG144" s="39">
        <f t="shared" si="27"/>
        <v>0</v>
      </c>
    </row>
    <row r="145" spans="1:33" ht="35.1" customHeight="1" x14ac:dyDescent="0.25">
      <c r="A145" s="61">
        <v>145</v>
      </c>
      <c r="B145" s="23" t="s">
        <v>197</v>
      </c>
      <c r="C145" s="29" t="s">
        <v>991</v>
      </c>
      <c r="D145" s="29" t="s">
        <v>370</v>
      </c>
      <c r="E145" s="22" t="s">
        <v>29</v>
      </c>
      <c r="F145" s="23" t="s">
        <v>561</v>
      </c>
      <c r="G145" s="23" t="s">
        <v>562</v>
      </c>
      <c r="H145" s="29" t="s">
        <v>522</v>
      </c>
      <c r="I145" s="29" t="s">
        <v>563</v>
      </c>
      <c r="J145" s="29">
        <v>7</v>
      </c>
      <c r="K145" s="29">
        <v>9.1999999999999993</v>
      </c>
      <c r="L145" s="29">
        <v>10</v>
      </c>
      <c r="M145" s="29">
        <v>1952</v>
      </c>
      <c r="N145" s="29"/>
      <c r="O145" s="35" t="s">
        <v>701</v>
      </c>
      <c r="P145" s="53" t="s">
        <v>731</v>
      </c>
      <c r="Q145" s="24" t="s">
        <v>857</v>
      </c>
      <c r="R145" s="54" t="str">
        <f t="shared" si="22"/>
        <v>OK</v>
      </c>
      <c r="S145" s="29" t="s">
        <v>27</v>
      </c>
      <c r="T145" s="29" t="s">
        <v>32</v>
      </c>
      <c r="U145" s="29"/>
      <c r="V145" s="29"/>
      <c r="W145" s="46"/>
      <c r="X145" s="76"/>
      <c r="Y145" s="76"/>
      <c r="Z145" s="39">
        <f t="shared" si="28"/>
        <v>0</v>
      </c>
      <c r="AA145" s="39">
        <f t="shared" si="23"/>
        <v>1</v>
      </c>
      <c r="AB145" s="39">
        <f t="shared" si="29"/>
        <v>0</v>
      </c>
      <c r="AC145" s="39">
        <f t="shared" si="30"/>
        <v>0</v>
      </c>
      <c r="AD145" s="39">
        <f t="shared" si="24"/>
        <v>0</v>
      </c>
      <c r="AE145" s="39">
        <f t="shared" si="25"/>
        <v>0</v>
      </c>
      <c r="AF145" s="39">
        <f t="shared" si="26"/>
        <v>0</v>
      </c>
      <c r="AG145" s="39">
        <f t="shared" si="27"/>
        <v>0</v>
      </c>
    </row>
    <row r="146" spans="1:33" ht="35.1" customHeight="1" x14ac:dyDescent="0.25">
      <c r="A146" s="61">
        <v>146</v>
      </c>
      <c r="B146" s="23" t="s">
        <v>198</v>
      </c>
      <c r="C146" s="29" t="s">
        <v>992</v>
      </c>
      <c r="D146" s="29" t="s">
        <v>370</v>
      </c>
      <c r="E146" s="22" t="s">
        <v>29</v>
      </c>
      <c r="F146" s="23" t="s">
        <v>561</v>
      </c>
      <c r="G146" s="23" t="s">
        <v>562</v>
      </c>
      <c r="H146" s="29" t="s">
        <v>522</v>
      </c>
      <c r="I146" s="4">
        <v>18.3</v>
      </c>
      <c r="J146" s="29">
        <v>2</v>
      </c>
      <c r="K146" s="29">
        <v>9</v>
      </c>
      <c r="L146" s="4">
        <v>13.7</v>
      </c>
      <c r="M146" s="30"/>
      <c r="N146" s="30"/>
      <c r="O146" s="28" t="s">
        <v>702</v>
      </c>
      <c r="P146" s="23" t="s">
        <v>731</v>
      </c>
      <c r="Q146" s="24" t="s">
        <v>857</v>
      </c>
      <c r="R146" s="54" t="str">
        <f t="shared" si="22"/>
        <v>OK</v>
      </c>
      <c r="S146" s="29" t="s">
        <v>27</v>
      </c>
      <c r="T146" s="29" t="s">
        <v>32</v>
      </c>
      <c r="U146" s="29"/>
      <c r="V146" s="29"/>
      <c r="W146" s="46"/>
      <c r="X146" s="76"/>
      <c r="Y146" s="76"/>
      <c r="Z146" s="39">
        <f t="shared" si="28"/>
        <v>0</v>
      </c>
      <c r="AA146" s="39">
        <f t="shared" si="23"/>
        <v>1</v>
      </c>
      <c r="AB146" s="39">
        <f t="shared" si="29"/>
        <v>0</v>
      </c>
      <c r="AC146" s="39">
        <f t="shared" si="30"/>
        <v>0</v>
      </c>
      <c r="AD146" s="39">
        <f t="shared" si="24"/>
        <v>0</v>
      </c>
      <c r="AE146" s="39">
        <f t="shared" si="25"/>
        <v>0</v>
      </c>
      <c r="AF146" s="39">
        <f t="shared" si="26"/>
        <v>0</v>
      </c>
      <c r="AG146" s="39">
        <f t="shared" si="27"/>
        <v>0</v>
      </c>
    </row>
    <row r="147" spans="1:33" ht="35.1" customHeight="1" x14ac:dyDescent="0.25">
      <c r="A147" s="61">
        <v>147</v>
      </c>
      <c r="B147" s="23" t="s">
        <v>747</v>
      </c>
      <c r="C147" s="29" t="s">
        <v>746</v>
      </c>
      <c r="D147" s="23" t="s">
        <v>748</v>
      </c>
      <c r="E147" s="29" t="s">
        <v>29</v>
      </c>
      <c r="F147" s="23" t="s">
        <v>745</v>
      </c>
      <c r="G147" s="23" t="s">
        <v>744</v>
      </c>
      <c r="H147" s="29" t="s">
        <v>522</v>
      </c>
      <c r="I147" s="4">
        <v>85.1</v>
      </c>
      <c r="J147" s="4">
        <v>20</v>
      </c>
      <c r="K147" s="4">
        <v>4.2</v>
      </c>
      <c r="L147" s="4">
        <v>18.95</v>
      </c>
      <c r="M147" s="4"/>
      <c r="N147" s="23"/>
      <c r="O147" s="28"/>
      <c r="P147" s="23"/>
      <c r="Q147" s="24"/>
      <c r="R147" s="54"/>
      <c r="S147" s="29"/>
      <c r="T147" s="29"/>
      <c r="U147" s="29"/>
      <c r="V147" s="29"/>
      <c r="W147" s="46"/>
      <c r="X147" s="76"/>
      <c r="Y147" s="76"/>
      <c r="Z147" s="39"/>
      <c r="AA147" s="39"/>
      <c r="AB147" s="39"/>
      <c r="AC147" s="39"/>
      <c r="AD147" s="39"/>
      <c r="AE147" s="39"/>
      <c r="AF147" s="39"/>
      <c r="AG147" s="39"/>
    </row>
    <row r="148" spans="1:33" ht="35.1" customHeight="1" x14ac:dyDescent="0.25">
      <c r="A148" s="61">
        <v>148</v>
      </c>
      <c r="B148" s="23" t="s">
        <v>275</v>
      </c>
      <c r="C148" s="29" t="s">
        <v>993</v>
      </c>
      <c r="D148" s="29" t="s">
        <v>455</v>
      </c>
      <c r="E148" s="22" t="s">
        <v>29</v>
      </c>
      <c r="F148" s="23" t="s">
        <v>635</v>
      </c>
      <c r="G148" s="23" t="s">
        <v>636</v>
      </c>
      <c r="H148" s="29" t="s">
        <v>522</v>
      </c>
      <c r="I148" s="4">
        <v>20.6</v>
      </c>
      <c r="J148" s="29">
        <v>1</v>
      </c>
      <c r="K148" s="29">
        <v>20.6</v>
      </c>
      <c r="L148" s="4">
        <v>10.199999999999999</v>
      </c>
      <c r="M148" s="29"/>
      <c r="N148" s="29"/>
      <c r="O148" s="35" t="s">
        <v>727</v>
      </c>
      <c r="P148" s="23" t="s">
        <v>730</v>
      </c>
      <c r="Q148" s="24" t="s">
        <v>857</v>
      </c>
      <c r="R148" s="54" t="str">
        <f t="shared" ref="R148:R179" si="31">IF(L148&lt;7.3,"NARROW","OK")</f>
        <v>OK</v>
      </c>
      <c r="S148" s="29" t="s">
        <v>27</v>
      </c>
      <c r="T148" s="29" t="s">
        <v>32</v>
      </c>
      <c r="U148" s="29"/>
      <c r="V148" s="29"/>
      <c r="W148" s="46"/>
      <c r="X148" s="76"/>
      <c r="Y148" s="76"/>
      <c r="Z148" s="39">
        <f t="shared" si="28"/>
        <v>0</v>
      </c>
      <c r="AA148" s="39">
        <f t="shared" si="23"/>
        <v>1</v>
      </c>
      <c r="AB148" s="39">
        <f t="shared" si="29"/>
        <v>0</v>
      </c>
      <c r="AC148" s="39">
        <f t="shared" si="30"/>
        <v>0</v>
      </c>
      <c r="AD148" s="39">
        <f t="shared" si="24"/>
        <v>0</v>
      </c>
      <c r="AE148" s="39">
        <f t="shared" si="25"/>
        <v>0</v>
      </c>
      <c r="AF148" s="39">
        <f t="shared" si="26"/>
        <v>0</v>
      </c>
      <c r="AG148" s="39">
        <f t="shared" si="27"/>
        <v>0</v>
      </c>
    </row>
    <row r="149" spans="1:33" ht="35.1" customHeight="1" x14ac:dyDescent="0.25">
      <c r="A149" s="61">
        <v>149</v>
      </c>
      <c r="B149" s="23" t="s">
        <v>233</v>
      </c>
      <c r="C149" s="29" t="s">
        <v>994</v>
      </c>
      <c r="D149" s="29" t="s">
        <v>407</v>
      </c>
      <c r="E149" s="22" t="s">
        <v>29</v>
      </c>
      <c r="F149" s="23" t="s">
        <v>592</v>
      </c>
      <c r="G149" s="23" t="s">
        <v>593</v>
      </c>
      <c r="H149" s="29" t="s">
        <v>851</v>
      </c>
      <c r="I149" s="4">
        <v>61.9</v>
      </c>
      <c r="J149" s="29">
        <v>3</v>
      </c>
      <c r="K149" s="29">
        <v>25.6</v>
      </c>
      <c r="L149" s="4">
        <v>4.5</v>
      </c>
      <c r="M149" s="30"/>
      <c r="N149" s="30"/>
      <c r="O149" s="35" t="s">
        <v>672</v>
      </c>
      <c r="P149" s="23" t="s">
        <v>730</v>
      </c>
      <c r="Q149" s="24" t="s">
        <v>27</v>
      </c>
      <c r="R149" s="54" t="str">
        <f t="shared" si="31"/>
        <v>NARROW</v>
      </c>
      <c r="S149" s="29" t="s">
        <v>27</v>
      </c>
      <c r="T149" s="29" t="s">
        <v>33</v>
      </c>
      <c r="U149" s="29"/>
      <c r="V149" s="29"/>
      <c r="W149" s="46"/>
      <c r="X149" s="76"/>
      <c r="Y149" s="76"/>
      <c r="Z149" s="39">
        <f t="shared" si="28"/>
        <v>1</v>
      </c>
      <c r="AA149" s="39">
        <f t="shared" si="23"/>
        <v>0</v>
      </c>
      <c r="AB149" s="39">
        <f t="shared" si="29"/>
        <v>0</v>
      </c>
      <c r="AC149" s="39">
        <f t="shared" si="30"/>
        <v>0</v>
      </c>
      <c r="AD149" s="39">
        <f t="shared" si="24"/>
        <v>0</v>
      </c>
      <c r="AE149" s="39">
        <f t="shared" si="25"/>
        <v>0</v>
      </c>
      <c r="AF149" s="39">
        <f t="shared" si="26"/>
        <v>0</v>
      </c>
      <c r="AG149" s="39">
        <f t="shared" si="27"/>
        <v>0</v>
      </c>
    </row>
    <row r="150" spans="1:33" ht="35.1" customHeight="1" x14ac:dyDescent="0.25">
      <c r="A150" s="61">
        <v>150</v>
      </c>
      <c r="B150" s="23" t="s">
        <v>234</v>
      </c>
      <c r="C150" s="29" t="s">
        <v>995</v>
      </c>
      <c r="D150" s="29" t="s">
        <v>408</v>
      </c>
      <c r="E150" s="22" t="s">
        <v>29</v>
      </c>
      <c r="F150" s="23" t="s">
        <v>594</v>
      </c>
      <c r="G150" s="23" t="s">
        <v>595</v>
      </c>
      <c r="H150" s="29" t="s">
        <v>522</v>
      </c>
      <c r="I150" s="29">
        <v>216</v>
      </c>
      <c r="J150" s="29">
        <v>1</v>
      </c>
      <c r="K150" s="29"/>
      <c r="L150" s="29">
        <v>11.5</v>
      </c>
      <c r="M150" s="29"/>
      <c r="N150" s="29"/>
      <c r="O150" s="35" t="s">
        <v>21</v>
      </c>
      <c r="P150" s="23" t="s">
        <v>730</v>
      </c>
      <c r="Q150" s="24" t="s">
        <v>27</v>
      </c>
      <c r="R150" s="54" t="str">
        <f t="shared" si="31"/>
        <v>OK</v>
      </c>
      <c r="S150" s="29" t="s">
        <v>27</v>
      </c>
      <c r="T150" s="29" t="s">
        <v>33</v>
      </c>
      <c r="U150" s="29"/>
      <c r="V150" s="29"/>
      <c r="W150" s="46"/>
      <c r="X150" s="76"/>
      <c r="Y150" s="76"/>
      <c r="Z150" s="39">
        <f t="shared" si="28"/>
        <v>0</v>
      </c>
      <c r="AA150" s="39">
        <f t="shared" si="23"/>
        <v>0</v>
      </c>
      <c r="AB150" s="39">
        <f t="shared" si="29"/>
        <v>0</v>
      </c>
      <c r="AC150" s="39">
        <f t="shared" si="30"/>
        <v>0</v>
      </c>
      <c r="AD150" s="39">
        <f t="shared" si="24"/>
        <v>0</v>
      </c>
      <c r="AE150" s="39">
        <f t="shared" si="25"/>
        <v>0</v>
      </c>
      <c r="AF150" s="39">
        <f t="shared" si="26"/>
        <v>0</v>
      </c>
      <c r="AG150" s="39" t="str">
        <f t="shared" si="27"/>
        <v>E</v>
      </c>
    </row>
    <row r="151" spans="1:33" ht="35.1" customHeight="1" x14ac:dyDescent="0.25">
      <c r="A151" s="61">
        <v>151</v>
      </c>
      <c r="B151" s="23" t="s">
        <v>200</v>
      </c>
      <c r="C151" s="29" t="s">
        <v>996</v>
      </c>
      <c r="D151" s="29" t="s">
        <v>372</v>
      </c>
      <c r="E151" s="22" t="s">
        <v>29</v>
      </c>
      <c r="F151" s="23" t="s">
        <v>564</v>
      </c>
      <c r="G151" s="23" t="s">
        <v>565</v>
      </c>
      <c r="H151" s="29" t="s">
        <v>522</v>
      </c>
      <c r="I151" s="29">
        <v>55.4</v>
      </c>
      <c r="J151" s="29">
        <v>3</v>
      </c>
      <c r="K151" s="29">
        <v>20.6</v>
      </c>
      <c r="L151" s="29">
        <v>9.65</v>
      </c>
      <c r="M151" s="29"/>
      <c r="N151" s="29"/>
      <c r="O151" s="35" t="s">
        <v>704</v>
      </c>
      <c r="P151" s="23" t="s">
        <v>731</v>
      </c>
      <c r="Q151" s="24" t="s">
        <v>102</v>
      </c>
      <c r="R151" s="54" t="str">
        <f t="shared" si="31"/>
        <v>OK</v>
      </c>
      <c r="S151" s="29" t="s">
        <v>102</v>
      </c>
      <c r="T151" s="29" t="s">
        <v>32</v>
      </c>
      <c r="U151" s="29"/>
      <c r="V151" s="43">
        <v>3754</v>
      </c>
      <c r="W151" s="46">
        <v>2</v>
      </c>
      <c r="X151" s="76"/>
      <c r="Y151" s="76"/>
      <c r="Z151" s="39">
        <f t="shared" si="28"/>
        <v>0</v>
      </c>
      <c r="AA151" s="39">
        <f t="shared" si="23"/>
        <v>1</v>
      </c>
      <c r="AB151" s="39">
        <f t="shared" si="29"/>
        <v>1</v>
      </c>
      <c r="AC151" s="39">
        <f t="shared" si="30"/>
        <v>0</v>
      </c>
      <c r="AD151" s="39">
        <f t="shared" si="24"/>
        <v>0</v>
      </c>
      <c r="AE151" s="39" t="str">
        <f t="shared" si="25"/>
        <v>C</v>
      </c>
      <c r="AF151" s="39">
        <f t="shared" si="26"/>
        <v>0</v>
      </c>
      <c r="AG151" s="39">
        <f t="shared" si="27"/>
        <v>0</v>
      </c>
    </row>
    <row r="152" spans="1:33" ht="35.1" customHeight="1" x14ac:dyDescent="0.25">
      <c r="A152" s="61">
        <v>152</v>
      </c>
      <c r="B152" s="23" t="s">
        <v>38</v>
      </c>
      <c r="C152" s="29" t="s">
        <v>997</v>
      </c>
      <c r="D152" s="29" t="s">
        <v>373</v>
      </c>
      <c r="E152" s="22" t="s">
        <v>29</v>
      </c>
      <c r="F152" s="23" t="s">
        <v>38</v>
      </c>
      <c r="G152" s="23" t="s">
        <v>39</v>
      </c>
      <c r="H152" s="29" t="s">
        <v>15</v>
      </c>
      <c r="I152" s="29">
        <v>58.1</v>
      </c>
      <c r="J152" s="29">
        <v>3</v>
      </c>
      <c r="K152" s="29"/>
      <c r="L152" s="29">
        <v>7.9</v>
      </c>
      <c r="M152" s="30"/>
      <c r="N152" s="30"/>
      <c r="O152" s="35" t="s">
        <v>705</v>
      </c>
      <c r="P152" s="23" t="s">
        <v>731</v>
      </c>
      <c r="Q152" s="24" t="s">
        <v>857</v>
      </c>
      <c r="R152" s="54" t="str">
        <f t="shared" si="31"/>
        <v>OK</v>
      </c>
      <c r="S152" s="29" t="s">
        <v>27</v>
      </c>
      <c r="T152" s="29" t="s">
        <v>32</v>
      </c>
      <c r="U152" s="29"/>
      <c r="V152" s="43">
        <v>679</v>
      </c>
      <c r="W152" s="46">
        <v>4</v>
      </c>
      <c r="X152" s="76"/>
      <c r="Y152" s="76"/>
      <c r="Z152" s="39">
        <f t="shared" si="28"/>
        <v>0</v>
      </c>
      <c r="AA152" s="39">
        <f t="shared" si="23"/>
        <v>1</v>
      </c>
      <c r="AB152" s="39">
        <f t="shared" si="29"/>
        <v>0</v>
      </c>
      <c r="AC152" s="39">
        <f t="shared" si="30"/>
        <v>0</v>
      </c>
      <c r="AD152" s="39">
        <f t="shared" si="24"/>
        <v>0</v>
      </c>
      <c r="AE152" s="39">
        <f t="shared" si="25"/>
        <v>0</v>
      </c>
      <c r="AF152" s="39">
        <f t="shared" si="26"/>
        <v>0</v>
      </c>
      <c r="AG152" s="39">
        <f t="shared" si="27"/>
        <v>0</v>
      </c>
    </row>
    <row r="153" spans="1:33" ht="35.1" customHeight="1" x14ac:dyDescent="0.25">
      <c r="A153" s="61">
        <v>153</v>
      </c>
      <c r="B153" s="23" t="s">
        <v>201</v>
      </c>
      <c r="C153" s="29" t="s">
        <v>998</v>
      </c>
      <c r="D153" s="29" t="s">
        <v>374</v>
      </c>
      <c r="E153" s="22" t="s">
        <v>29</v>
      </c>
      <c r="F153" s="23" t="s">
        <v>566</v>
      </c>
      <c r="G153" s="23" t="s">
        <v>567</v>
      </c>
      <c r="H153" s="29" t="s">
        <v>15</v>
      </c>
      <c r="I153" s="4">
        <v>50</v>
      </c>
      <c r="J153" s="29">
        <v>1</v>
      </c>
      <c r="K153" s="29">
        <v>50</v>
      </c>
      <c r="L153" s="4">
        <v>14.3</v>
      </c>
      <c r="M153" s="29"/>
      <c r="N153" s="29"/>
      <c r="O153" s="35" t="s">
        <v>706</v>
      </c>
      <c r="P153" s="23" t="s">
        <v>731</v>
      </c>
      <c r="Q153" s="24" t="s">
        <v>857</v>
      </c>
      <c r="R153" s="54" t="str">
        <f t="shared" si="31"/>
        <v>OK</v>
      </c>
      <c r="S153" s="29" t="s">
        <v>27</v>
      </c>
      <c r="T153" s="29" t="s">
        <v>32</v>
      </c>
      <c r="U153" s="29"/>
      <c r="V153" s="29"/>
      <c r="W153" s="46"/>
      <c r="X153" s="76"/>
      <c r="Y153" s="76"/>
      <c r="Z153" s="39">
        <f t="shared" si="28"/>
        <v>0</v>
      </c>
      <c r="AA153" s="39">
        <f t="shared" si="23"/>
        <v>1</v>
      </c>
      <c r="AB153" s="39">
        <f t="shared" si="29"/>
        <v>0</v>
      </c>
      <c r="AC153" s="39">
        <f t="shared" si="30"/>
        <v>0</v>
      </c>
      <c r="AD153" s="39">
        <f t="shared" si="24"/>
        <v>0</v>
      </c>
      <c r="AE153" s="39">
        <f t="shared" si="25"/>
        <v>0</v>
      </c>
      <c r="AF153" s="39">
        <f t="shared" si="26"/>
        <v>0</v>
      </c>
      <c r="AG153" s="39">
        <f t="shared" si="27"/>
        <v>0</v>
      </c>
    </row>
    <row r="154" spans="1:33" ht="35.1" customHeight="1" x14ac:dyDescent="0.25">
      <c r="A154" s="61">
        <v>154</v>
      </c>
      <c r="B154" s="23" t="s">
        <v>235</v>
      </c>
      <c r="C154" s="29" t="s">
        <v>999</v>
      </c>
      <c r="D154" s="29" t="s">
        <v>374</v>
      </c>
      <c r="E154" s="22" t="s">
        <v>29</v>
      </c>
      <c r="F154" s="23" t="s">
        <v>566</v>
      </c>
      <c r="G154" s="23" t="s">
        <v>596</v>
      </c>
      <c r="H154" s="29" t="s">
        <v>15</v>
      </c>
      <c r="I154" s="4">
        <v>30.6</v>
      </c>
      <c r="J154" s="29">
        <v>1</v>
      </c>
      <c r="K154" s="29"/>
      <c r="L154" s="4">
        <v>6.03</v>
      </c>
      <c r="M154" s="30"/>
      <c r="N154" s="30"/>
      <c r="O154" s="35" t="s">
        <v>717</v>
      </c>
      <c r="P154" s="23" t="s">
        <v>733</v>
      </c>
      <c r="Q154" s="24" t="s">
        <v>102</v>
      </c>
      <c r="R154" s="54" t="str">
        <f t="shared" si="31"/>
        <v>NARROW</v>
      </c>
      <c r="S154" s="29" t="s">
        <v>102</v>
      </c>
      <c r="T154" s="29" t="s">
        <v>32</v>
      </c>
      <c r="U154" s="29"/>
      <c r="V154" s="29"/>
      <c r="W154" s="46"/>
      <c r="X154" s="76"/>
      <c r="Y154" s="76"/>
      <c r="Z154" s="39">
        <f t="shared" si="28"/>
        <v>1</v>
      </c>
      <c r="AA154" s="39">
        <f t="shared" si="23"/>
        <v>1</v>
      </c>
      <c r="AB154" s="39">
        <f t="shared" si="29"/>
        <v>1</v>
      </c>
      <c r="AC154" s="39" t="str">
        <f t="shared" si="30"/>
        <v>A</v>
      </c>
      <c r="AD154" s="39" t="str">
        <f t="shared" si="24"/>
        <v>B</v>
      </c>
      <c r="AE154" s="39" t="str">
        <f t="shared" si="25"/>
        <v>C</v>
      </c>
      <c r="AF154" s="39" t="str">
        <f t="shared" si="26"/>
        <v>D</v>
      </c>
      <c r="AG154" s="39">
        <f t="shared" si="27"/>
        <v>0</v>
      </c>
    </row>
    <row r="155" spans="1:33" ht="35.1" customHeight="1" x14ac:dyDescent="0.25">
      <c r="A155" s="61">
        <v>155</v>
      </c>
      <c r="B155" s="23" t="s">
        <v>202</v>
      </c>
      <c r="C155" s="29" t="s">
        <v>1000</v>
      </c>
      <c r="D155" s="29" t="s">
        <v>374</v>
      </c>
      <c r="E155" s="22" t="s">
        <v>29</v>
      </c>
      <c r="F155" s="23" t="s">
        <v>568</v>
      </c>
      <c r="G155" s="23" t="s">
        <v>569</v>
      </c>
      <c r="H155" s="29" t="s">
        <v>522</v>
      </c>
      <c r="I155" s="29">
        <v>17</v>
      </c>
      <c r="J155" s="29">
        <v>2</v>
      </c>
      <c r="K155" s="29"/>
      <c r="L155" s="29">
        <v>7.3</v>
      </c>
      <c r="M155" s="29"/>
      <c r="N155" s="29"/>
      <c r="O155" s="35" t="s">
        <v>707</v>
      </c>
      <c r="P155" s="23" t="s">
        <v>731</v>
      </c>
      <c r="Q155" s="24" t="s">
        <v>102</v>
      </c>
      <c r="R155" s="54" t="str">
        <f t="shared" si="31"/>
        <v>OK</v>
      </c>
      <c r="S155" s="29" t="s">
        <v>102</v>
      </c>
      <c r="T155" s="29" t="s">
        <v>32</v>
      </c>
      <c r="U155" s="29"/>
      <c r="V155" s="29"/>
      <c r="W155" s="46"/>
      <c r="X155" s="76"/>
      <c r="Y155" s="76"/>
      <c r="Z155" s="39">
        <f t="shared" si="28"/>
        <v>0</v>
      </c>
      <c r="AA155" s="39">
        <f t="shared" si="23"/>
        <v>1</v>
      </c>
      <c r="AB155" s="39">
        <f t="shared" si="29"/>
        <v>1</v>
      </c>
      <c r="AC155" s="39">
        <f t="shared" si="30"/>
        <v>0</v>
      </c>
      <c r="AD155" s="39">
        <f t="shared" si="24"/>
        <v>0</v>
      </c>
      <c r="AE155" s="39" t="str">
        <f t="shared" si="25"/>
        <v>C</v>
      </c>
      <c r="AF155" s="39">
        <f t="shared" si="26"/>
        <v>0</v>
      </c>
      <c r="AG155" s="39">
        <f t="shared" si="27"/>
        <v>0</v>
      </c>
    </row>
    <row r="156" spans="1:33" ht="35.1" customHeight="1" x14ac:dyDescent="0.25">
      <c r="A156" s="61">
        <v>156</v>
      </c>
      <c r="B156" s="23" t="s">
        <v>240</v>
      </c>
      <c r="C156" s="29" t="s">
        <v>1001</v>
      </c>
      <c r="D156" s="29" t="s">
        <v>413</v>
      </c>
      <c r="E156" s="22" t="s">
        <v>29</v>
      </c>
      <c r="F156" s="23" t="s">
        <v>602</v>
      </c>
      <c r="G156" s="23" t="s">
        <v>603</v>
      </c>
      <c r="H156" s="29" t="s">
        <v>15</v>
      </c>
      <c r="I156" s="4">
        <v>25.3</v>
      </c>
      <c r="J156" s="29">
        <v>1</v>
      </c>
      <c r="K156" s="29">
        <v>25.3</v>
      </c>
      <c r="L156" s="4">
        <v>4.5</v>
      </c>
      <c r="M156" s="29"/>
      <c r="N156" s="29"/>
      <c r="O156" s="35" t="s">
        <v>673</v>
      </c>
      <c r="P156" s="23" t="s">
        <v>733</v>
      </c>
      <c r="Q156" s="24" t="s">
        <v>102</v>
      </c>
      <c r="R156" s="54" t="str">
        <f t="shared" si="31"/>
        <v>NARROW</v>
      </c>
      <c r="S156" s="29" t="s">
        <v>102</v>
      </c>
      <c r="T156" s="29" t="s">
        <v>33</v>
      </c>
      <c r="U156" s="29"/>
      <c r="V156" s="29"/>
      <c r="W156" s="46"/>
      <c r="X156" s="76"/>
      <c r="Y156" s="76"/>
      <c r="Z156" s="39">
        <f t="shared" si="28"/>
        <v>1</v>
      </c>
      <c r="AA156" s="39">
        <f t="shared" si="23"/>
        <v>0</v>
      </c>
      <c r="AB156" s="39">
        <f t="shared" si="29"/>
        <v>1</v>
      </c>
      <c r="AC156" s="39" t="str">
        <f t="shared" si="30"/>
        <v>A</v>
      </c>
      <c r="AD156" s="39">
        <f t="shared" si="24"/>
        <v>0</v>
      </c>
      <c r="AE156" s="39">
        <f t="shared" si="25"/>
        <v>0</v>
      </c>
      <c r="AF156" s="39">
        <f t="shared" si="26"/>
        <v>0</v>
      </c>
      <c r="AG156" s="39">
        <f t="shared" si="27"/>
        <v>0</v>
      </c>
    </row>
    <row r="157" spans="1:33" ht="35.1" customHeight="1" x14ac:dyDescent="0.25">
      <c r="A157" s="61">
        <v>157</v>
      </c>
      <c r="B157" s="23" t="s">
        <v>236</v>
      </c>
      <c r="C157" s="29" t="s">
        <v>1002</v>
      </c>
      <c r="D157" s="29" t="s">
        <v>409</v>
      </c>
      <c r="E157" s="22" t="s">
        <v>29</v>
      </c>
      <c r="F157" s="23" t="s">
        <v>597</v>
      </c>
      <c r="G157" s="23" t="s">
        <v>598</v>
      </c>
      <c r="H157" s="29" t="s">
        <v>15</v>
      </c>
      <c r="I157" s="4">
        <v>50</v>
      </c>
      <c r="J157" s="29">
        <v>1</v>
      </c>
      <c r="K157" s="29">
        <v>50</v>
      </c>
      <c r="L157" s="4">
        <v>8.6</v>
      </c>
      <c r="M157" s="30"/>
      <c r="N157" s="30"/>
      <c r="O157" s="35" t="s">
        <v>69</v>
      </c>
      <c r="P157" s="23" t="s">
        <v>730</v>
      </c>
      <c r="Q157" s="24" t="s">
        <v>27</v>
      </c>
      <c r="R157" s="54" t="str">
        <f t="shared" si="31"/>
        <v>OK</v>
      </c>
      <c r="S157" s="29" t="s">
        <v>27</v>
      </c>
      <c r="T157" s="29" t="s">
        <v>33</v>
      </c>
      <c r="U157" s="29"/>
      <c r="V157" s="29"/>
      <c r="W157" s="46"/>
      <c r="X157" s="76"/>
      <c r="Y157" s="76"/>
      <c r="Z157" s="39">
        <f t="shared" si="28"/>
        <v>0</v>
      </c>
      <c r="AA157" s="39">
        <f t="shared" si="23"/>
        <v>0</v>
      </c>
      <c r="AB157" s="39">
        <f t="shared" si="29"/>
        <v>0</v>
      </c>
      <c r="AC157" s="39">
        <f t="shared" si="30"/>
        <v>0</v>
      </c>
      <c r="AD157" s="39">
        <f t="shared" si="24"/>
        <v>0</v>
      </c>
      <c r="AE157" s="39">
        <f t="shared" si="25"/>
        <v>0</v>
      </c>
      <c r="AF157" s="39">
        <f t="shared" si="26"/>
        <v>0</v>
      </c>
      <c r="AG157" s="39" t="str">
        <f t="shared" si="27"/>
        <v>E</v>
      </c>
    </row>
    <row r="158" spans="1:33" ht="35.1" customHeight="1" x14ac:dyDescent="0.25">
      <c r="A158" s="61">
        <v>158</v>
      </c>
      <c r="B158" s="23" t="s">
        <v>236</v>
      </c>
      <c r="C158" s="29" t="s">
        <v>1002</v>
      </c>
      <c r="D158" s="29" t="s">
        <v>409</v>
      </c>
      <c r="E158" s="22" t="s">
        <v>29</v>
      </c>
      <c r="F158" s="23" t="s">
        <v>597</v>
      </c>
      <c r="G158" s="23" t="s">
        <v>598</v>
      </c>
      <c r="H158" s="29" t="s">
        <v>522</v>
      </c>
      <c r="I158" s="29">
        <v>36.799999999999997</v>
      </c>
      <c r="J158" s="29">
        <v>6</v>
      </c>
      <c r="K158" s="29">
        <v>5.2</v>
      </c>
      <c r="L158" s="29">
        <v>5.8</v>
      </c>
      <c r="M158" s="29"/>
      <c r="N158" s="29"/>
      <c r="O158" s="35" t="s">
        <v>882</v>
      </c>
      <c r="P158" s="23" t="s">
        <v>733</v>
      </c>
      <c r="Q158" s="24" t="s">
        <v>102</v>
      </c>
      <c r="R158" s="54" t="str">
        <f t="shared" si="31"/>
        <v>NARROW</v>
      </c>
      <c r="S158" s="29" t="s">
        <v>102</v>
      </c>
      <c r="T158" s="29" t="s">
        <v>32</v>
      </c>
      <c r="U158" s="29"/>
      <c r="V158" s="29"/>
      <c r="W158" s="46"/>
      <c r="X158" s="76"/>
      <c r="Y158" s="76"/>
      <c r="Z158" s="39">
        <f t="shared" si="28"/>
        <v>1</v>
      </c>
      <c r="AA158" s="39">
        <f t="shared" si="23"/>
        <v>1</v>
      </c>
      <c r="AB158" s="39">
        <f t="shared" si="29"/>
        <v>1</v>
      </c>
      <c r="AC158" s="39" t="str">
        <f t="shared" si="30"/>
        <v>A</v>
      </c>
      <c r="AD158" s="39" t="str">
        <f t="shared" si="24"/>
        <v>B</v>
      </c>
      <c r="AE158" s="39" t="str">
        <f t="shared" si="25"/>
        <v>C</v>
      </c>
      <c r="AF158" s="39" t="str">
        <f t="shared" si="26"/>
        <v>D</v>
      </c>
      <c r="AG158" s="39">
        <f t="shared" si="27"/>
        <v>0</v>
      </c>
    </row>
    <row r="159" spans="1:33" ht="35.1" customHeight="1" x14ac:dyDescent="0.25">
      <c r="A159" s="61">
        <v>159</v>
      </c>
      <c r="B159" s="23" t="s">
        <v>203</v>
      </c>
      <c r="C159" s="29" t="s">
        <v>1003</v>
      </c>
      <c r="D159" s="29" t="s">
        <v>375</v>
      </c>
      <c r="E159" s="22" t="s">
        <v>29</v>
      </c>
      <c r="F159" s="23" t="s">
        <v>570</v>
      </c>
      <c r="G159" s="23" t="s">
        <v>571</v>
      </c>
      <c r="H159" s="29" t="s">
        <v>522</v>
      </c>
      <c r="I159" s="4">
        <v>39</v>
      </c>
      <c r="J159" s="29">
        <v>1</v>
      </c>
      <c r="K159" s="29">
        <v>39</v>
      </c>
      <c r="L159" s="4">
        <v>11.2</v>
      </c>
      <c r="M159" s="30"/>
      <c r="N159" s="30"/>
      <c r="O159" s="35" t="s">
        <v>708</v>
      </c>
      <c r="P159" s="23" t="s">
        <v>731</v>
      </c>
      <c r="Q159" s="24" t="s">
        <v>857</v>
      </c>
      <c r="R159" s="54" t="str">
        <f t="shared" si="31"/>
        <v>OK</v>
      </c>
      <c r="S159" s="29" t="s">
        <v>27</v>
      </c>
      <c r="T159" s="29" t="s">
        <v>32</v>
      </c>
      <c r="U159" s="29"/>
      <c r="V159" s="29"/>
      <c r="W159" s="46"/>
      <c r="X159" s="76"/>
      <c r="Y159" s="76"/>
      <c r="Z159" s="39">
        <f t="shared" si="28"/>
        <v>0</v>
      </c>
      <c r="AA159" s="39">
        <f t="shared" si="23"/>
        <v>1</v>
      </c>
      <c r="AB159" s="39">
        <f t="shared" si="29"/>
        <v>0</v>
      </c>
      <c r="AC159" s="39">
        <f t="shared" si="30"/>
        <v>0</v>
      </c>
      <c r="AD159" s="39">
        <f t="shared" si="24"/>
        <v>0</v>
      </c>
      <c r="AE159" s="39">
        <f t="shared" si="25"/>
        <v>0</v>
      </c>
      <c r="AF159" s="39">
        <f t="shared" si="26"/>
        <v>0</v>
      </c>
      <c r="AG159" s="39">
        <f t="shared" si="27"/>
        <v>0</v>
      </c>
    </row>
    <row r="160" spans="1:33" ht="35.1" customHeight="1" x14ac:dyDescent="0.25">
      <c r="A160" s="61">
        <v>160</v>
      </c>
      <c r="B160" s="23" t="s">
        <v>237</v>
      </c>
      <c r="C160" s="29" t="s">
        <v>1004</v>
      </c>
      <c r="D160" s="29" t="s">
        <v>410</v>
      </c>
      <c r="E160" s="22" t="s">
        <v>29</v>
      </c>
      <c r="F160" s="23" t="s">
        <v>599</v>
      </c>
      <c r="G160" s="23" t="s">
        <v>600</v>
      </c>
      <c r="H160" s="29" t="s">
        <v>522</v>
      </c>
      <c r="I160" s="29">
        <v>14.5</v>
      </c>
      <c r="J160" s="29">
        <v>3</v>
      </c>
      <c r="K160" s="29">
        <v>4.3</v>
      </c>
      <c r="L160" s="29">
        <v>6.2</v>
      </c>
      <c r="M160" s="29"/>
      <c r="N160" s="29"/>
      <c r="O160" s="35" t="s">
        <v>883</v>
      </c>
      <c r="P160" s="23" t="s">
        <v>733</v>
      </c>
      <c r="Q160" s="24" t="s">
        <v>102</v>
      </c>
      <c r="R160" s="54" t="str">
        <f t="shared" si="31"/>
        <v>NARROW</v>
      </c>
      <c r="S160" s="29" t="s">
        <v>102</v>
      </c>
      <c r="T160" s="29" t="s">
        <v>32</v>
      </c>
      <c r="U160" s="29"/>
      <c r="V160" s="29"/>
      <c r="W160" s="46"/>
      <c r="X160" s="76"/>
      <c r="Y160" s="76"/>
      <c r="Z160" s="39">
        <f t="shared" si="28"/>
        <v>1</v>
      </c>
      <c r="AA160" s="39">
        <f t="shared" si="23"/>
        <v>1</v>
      </c>
      <c r="AB160" s="39">
        <f t="shared" si="29"/>
        <v>1</v>
      </c>
      <c r="AC160" s="39" t="str">
        <f t="shared" si="30"/>
        <v>A</v>
      </c>
      <c r="AD160" s="39" t="str">
        <f t="shared" si="24"/>
        <v>B</v>
      </c>
      <c r="AE160" s="39" t="str">
        <f t="shared" si="25"/>
        <v>C</v>
      </c>
      <c r="AF160" s="39" t="str">
        <f t="shared" si="26"/>
        <v>D</v>
      </c>
      <c r="AG160" s="39">
        <f t="shared" si="27"/>
        <v>0</v>
      </c>
    </row>
    <row r="161" spans="1:33" ht="35.1" customHeight="1" x14ac:dyDescent="0.25">
      <c r="A161" s="61">
        <v>161</v>
      </c>
      <c r="B161" s="23" t="s">
        <v>244</v>
      </c>
      <c r="C161" s="29" t="s">
        <v>1005</v>
      </c>
      <c r="D161" s="29" t="s">
        <v>759</v>
      </c>
      <c r="E161" s="22" t="s">
        <v>29</v>
      </c>
      <c r="F161" s="23"/>
      <c r="G161" s="23"/>
      <c r="H161" s="29" t="s">
        <v>522</v>
      </c>
      <c r="I161" s="29">
        <v>14.5</v>
      </c>
      <c r="J161" s="29">
        <v>3</v>
      </c>
      <c r="K161" s="29"/>
      <c r="L161" s="29"/>
      <c r="M161" s="30"/>
      <c r="N161" s="30"/>
      <c r="O161" s="23" t="s">
        <v>21</v>
      </c>
      <c r="P161" s="83" t="s">
        <v>730</v>
      </c>
      <c r="Q161" s="24" t="s">
        <v>857</v>
      </c>
      <c r="R161" s="54" t="str">
        <f t="shared" si="31"/>
        <v>NARROW</v>
      </c>
      <c r="S161" s="29" t="s">
        <v>27</v>
      </c>
      <c r="T161" s="29" t="s">
        <v>33</v>
      </c>
      <c r="U161" s="29"/>
      <c r="V161" s="29"/>
      <c r="W161" s="46"/>
      <c r="X161" s="76"/>
      <c r="Y161" s="76"/>
      <c r="Z161" s="39">
        <f t="shared" si="28"/>
        <v>1</v>
      </c>
      <c r="AA161" s="39">
        <f t="shared" si="23"/>
        <v>0</v>
      </c>
      <c r="AB161" s="39">
        <f t="shared" si="29"/>
        <v>0</v>
      </c>
      <c r="AC161" s="39">
        <f t="shared" si="30"/>
        <v>0</v>
      </c>
      <c r="AD161" s="39">
        <f t="shared" si="24"/>
        <v>0</v>
      </c>
      <c r="AE161" s="39">
        <f t="shared" si="25"/>
        <v>0</v>
      </c>
      <c r="AF161" s="39">
        <f t="shared" si="26"/>
        <v>0</v>
      </c>
      <c r="AG161" s="39">
        <f t="shared" si="27"/>
        <v>0</v>
      </c>
    </row>
    <row r="162" spans="1:33" ht="35.1" customHeight="1" x14ac:dyDescent="0.25">
      <c r="A162" s="61">
        <v>162</v>
      </c>
      <c r="B162" s="23" t="s">
        <v>245</v>
      </c>
      <c r="C162" s="29" t="s">
        <v>1006</v>
      </c>
      <c r="D162" s="29" t="s">
        <v>417</v>
      </c>
      <c r="E162" s="29" t="s">
        <v>49</v>
      </c>
      <c r="F162" s="108"/>
      <c r="G162" s="23"/>
      <c r="H162" s="29" t="s">
        <v>522</v>
      </c>
      <c r="I162" s="29">
        <v>13.7</v>
      </c>
      <c r="J162" s="29">
        <v>2</v>
      </c>
      <c r="K162" s="29">
        <v>4.6500000000000004</v>
      </c>
      <c r="L162" s="29">
        <v>33.799999999999997</v>
      </c>
      <c r="M162" s="29"/>
      <c r="N162" s="29"/>
      <c r="O162" s="23" t="s">
        <v>21</v>
      </c>
      <c r="P162" s="23" t="s">
        <v>730</v>
      </c>
      <c r="Q162" s="24" t="s">
        <v>27</v>
      </c>
      <c r="R162" s="54" t="str">
        <f t="shared" si="31"/>
        <v>OK</v>
      </c>
      <c r="S162" s="29" t="s">
        <v>27</v>
      </c>
      <c r="T162" s="29" t="s">
        <v>33</v>
      </c>
      <c r="U162" s="29"/>
      <c r="V162" s="29"/>
      <c r="W162" s="46"/>
      <c r="X162" s="76"/>
      <c r="Y162" s="76"/>
      <c r="Z162" s="39">
        <f t="shared" si="28"/>
        <v>0</v>
      </c>
      <c r="AA162" s="39">
        <f t="shared" si="23"/>
        <v>0</v>
      </c>
      <c r="AB162" s="39">
        <f t="shared" si="29"/>
        <v>0</v>
      </c>
      <c r="AC162" s="39">
        <f t="shared" si="30"/>
        <v>0</v>
      </c>
      <c r="AD162" s="39">
        <f t="shared" si="24"/>
        <v>0</v>
      </c>
      <c r="AE162" s="39">
        <f t="shared" si="25"/>
        <v>0</v>
      </c>
      <c r="AF162" s="39">
        <f t="shared" si="26"/>
        <v>0</v>
      </c>
      <c r="AG162" s="39" t="str">
        <f t="shared" si="27"/>
        <v>E</v>
      </c>
    </row>
    <row r="163" spans="1:33" ht="35.1" customHeight="1" x14ac:dyDescent="0.25">
      <c r="A163" s="61">
        <v>163</v>
      </c>
      <c r="B163" s="23" t="s">
        <v>246</v>
      </c>
      <c r="C163" s="29" t="s">
        <v>1007</v>
      </c>
      <c r="D163" s="29" t="s">
        <v>418</v>
      </c>
      <c r="E163" s="22" t="s">
        <v>49</v>
      </c>
      <c r="F163" s="23" t="s">
        <v>608</v>
      </c>
      <c r="G163" s="23" t="s">
        <v>246</v>
      </c>
      <c r="H163" s="29" t="s">
        <v>851</v>
      </c>
      <c r="I163" s="29">
        <v>23.05</v>
      </c>
      <c r="J163" s="29">
        <v>3</v>
      </c>
      <c r="K163" s="29">
        <v>8.5</v>
      </c>
      <c r="L163" s="29">
        <v>5</v>
      </c>
      <c r="M163" s="29"/>
      <c r="N163" s="29"/>
      <c r="O163" s="23" t="s">
        <v>20</v>
      </c>
      <c r="P163" s="23" t="s">
        <v>730</v>
      </c>
      <c r="Q163" s="24" t="s">
        <v>27</v>
      </c>
      <c r="R163" s="54" t="str">
        <f t="shared" si="31"/>
        <v>NARROW</v>
      </c>
      <c r="S163" s="29" t="s">
        <v>27</v>
      </c>
      <c r="T163" s="29" t="s">
        <v>33</v>
      </c>
      <c r="U163" s="29"/>
      <c r="V163" s="29"/>
      <c r="W163" s="46"/>
      <c r="X163" s="76"/>
      <c r="Y163" s="76"/>
      <c r="Z163" s="39">
        <f t="shared" si="28"/>
        <v>1</v>
      </c>
      <c r="AA163" s="39">
        <f t="shared" si="23"/>
        <v>0</v>
      </c>
      <c r="AB163" s="39">
        <f t="shared" si="29"/>
        <v>0</v>
      </c>
      <c r="AC163" s="39">
        <f t="shared" si="30"/>
        <v>0</v>
      </c>
      <c r="AD163" s="39">
        <f t="shared" si="24"/>
        <v>0</v>
      </c>
      <c r="AE163" s="39">
        <f t="shared" si="25"/>
        <v>0</v>
      </c>
      <c r="AF163" s="39">
        <f t="shared" si="26"/>
        <v>0</v>
      </c>
      <c r="AG163" s="39">
        <f t="shared" si="27"/>
        <v>0</v>
      </c>
    </row>
    <row r="164" spans="1:33" ht="35.1" customHeight="1" x14ac:dyDescent="0.25">
      <c r="A164" s="61">
        <v>164</v>
      </c>
      <c r="B164" s="23" t="s">
        <v>247</v>
      </c>
      <c r="C164" s="29" t="s">
        <v>1008</v>
      </c>
      <c r="D164" s="29" t="s">
        <v>419</v>
      </c>
      <c r="E164" s="22" t="s">
        <v>49</v>
      </c>
      <c r="F164" s="23" t="s">
        <v>609</v>
      </c>
      <c r="G164" s="23" t="s">
        <v>610</v>
      </c>
      <c r="H164" s="29" t="s">
        <v>851</v>
      </c>
      <c r="I164" s="29">
        <v>23.05</v>
      </c>
      <c r="J164" s="29">
        <v>3</v>
      </c>
      <c r="K164" s="29">
        <v>12.75</v>
      </c>
      <c r="L164" s="29">
        <v>5</v>
      </c>
      <c r="M164" s="30"/>
      <c r="N164" s="30"/>
      <c r="O164" s="23" t="s">
        <v>677</v>
      </c>
      <c r="P164" s="23" t="s">
        <v>730</v>
      </c>
      <c r="Q164" s="24" t="s">
        <v>857</v>
      </c>
      <c r="R164" s="54" t="str">
        <f t="shared" si="31"/>
        <v>NARROW</v>
      </c>
      <c r="S164" s="29" t="s">
        <v>27</v>
      </c>
      <c r="T164" s="29" t="s">
        <v>33</v>
      </c>
      <c r="U164" s="29"/>
      <c r="V164" s="29"/>
      <c r="W164" s="46"/>
      <c r="X164" s="76"/>
      <c r="Y164" s="76"/>
      <c r="Z164" s="39">
        <f t="shared" si="28"/>
        <v>1</v>
      </c>
      <c r="AA164" s="39">
        <f t="shared" si="23"/>
        <v>0</v>
      </c>
      <c r="AB164" s="39">
        <f t="shared" si="29"/>
        <v>0</v>
      </c>
      <c r="AC164" s="39">
        <f t="shared" si="30"/>
        <v>0</v>
      </c>
      <c r="AD164" s="39">
        <f t="shared" si="24"/>
        <v>0</v>
      </c>
      <c r="AE164" s="39">
        <f t="shared" si="25"/>
        <v>0</v>
      </c>
      <c r="AF164" s="39">
        <f t="shared" si="26"/>
        <v>0</v>
      </c>
      <c r="AG164" s="39">
        <f t="shared" si="27"/>
        <v>0</v>
      </c>
    </row>
    <row r="165" spans="1:33" ht="35.1" customHeight="1" x14ac:dyDescent="0.25">
      <c r="A165" s="61">
        <v>165</v>
      </c>
      <c r="B165" s="23" t="s">
        <v>37</v>
      </c>
      <c r="C165" s="29" t="s">
        <v>1009</v>
      </c>
      <c r="D165" s="29" t="s">
        <v>420</v>
      </c>
      <c r="E165" s="22" t="s">
        <v>49</v>
      </c>
      <c r="F165" s="23"/>
      <c r="G165" s="23"/>
      <c r="H165" s="29" t="s">
        <v>851</v>
      </c>
      <c r="I165" s="29">
        <v>27.8</v>
      </c>
      <c r="J165" s="29">
        <v>3</v>
      </c>
      <c r="K165" s="29">
        <v>9.27</v>
      </c>
      <c r="L165" s="29">
        <v>8.0500000000000007</v>
      </c>
      <c r="M165" s="29"/>
      <c r="N165" s="29"/>
      <c r="O165" s="23" t="s">
        <v>20</v>
      </c>
      <c r="P165" s="23" t="s">
        <v>730</v>
      </c>
      <c r="Q165" s="24" t="s">
        <v>27</v>
      </c>
      <c r="R165" s="54" t="str">
        <f t="shared" si="31"/>
        <v>OK</v>
      </c>
      <c r="S165" s="29" t="s">
        <v>27</v>
      </c>
      <c r="T165" s="29" t="s">
        <v>33</v>
      </c>
      <c r="U165" s="29"/>
      <c r="V165" s="29"/>
      <c r="W165" s="46"/>
      <c r="X165" s="76"/>
      <c r="Y165" s="76"/>
      <c r="Z165" s="39">
        <f t="shared" si="28"/>
        <v>0</v>
      </c>
      <c r="AA165" s="39">
        <f t="shared" si="23"/>
        <v>0</v>
      </c>
      <c r="AB165" s="39">
        <f t="shared" si="29"/>
        <v>0</v>
      </c>
      <c r="AC165" s="39">
        <f t="shared" si="30"/>
        <v>0</v>
      </c>
      <c r="AD165" s="39">
        <f t="shared" si="24"/>
        <v>0</v>
      </c>
      <c r="AE165" s="39">
        <f t="shared" si="25"/>
        <v>0</v>
      </c>
      <c r="AF165" s="39">
        <f t="shared" si="26"/>
        <v>0</v>
      </c>
      <c r="AG165" s="39" t="str">
        <f t="shared" si="27"/>
        <v>E</v>
      </c>
    </row>
    <row r="166" spans="1:33" ht="35.1" customHeight="1" x14ac:dyDescent="0.25">
      <c r="A166" s="61">
        <v>166</v>
      </c>
      <c r="B166" s="23" t="s">
        <v>248</v>
      </c>
      <c r="C166" s="29" t="s">
        <v>916</v>
      </c>
      <c r="D166" s="29" t="s">
        <v>421</v>
      </c>
      <c r="E166" s="22" t="s">
        <v>49</v>
      </c>
      <c r="F166" s="23" t="s">
        <v>248</v>
      </c>
      <c r="G166" s="23" t="s">
        <v>611</v>
      </c>
      <c r="H166" s="29" t="s">
        <v>851</v>
      </c>
      <c r="I166" s="4">
        <v>26.6</v>
      </c>
      <c r="J166" s="29">
        <v>3</v>
      </c>
      <c r="K166" s="29"/>
      <c r="L166" s="4">
        <v>8.6999999999999993</v>
      </c>
      <c r="M166" s="30"/>
      <c r="N166" s="30"/>
      <c r="O166" s="53"/>
      <c r="P166" s="53"/>
      <c r="Q166" s="24" t="s">
        <v>27</v>
      </c>
      <c r="R166" s="54" t="str">
        <f t="shared" si="31"/>
        <v>OK</v>
      </c>
      <c r="S166" s="29" t="s">
        <v>27</v>
      </c>
      <c r="T166" s="29" t="s">
        <v>33</v>
      </c>
      <c r="U166" s="29"/>
      <c r="V166" s="43">
        <v>2576</v>
      </c>
      <c r="W166" s="46">
        <v>18</v>
      </c>
      <c r="X166" s="76"/>
      <c r="Y166" s="76"/>
      <c r="Z166" s="39">
        <f t="shared" si="28"/>
        <v>0</v>
      </c>
      <c r="AA166" s="39">
        <f t="shared" si="23"/>
        <v>0</v>
      </c>
      <c r="AB166" s="39">
        <f t="shared" si="29"/>
        <v>0</v>
      </c>
      <c r="AC166" s="39">
        <f t="shared" si="30"/>
        <v>0</v>
      </c>
      <c r="AD166" s="39">
        <f t="shared" si="24"/>
        <v>0</v>
      </c>
      <c r="AE166" s="39">
        <f t="shared" si="25"/>
        <v>0</v>
      </c>
      <c r="AF166" s="39">
        <f t="shared" si="26"/>
        <v>0</v>
      </c>
      <c r="AG166" s="39" t="str">
        <f t="shared" si="27"/>
        <v>E</v>
      </c>
    </row>
    <row r="167" spans="1:33" ht="35.1" customHeight="1" x14ac:dyDescent="0.25">
      <c r="A167" s="61">
        <v>167</v>
      </c>
      <c r="B167" s="23" t="s">
        <v>249</v>
      </c>
      <c r="C167" s="29" t="s">
        <v>916</v>
      </c>
      <c r="D167" s="29" t="s">
        <v>422</v>
      </c>
      <c r="E167" s="22" t="s">
        <v>49</v>
      </c>
      <c r="F167" s="23" t="s">
        <v>612</v>
      </c>
      <c r="G167" s="23" t="s">
        <v>613</v>
      </c>
      <c r="H167" s="24" t="s">
        <v>522</v>
      </c>
      <c r="I167" s="29"/>
      <c r="J167" s="29"/>
      <c r="K167" s="29"/>
      <c r="L167" s="29"/>
      <c r="M167" s="29"/>
      <c r="N167" s="29"/>
      <c r="O167" s="23"/>
      <c r="P167" s="23"/>
      <c r="Q167" s="24"/>
      <c r="R167" s="54" t="str">
        <f t="shared" si="31"/>
        <v>NARROW</v>
      </c>
      <c r="S167" s="29"/>
      <c r="T167" s="29"/>
      <c r="U167" s="29"/>
      <c r="V167" s="29"/>
      <c r="W167" s="46"/>
      <c r="X167" s="76"/>
      <c r="Y167" s="76"/>
      <c r="Z167" s="39">
        <f t="shared" si="28"/>
        <v>1</v>
      </c>
      <c r="AA167" s="39">
        <f t="shared" si="23"/>
        <v>0</v>
      </c>
      <c r="AB167" s="39">
        <f t="shared" si="29"/>
        <v>0</v>
      </c>
      <c r="AC167" s="39">
        <f t="shared" si="30"/>
        <v>0</v>
      </c>
      <c r="AD167" s="39">
        <f t="shared" si="24"/>
        <v>0</v>
      </c>
      <c r="AE167" s="39">
        <f t="shared" si="25"/>
        <v>0</v>
      </c>
      <c r="AF167" s="39">
        <f t="shared" si="26"/>
        <v>0</v>
      </c>
      <c r="AG167" s="39">
        <f t="shared" si="27"/>
        <v>0</v>
      </c>
    </row>
    <row r="168" spans="1:33" ht="35.1" customHeight="1" x14ac:dyDescent="0.25">
      <c r="A168" s="61">
        <v>168</v>
      </c>
      <c r="B168" s="23" t="s">
        <v>250</v>
      </c>
      <c r="C168" s="29" t="s">
        <v>1010</v>
      </c>
      <c r="D168" s="29" t="s">
        <v>423</v>
      </c>
      <c r="E168" s="22" t="s">
        <v>49</v>
      </c>
      <c r="F168" s="23" t="s">
        <v>250</v>
      </c>
      <c r="G168" s="23" t="s">
        <v>614</v>
      </c>
      <c r="H168" s="29" t="s">
        <v>522</v>
      </c>
      <c r="I168" s="4">
        <v>42.8</v>
      </c>
      <c r="J168" s="29"/>
      <c r="K168" s="29"/>
      <c r="L168" s="4">
        <v>10.8</v>
      </c>
      <c r="M168" s="29"/>
      <c r="N168" s="29"/>
      <c r="O168" s="23"/>
      <c r="P168" s="23"/>
      <c r="Q168" s="24"/>
      <c r="R168" s="54" t="str">
        <f t="shared" si="31"/>
        <v>OK</v>
      </c>
      <c r="S168" s="29"/>
      <c r="T168" s="29"/>
      <c r="U168" s="29"/>
      <c r="V168" s="29"/>
      <c r="W168" s="46"/>
      <c r="X168" s="76"/>
      <c r="Y168" s="76"/>
      <c r="Z168" s="39">
        <f t="shared" si="28"/>
        <v>0</v>
      </c>
      <c r="AA168" s="39">
        <f t="shared" si="23"/>
        <v>0</v>
      </c>
      <c r="AB168" s="39">
        <f t="shared" si="29"/>
        <v>0</v>
      </c>
      <c r="AC168" s="39">
        <f t="shared" si="30"/>
        <v>0</v>
      </c>
      <c r="AD168" s="39">
        <f t="shared" si="24"/>
        <v>0</v>
      </c>
      <c r="AE168" s="39">
        <f t="shared" si="25"/>
        <v>0</v>
      </c>
      <c r="AF168" s="39">
        <f t="shared" si="26"/>
        <v>0</v>
      </c>
      <c r="AG168" s="39" t="str">
        <f t="shared" si="27"/>
        <v>E</v>
      </c>
    </row>
    <row r="169" spans="1:33" ht="35.1" customHeight="1" x14ac:dyDescent="0.25">
      <c r="A169" s="61">
        <v>169</v>
      </c>
      <c r="B169" s="23" t="s">
        <v>760</v>
      </c>
      <c r="C169" s="29" t="s">
        <v>916</v>
      </c>
      <c r="D169" s="29" t="s">
        <v>424</v>
      </c>
      <c r="E169" s="22" t="s">
        <v>49</v>
      </c>
      <c r="F169" s="23" t="s">
        <v>251</v>
      </c>
      <c r="G169" s="23" t="s">
        <v>615</v>
      </c>
      <c r="H169" s="29" t="s">
        <v>522</v>
      </c>
      <c r="I169" s="4">
        <v>30.7</v>
      </c>
      <c r="J169" s="29">
        <v>1</v>
      </c>
      <c r="K169" s="29"/>
      <c r="L169" s="4">
        <v>10.6</v>
      </c>
      <c r="M169" s="30"/>
      <c r="N169" s="30"/>
      <c r="O169" s="23" t="s">
        <v>21</v>
      </c>
      <c r="P169" s="23" t="s">
        <v>730</v>
      </c>
      <c r="Q169" s="24" t="s">
        <v>27</v>
      </c>
      <c r="R169" s="54" t="str">
        <f t="shared" si="31"/>
        <v>OK</v>
      </c>
      <c r="S169" s="29" t="s">
        <v>27</v>
      </c>
      <c r="T169" s="29" t="s">
        <v>33</v>
      </c>
      <c r="U169" s="29"/>
      <c r="V169" s="43">
        <v>2836</v>
      </c>
      <c r="W169" s="46">
        <v>4</v>
      </c>
      <c r="X169" s="76"/>
      <c r="Y169" s="76"/>
      <c r="Z169" s="39">
        <f t="shared" si="28"/>
        <v>0</v>
      </c>
      <c r="AA169" s="39">
        <f t="shared" si="23"/>
        <v>0</v>
      </c>
      <c r="AB169" s="39">
        <f t="shared" si="29"/>
        <v>0</v>
      </c>
      <c r="AC169" s="39">
        <f t="shared" si="30"/>
        <v>0</v>
      </c>
      <c r="AD169" s="39">
        <f t="shared" si="24"/>
        <v>0</v>
      </c>
      <c r="AE169" s="39">
        <f t="shared" si="25"/>
        <v>0</v>
      </c>
      <c r="AF169" s="39">
        <f t="shared" si="26"/>
        <v>0</v>
      </c>
      <c r="AG169" s="39" t="str">
        <f t="shared" si="27"/>
        <v>E</v>
      </c>
    </row>
    <row r="170" spans="1:33" ht="35.1" customHeight="1" x14ac:dyDescent="0.25">
      <c r="A170" s="61">
        <v>170</v>
      </c>
      <c r="B170" s="23" t="s">
        <v>252</v>
      </c>
      <c r="C170" s="29" t="s">
        <v>1011</v>
      </c>
      <c r="D170" s="29" t="s">
        <v>425</v>
      </c>
      <c r="E170" s="22" t="s">
        <v>49</v>
      </c>
      <c r="F170" s="23"/>
      <c r="G170" s="23"/>
      <c r="H170" s="29" t="s">
        <v>522</v>
      </c>
      <c r="I170" s="29">
        <v>8.3000000000000007</v>
      </c>
      <c r="J170" s="29">
        <v>2</v>
      </c>
      <c r="K170" s="29">
        <v>4.1500000000000004</v>
      </c>
      <c r="L170" s="29">
        <v>11.9</v>
      </c>
      <c r="M170" s="29"/>
      <c r="N170" s="29"/>
      <c r="O170" s="23" t="s">
        <v>720</v>
      </c>
      <c r="P170" s="23" t="s">
        <v>730</v>
      </c>
      <c r="Q170" s="24" t="s">
        <v>27</v>
      </c>
      <c r="R170" s="54" t="str">
        <f t="shared" si="31"/>
        <v>OK</v>
      </c>
      <c r="S170" s="29" t="s">
        <v>27</v>
      </c>
      <c r="T170" s="29" t="s">
        <v>33</v>
      </c>
      <c r="U170" s="29"/>
      <c r="V170" s="43">
        <v>2836</v>
      </c>
      <c r="W170" s="46">
        <v>4</v>
      </c>
      <c r="X170" s="76"/>
      <c r="Y170" s="76"/>
      <c r="Z170" s="39">
        <f t="shared" si="28"/>
        <v>0</v>
      </c>
      <c r="AA170" s="39">
        <f t="shared" si="23"/>
        <v>0</v>
      </c>
      <c r="AB170" s="39">
        <f t="shared" si="29"/>
        <v>0</v>
      </c>
      <c r="AC170" s="39">
        <f t="shared" si="30"/>
        <v>0</v>
      </c>
      <c r="AD170" s="39">
        <f t="shared" si="24"/>
        <v>0</v>
      </c>
      <c r="AE170" s="39">
        <f t="shared" si="25"/>
        <v>0</v>
      </c>
      <c r="AF170" s="39">
        <f t="shared" si="26"/>
        <v>0</v>
      </c>
      <c r="AG170" s="39" t="str">
        <f t="shared" si="27"/>
        <v>E</v>
      </c>
    </row>
    <row r="171" spans="1:33" ht="35.1" customHeight="1" x14ac:dyDescent="0.25">
      <c r="A171" s="61">
        <v>171</v>
      </c>
      <c r="B171" s="23" t="s">
        <v>253</v>
      </c>
      <c r="C171" s="29" t="s">
        <v>1012</v>
      </c>
      <c r="D171" s="29" t="s">
        <v>426</v>
      </c>
      <c r="E171" s="22" t="s">
        <v>49</v>
      </c>
      <c r="F171" s="23"/>
      <c r="G171" s="23"/>
      <c r="H171" s="29" t="s">
        <v>522</v>
      </c>
      <c r="I171" s="29">
        <v>20.65</v>
      </c>
      <c r="J171" s="29">
        <v>1</v>
      </c>
      <c r="K171" s="29">
        <v>20.65</v>
      </c>
      <c r="L171" s="29">
        <v>10.3</v>
      </c>
      <c r="M171" s="30"/>
      <c r="N171" s="30"/>
      <c r="O171" s="23" t="s">
        <v>20</v>
      </c>
      <c r="P171" s="23" t="s">
        <v>730</v>
      </c>
      <c r="Q171" s="24" t="s">
        <v>27</v>
      </c>
      <c r="R171" s="54" t="str">
        <f t="shared" si="31"/>
        <v>OK</v>
      </c>
      <c r="S171" s="29" t="s">
        <v>27</v>
      </c>
      <c r="T171" s="29" t="s">
        <v>33</v>
      </c>
      <c r="U171" s="29"/>
      <c r="V171" s="43">
        <v>4489</v>
      </c>
      <c r="W171" s="46">
        <v>4</v>
      </c>
      <c r="X171" s="76"/>
      <c r="Y171" s="76"/>
      <c r="Z171" s="39">
        <f t="shared" si="28"/>
        <v>0</v>
      </c>
      <c r="AA171" s="39">
        <f t="shared" si="23"/>
        <v>0</v>
      </c>
      <c r="AB171" s="39">
        <f t="shared" si="29"/>
        <v>0</v>
      </c>
      <c r="AC171" s="39">
        <f t="shared" si="30"/>
        <v>0</v>
      </c>
      <c r="AD171" s="39">
        <f t="shared" si="24"/>
        <v>0</v>
      </c>
      <c r="AE171" s="39">
        <f t="shared" si="25"/>
        <v>0</v>
      </c>
      <c r="AF171" s="39">
        <f t="shared" si="26"/>
        <v>0</v>
      </c>
      <c r="AG171" s="39" t="str">
        <f t="shared" si="27"/>
        <v>E</v>
      </c>
    </row>
    <row r="172" spans="1:33" ht="35.1" customHeight="1" x14ac:dyDescent="0.25">
      <c r="A172" s="61">
        <v>172</v>
      </c>
      <c r="B172" s="23" t="s">
        <v>45</v>
      </c>
      <c r="C172" s="29" t="s">
        <v>911</v>
      </c>
      <c r="D172" s="29" t="s">
        <v>427</v>
      </c>
      <c r="E172" s="22" t="s">
        <v>49</v>
      </c>
      <c r="F172" s="23"/>
      <c r="G172" s="23"/>
      <c r="H172" s="29" t="s">
        <v>522</v>
      </c>
      <c r="I172" s="29">
        <v>10.5</v>
      </c>
      <c r="J172" s="29">
        <v>3</v>
      </c>
      <c r="K172" s="29">
        <v>3.55</v>
      </c>
      <c r="L172" s="29">
        <v>12.4</v>
      </c>
      <c r="M172" s="29"/>
      <c r="N172" s="29"/>
      <c r="O172" s="23" t="s">
        <v>677</v>
      </c>
      <c r="P172" s="23" t="s">
        <v>730</v>
      </c>
      <c r="Q172" s="24" t="s">
        <v>27</v>
      </c>
      <c r="R172" s="54" t="str">
        <f t="shared" si="31"/>
        <v>OK</v>
      </c>
      <c r="S172" s="29" t="s">
        <v>27</v>
      </c>
      <c r="T172" s="29" t="s">
        <v>33</v>
      </c>
      <c r="U172" s="29"/>
      <c r="V172" s="43">
        <v>4489</v>
      </c>
      <c r="W172" s="46">
        <v>4</v>
      </c>
      <c r="X172" s="76"/>
      <c r="Y172" s="76"/>
      <c r="Z172" s="39">
        <f t="shared" si="28"/>
        <v>0</v>
      </c>
      <c r="AA172" s="39">
        <f t="shared" si="23"/>
        <v>0</v>
      </c>
      <c r="AB172" s="39">
        <f t="shared" si="29"/>
        <v>0</v>
      </c>
      <c r="AC172" s="39">
        <f t="shared" si="30"/>
        <v>0</v>
      </c>
      <c r="AD172" s="39">
        <f t="shared" si="24"/>
        <v>0</v>
      </c>
      <c r="AE172" s="39">
        <f t="shared" si="25"/>
        <v>0</v>
      </c>
      <c r="AF172" s="39">
        <f t="shared" si="26"/>
        <v>0</v>
      </c>
      <c r="AG172" s="39" t="str">
        <f t="shared" si="27"/>
        <v>E</v>
      </c>
    </row>
    <row r="173" spans="1:33" ht="35.1" customHeight="1" x14ac:dyDescent="0.25">
      <c r="A173" s="61">
        <v>173</v>
      </c>
      <c r="B173" s="23" t="s">
        <v>52</v>
      </c>
      <c r="C173" s="29" t="s">
        <v>933</v>
      </c>
      <c r="D173" s="29" t="s">
        <v>428</v>
      </c>
      <c r="E173" s="22" t="s">
        <v>49</v>
      </c>
      <c r="F173" s="23"/>
      <c r="G173" s="23"/>
      <c r="H173" s="29" t="s">
        <v>522</v>
      </c>
      <c r="I173" s="29">
        <v>31</v>
      </c>
      <c r="J173" s="29">
        <v>2</v>
      </c>
      <c r="K173" s="29">
        <v>15.05</v>
      </c>
      <c r="L173" s="29">
        <v>10.199999999999999</v>
      </c>
      <c r="M173" s="30"/>
      <c r="N173" s="30"/>
      <c r="O173" s="23" t="s">
        <v>721</v>
      </c>
      <c r="P173" s="23" t="s">
        <v>731</v>
      </c>
      <c r="Q173" s="24" t="s">
        <v>857</v>
      </c>
      <c r="R173" s="54" t="str">
        <f t="shared" si="31"/>
        <v>OK</v>
      </c>
      <c r="S173" s="29" t="s">
        <v>27</v>
      </c>
      <c r="T173" s="29" t="s">
        <v>33</v>
      </c>
      <c r="U173" s="29"/>
      <c r="V173" s="29"/>
      <c r="W173" s="46"/>
      <c r="X173" s="76"/>
      <c r="Y173" s="76"/>
      <c r="Z173" s="39">
        <f t="shared" si="28"/>
        <v>0</v>
      </c>
      <c r="AA173" s="39">
        <f t="shared" si="23"/>
        <v>0</v>
      </c>
      <c r="AB173" s="39">
        <f t="shared" si="29"/>
        <v>0</v>
      </c>
      <c r="AC173" s="39">
        <f t="shared" si="30"/>
        <v>0</v>
      </c>
      <c r="AD173" s="39">
        <f t="shared" si="24"/>
        <v>0</v>
      </c>
      <c r="AE173" s="39">
        <f t="shared" si="25"/>
        <v>0</v>
      </c>
      <c r="AF173" s="39">
        <f t="shared" si="26"/>
        <v>0</v>
      </c>
      <c r="AG173" s="39" t="str">
        <f t="shared" si="27"/>
        <v>E</v>
      </c>
    </row>
    <row r="174" spans="1:33" ht="35.1" customHeight="1" x14ac:dyDescent="0.25">
      <c r="A174" s="61">
        <v>174</v>
      </c>
      <c r="B174" s="23" t="s">
        <v>45</v>
      </c>
      <c r="C174" s="29" t="s">
        <v>911</v>
      </c>
      <c r="D174" s="29" t="s">
        <v>429</v>
      </c>
      <c r="E174" s="22" t="s">
        <v>49</v>
      </c>
      <c r="F174" s="23" t="s">
        <v>616</v>
      </c>
      <c r="G174" s="23" t="s">
        <v>575</v>
      </c>
      <c r="H174" s="29" t="s">
        <v>522</v>
      </c>
      <c r="I174" s="29">
        <v>12.32</v>
      </c>
      <c r="J174" s="29">
        <v>3</v>
      </c>
      <c r="K174" s="29">
        <v>4.1100000000000003</v>
      </c>
      <c r="L174" s="29">
        <v>12.5</v>
      </c>
      <c r="M174" s="29"/>
      <c r="N174" s="29"/>
      <c r="O174" s="23" t="s">
        <v>20</v>
      </c>
      <c r="P174" s="23" t="s">
        <v>730</v>
      </c>
      <c r="Q174" s="24" t="s">
        <v>27</v>
      </c>
      <c r="R174" s="54" t="str">
        <f t="shared" si="31"/>
        <v>OK</v>
      </c>
      <c r="S174" s="29" t="s">
        <v>27</v>
      </c>
      <c r="T174" s="29" t="s">
        <v>32</v>
      </c>
      <c r="U174" s="29"/>
      <c r="V174" s="29"/>
      <c r="W174" s="46"/>
      <c r="X174" s="76"/>
      <c r="Y174" s="76"/>
      <c r="Z174" s="39">
        <f t="shared" si="28"/>
        <v>0</v>
      </c>
      <c r="AA174" s="39">
        <f t="shared" si="23"/>
        <v>1</v>
      </c>
      <c r="AB174" s="39">
        <f t="shared" si="29"/>
        <v>0</v>
      </c>
      <c r="AC174" s="39">
        <f t="shared" si="30"/>
        <v>0</v>
      </c>
      <c r="AD174" s="39">
        <f t="shared" si="24"/>
        <v>0</v>
      </c>
      <c r="AE174" s="39">
        <f t="shared" si="25"/>
        <v>0</v>
      </c>
      <c r="AF174" s="39">
        <f t="shared" si="26"/>
        <v>0</v>
      </c>
      <c r="AG174" s="39">
        <f t="shared" si="27"/>
        <v>0</v>
      </c>
    </row>
    <row r="175" spans="1:33" ht="35.1" customHeight="1" x14ac:dyDescent="0.25">
      <c r="A175" s="61">
        <v>175</v>
      </c>
      <c r="B175" s="23" t="s">
        <v>254</v>
      </c>
      <c r="C175" s="29" t="s">
        <v>1013</v>
      </c>
      <c r="D175" s="29" t="s">
        <v>430</v>
      </c>
      <c r="E175" s="22" t="s">
        <v>49</v>
      </c>
      <c r="F175" s="23"/>
      <c r="G175" s="23"/>
      <c r="H175" s="29" t="s">
        <v>522</v>
      </c>
      <c r="I175" s="29">
        <v>10.5</v>
      </c>
      <c r="J175" s="29">
        <v>3</v>
      </c>
      <c r="K175" s="29">
        <v>3.4</v>
      </c>
      <c r="L175" s="29">
        <v>12.4</v>
      </c>
      <c r="M175" s="29"/>
      <c r="N175" s="29"/>
      <c r="O175" s="23" t="s">
        <v>677</v>
      </c>
      <c r="P175" s="23" t="s">
        <v>730</v>
      </c>
      <c r="Q175" s="24" t="s">
        <v>27</v>
      </c>
      <c r="R175" s="54" t="str">
        <f t="shared" si="31"/>
        <v>OK</v>
      </c>
      <c r="S175" s="29" t="s">
        <v>27</v>
      </c>
      <c r="T175" s="29" t="s">
        <v>33</v>
      </c>
      <c r="U175" s="29"/>
      <c r="V175" s="29"/>
      <c r="W175" s="46"/>
      <c r="X175" s="76"/>
      <c r="Y175" s="76"/>
      <c r="Z175" s="39">
        <f t="shared" si="28"/>
        <v>0</v>
      </c>
      <c r="AA175" s="39">
        <f t="shared" si="23"/>
        <v>0</v>
      </c>
      <c r="AB175" s="39">
        <f t="shared" si="29"/>
        <v>0</v>
      </c>
      <c r="AC175" s="39">
        <f t="shared" si="30"/>
        <v>0</v>
      </c>
      <c r="AD175" s="39">
        <f t="shared" si="24"/>
        <v>0</v>
      </c>
      <c r="AE175" s="39">
        <f t="shared" si="25"/>
        <v>0</v>
      </c>
      <c r="AF175" s="39">
        <f t="shared" si="26"/>
        <v>0</v>
      </c>
      <c r="AG175" s="39" t="str">
        <f t="shared" si="27"/>
        <v>E</v>
      </c>
    </row>
    <row r="176" spans="1:33" ht="35.1" customHeight="1" x14ac:dyDescent="0.25">
      <c r="A176" s="61">
        <v>176</v>
      </c>
      <c r="B176" s="23" t="s">
        <v>208</v>
      </c>
      <c r="C176" s="29" t="s">
        <v>1014</v>
      </c>
      <c r="D176" s="29" t="s">
        <v>378</v>
      </c>
      <c r="E176" s="22" t="s">
        <v>49</v>
      </c>
      <c r="F176" s="23" t="s">
        <v>574</v>
      </c>
      <c r="G176" s="23" t="s">
        <v>575</v>
      </c>
      <c r="H176" s="29" t="s">
        <v>522</v>
      </c>
      <c r="I176" s="29">
        <v>20.65</v>
      </c>
      <c r="J176" s="29">
        <v>1</v>
      </c>
      <c r="K176" s="29">
        <v>20.65</v>
      </c>
      <c r="L176" s="29">
        <v>10.1</v>
      </c>
      <c r="M176" s="30"/>
      <c r="N176" s="30"/>
      <c r="O176" s="35" t="s">
        <v>711</v>
      </c>
      <c r="P176" s="23" t="s">
        <v>731</v>
      </c>
      <c r="Q176" s="24" t="s">
        <v>857</v>
      </c>
      <c r="R176" s="54" t="str">
        <f t="shared" si="31"/>
        <v>OK</v>
      </c>
      <c r="S176" s="29" t="s">
        <v>27</v>
      </c>
      <c r="T176" s="29" t="s">
        <v>33</v>
      </c>
      <c r="U176" s="29"/>
      <c r="V176" s="29"/>
      <c r="W176" s="46"/>
      <c r="X176" s="76"/>
      <c r="Y176" s="76"/>
      <c r="Z176" s="39">
        <f t="shared" si="28"/>
        <v>0</v>
      </c>
      <c r="AA176" s="39">
        <f t="shared" si="23"/>
        <v>0</v>
      </c>
      <c r="AB176" s="39">
        <f t="shared" si="29"/>
        <v>0</v>
      </c>
      <c r="AC176" s="39">
        <f t="shared" ref="AC176:AC207" si="32">IF(Z176+AB176=2,"A",0)</f>
        <v>0</v>
      </c>
      <c r="AD176" s="39">
        <f t="shared" si="24"/>
        <v>0</v>
      </c>
      <c r="AE176" s="39">
        <f t="shared" si="25"/>
        <v>0</v>
      </c>
      <c r="AF176" s="39">
        <f t="shared" si="26"/>
        <v>0</v>
      </c>
      <c r="AG176" s="39" t="str">
        <f t="shared" si="27"/>
        <v>E</v>
      </c>
    </row>
    <row r="177" spans="1:33" ht="35.1" customHeight="1" x14ac:dyDescent="0.25">
      <c r="A177" s="61">
        <v>177</v>
      </c>
      <c r="B177" s="23" t="s">
        <v>761</v>
      </c>
      <c r="C177" s="29" t="s">
        <v>1015</v>
      </c>
      <c r="D177" s="29" t="s">
        <v>431</v>
      </c>
      <c r="E177" s="22" t="s">
        <v>49</v>
      </c>
      <c r="F177" s="23" t="s">
        <v>256</v>
      </c>
      <c r="G177" s="23" t="s">
        <v>618</v>
      </c>
      <c r="H177" s="29" t="s">
        <v>522</v>
      </c>
      <c r="I177" s="4">
        <v>12</v>
      </c>
      <c r="J177" s="29">
        <v>2</v>
      </c>
      <c r="K177" s="29"/>
      <c r="L177" s="4">
        <v>7.3</v>
      </c>
      <c r="M177" s="29"/>
      <c r="N177" s="29"/>
      <c r="O177" s="23" t="s">
        <v>19</v>
      </c>
      <c r="P177" s="23" t="s">
        <v>730</v>
      </c>
      <c r="Q177" s="24" t="s">
        <v>27</v>
      </c>
      <c r="R177" s="54" t="str">
        <f t="shared" si="31"/>
        <v>OK</v>
      </c>
      <c r="S177" s="29" t="s">
        <v>27</v>
      </c>
      <c r="T177" s="29" t="s">
        <v>33</v>
      </c>
      <c r="U177" s="29"/>
      <c r="V177" s="29"/>
      <c r="W177" s="46"/>
      <c r="X177" s="76"/>
      <c r="Y177" s="76"/>
      <c r="Z177" s="39">
        <f t="shared" si="28"/>
        <v>0</v>
      </c>
      <c r="AA177" s="39">
        <f t="shared" si="23"/>
        <v>0</v>
      </c>
      <c r="AB177" s="39">
        <f t="shared" si="29"/>
        <v>0</v>
      </c>
      <c r="AC177" s="39">
        <f t="shared" si="32"/>
        <v>0</v>
      </c>
      <c r="AD177" s="39">
        <f t="shared" si="24"/>
        <v>0</v>
      </c>
      <c r="AE177" s="39">
        <f t="shared" si="25"/>
        <v>0</v>
      </c>
      <c r="AF177" s="39">
        <f t="shared" si="26"/>
        <v>0</v>
      </c>
      <c r="AG177" s="39" t="str">
        <f t="shared" si="27"/>
        <v>E</v>
      </c>
    </row>
    <row r="178" spans="1:33" ht="35.1" customHeight="1" x14ac:dyDescent="0.25">
      <c r="A178" s="61">
        <v>178</v>
      </c>
      <c r="B178" s="23" t="s">
        <v>257</v>
      </c>
      <c r="C178" s="29" t="s">
        <v>1016</v>
      </c>
      <c r="D178" s="29" t="s">
        <v>432</v>
      </c>
      <c r="E178" s="22" t="s">
        <v>49</v>
      </c>
      <c r="F178" s="23"/>
      <c r="G178" s="23"/>
      <c r="H178" s="29" t="s">
        <v>522</v>
      </c>
      <c r="I178" s="29">
        <v>18</v>
      </c>
      <c r="J178" s="29">
        <v>4</v>
      </c>
      <c r="K178" s="29">
        <v>4.47</v>
      </c>
      <c r="L178" s="29">
        <v>23.45</v>
      </c>
      <c r="M178" s="30"/>
      <c r="N178" s="30"/>
      <c r="O178" s="23" t="s">
        <v>20</v>
      </c>
      <c r="P178" s="23" t="s">
        <v>730</v>
      </c>
      <c r="Q178" s="24" t="s">
        <v>27</v>
      </c>
      <c r="R178" s="54" t="str">
        <f t="shared" si="31"/>
        <v>OK</v>
      </c>
      <c r="S178" s="29" t="s">
        <v>27</v>
      </c>
      <c r="T178" s="29" t="s">
        <v>33</v>
      </c>
      <c r="U178" s="29"/>
      <c r="V178" s="29"/>
      <c r="W178" s="46"/>
      <c r="X178" s="76"/>
      <c r="Y178" s="76"/>
      <c r="Z178" s="39">
        <f t="shared" si="28"/>
        <v>0</v>
      </c>
      <c r="AA178" s="39">
        <f t="shared" si="23"/>
        <v>0</v>
      </c>
      <c r="AB178" s="39">
        <f t="shared" si="29"/>
        <v>0</v>
      </c>
      <c r="AC178" s="39">
        <f t="shared" si="32"/>
        <v>0</v>
      </c>
      <c r="AD178" s="39">
        <f t="shared" si="24"/>
        <v>0</v>
      </c>
      <c r="AE178" s="39">
        <f t="shared" si="25"/>
        <v>0</v>
      </c>
      <c r="AF178" s="39">
        <f t="shared" si="26"/>
        <v>0</v>
      </c>
      <c r="AG178" s="39" t="str">
        <f t="shared" si="27"/>
        <v>E</v>
      </c>
    </row>
    <row r="179" spans="1:33" ht="35.1" customHeight="1" x14ac:dyDescent="0.25">
      <c r="A179" s="61">
        <v>179</v>
      </c>
      <c r="B179" s="23" t="s">
        <v>258</v>
      </c>
      <c r="C179" s="29" t="s">
        <v>1015</v>
      </c>
      <c r="D179" s="29" t="s">
        <v>433</v>
      </c>
      <c r="E179" s="22" t="s">
        <v>49</v>
      </c>
      <c r="F179" s="23" t="s">
        <v>259</v>
      </c>
      <c r="G179" s="23" t="s">
        <v>619</v>
      </c>
      <c r="H179" s="29" t="s">
        <v>522</v>
      </c>
      <c r="I179" s="29">
        <v>11.5</v>
      </c>
      <c r="J179" s="29">
        <v>2</v>
      </c>
      <c r="K179" s="29">
        <v>5.85</v>
      </c>
      <c r="L179" s="29">
        <v>7</v>
      </c>
      <c r="M179" s="29"/>
      <c r="N179" s="29"/>
      <c r="O179" s="23" t="s">
        <v>722</v>
      </c>
      <c r="P179" s="23" t="s">
        <v>730</v>
      </c>
      <c r="Q179" s="24" t="s">
        <v>857</v>
      </c>
      <c r="R179" s="54" t="str">
        <f t="shared" si="31"/>
        <v>NARROW</v>
      </c>
      <c r="S179" s="29" t="s">
        <v>27</v>
      </c>
      <c r="T179" s="29" t="s">
        <v>33</v>
      </c>
      <c r="U179" s="29"/>
      <c r="V179" s="29"/>
      <c r="W179" s="46"/>
      <c r="X179" s="76"/>
      <c r="Y179" s="76"/>
      <c r="Z179" s="39">
        <f t="shared" si="28"/>
        <v>1</v>
      </c>
      <c r="AA179" s="39">
        <f t="shared" si="23"/>
        <v>0</v>
      </c>
      <c r="AB179" s="39">
        <f t="shared" si="29"/>
        <v>0</v>
      </c>
      <c r="AC179" s="39">
        <f t="shared" si="32"/>
        <v>0</v>
      </c>
      <c r="AD179" s="39">
        <f t="shared" si="24"/>
        <v>0</v>
      </c>
      <c r="AE179" s="39">
        <f t="shared" si="25"/>
        <v>0</v>
      </c>
      <c r="AF179" s="39">
        <f t="shared" si="26"/>
        <v>0</v>
      </c>
      <c r="AG179" s="39">
        <f t="shared" si="27"/>
        <v>0</v>
      </c>
    </row>
    <row r="180" spans="1:33" ht="35.1" customHeight="1" x14ac:dyDescent="0.25">
      <c r="A180" s="61">
        <v>180</v>
      </c>
      <c r="B180" s="23" t="s">
        <v>259</v>
      </c>
      <c r="C180" s="29" t="s">
        <v>1017</v>
      </c>
      <c r="D180" s="29" t="s">
        <v>434</v>
      </c>
      <c r="E180" s="22" t="s">
        <v>49</v>
      </c>
      <c r="F180" s="23" t="s">
        <v>259</v>
      </c>
      <c r="G180" s="23" t="s">
        <v>620</v>
      </c>
      <c r="H180" s="29" t="s">
        <v>522</v>
      </c>
      <c r="I180" s="4">
        <v>39.5</v>
      </c>
      <c r="J180" s="29">
        <v>3</v>
      </c>
      <c r="K180" s="29"/>
      <c r="L180" s="4">
        <v>8.1999999999999993</v>
      </c>
      <c r="M180" s="29"/>
      <c r="N180" s="29"/>
      <c r="O180" s="23" t="s">
        <v>21</v>
      </c>
      <c r="P180" s="23" t="s">
        <v>762</v>
      </c>
      <c r="Q180" s="24" t="s">
        <v>27</v>
      </c>
      <c r="R180" s="54" t="str">
        <f t="shared" ref="R180:R216" si="33">IF(L180&lt;7.3,"NARROW","OK")</f>
        <v>OK</v>
      </c>
      <c r="S180" s="29" t="s">
        <v>27</v>
      </c>
      <c r="T180" s="29" t="s">
        <v>33</v>
      </c>
      <c r="U180" s="29"/>
      <c r="V180" s="29"/>
      <c r="W180" s="46"/>
      <c r="X180" s="76"/>
      <c r="Y180" s="76"/>
      <c r="Z180" s="39">
        <f t="shared" si="28"/>
        <v>0</v>
      </c>
      <c r="AA180" s="39">
        <f t="shared" si="23"/>
        <v>0</v>
      </c>
      <c r="AB180" s="39">
        <f t="shared" si="29"/>
        <v>0</v>
      </c>
      <c r="AC180" s="39">
        <f t="shared" si="32"/>
        <v>0</v>
      </c>
      <c r="AD180" s="39">
        <f t="shared" si="24"/>
        <v>0</v>
      </c>
      <c r="AE180" s="39">
        <f t="shared" si="25"/>
        <v>0</v>
      </c>
      <c r="AF180" s="39">
        <f t="shared" si="26"/>
        <v>0</v>
      </c>
      <c r="AG180" s="39" t="str">
        <f t="shared" si="27"/>
        <v>E</v>
      </c>
    </row>
    <row r="181" spans="1:33" ht="35.1" customHeight="1" x14ac:dyDescent="0.25">
      <c r="A181" s="61">
        <v>181</v>
      </c>
      <c r="B181" s="23" t="s">
        <v>259</v>
      </c>
      <c r="C181" s="29" t="s">
        <v>1017</v>
      </c>
      <c r="D181" s="29" t="s">
        <v>435</v>
      </c>
      <c r="E181" s="22" t="s">
        <v>49</v>
      </c>
      <c r="F181" s="23" t="s">
        <v>259</v>
      </c>
      <c r="G181" s="23" t="s">
        <v>620</v>
      </c>
      <c r="H181" s="29" t="s">
        <v>851</v>
      </c>
      <c r="I181" s="4">
        <v>17</v>
      </c>
      <c r="J181" s="29">
        <v>3</v>
      </c>
      <c r="K181" s="29"/>
      <c r="L181" s="4">
        <v>5.4</v>
      </c>
      <c r="M181" s="30"/>
      <c r="N181" s="30"/>
      <c r="O181" s="23" t="s">
        <v>21</v>
      </c>
      <c r="P181" s="23" t="s">
        <v>730</v>
      </c>
      <c r="Q181" s="24" t="s">
        <v>857</v>
      </c>
      <c r="R181" s="54" t="str">
        <f t="shared" si="33"/>
        <v>NARROW</v>
      </c>
      <c r="S181" s="29" t="s">
        <v>27</v>
      </c>
      <c r="T181" s="29" t="s">
        <v>33</v>
      </c>
      <c r="U181" s="29"/>
      <c r="V181" s="29"/>
      <c r="W181" s="46"/>
      <c r="X181" s="76"/>
      <c r="Y181" s="76"/>
      <c r="Z181" s="39">
        <f t="shared" si="28"/>
        <v>1</v>
      </c>
      <c r="AA181" s="39">
        <f t="shared" si="23"/>
        <v>0</v>
      </c>
      <c r="AB181" s="39">
        <f t="shared" si="29"/>
        <v>0</v>
      </c>
      <c r="AC181" s="39">
        <f t="shared" si="32"/>
        <v>0</v>
      </c>
      <c r="AD181" s="39">
        <f t="shared" si="24"/>
        <v>0</v>
      </c>
      <c r="AE181" s="39">
        <f t="shared" si="25"/>
        <v>0</v>
      </c>
      <c r="AF181" s="39">
        <f t="shared" si="26"/>
        <v>0</v>
      </c>
      <c r="AG181" s="39">
        <f t="shared" si="27"/>
        <v>0</v>
      </c>
    </row>
    <row r="182" spans="1:33" ht="35.1" customHeight="1" x14ac:dyDescent="0.25">
      <c r="A182" s="61">
        <v>182</v>
      </c>
      <c r="B182" s="23" t="s">
        <v>52</v>
      </c>
      <c r="C182" s="29" t="s">
        <v>933</v>
      </c>
      <c r="D182" s="29" t="s">
        <v>436</v>
      </c>
      <c r="E182" s="22" t="s">
        <v>49</v>
      </c>
      <c r="F182" s="23" t="s">
        <v>621</v>
      </c>
      <c r="G182" s="23" t="s">
        <v>622</v>
      </c>
      <c r="H182" s="29" t="s">
        <v>522</v>
      </c>
      <c r="I182" s="29">
        <v>39.25</v>
      </c>
      <c r="J182" s="29">
        <v>3</v>
      </c>
      <c r="K182" s="29"/>
      <c r="L182" s="29">
        <v>7.5</v>
      </c>
      <c r="M182" s="29"/>
      <c r="N182" s="29"/>
      <c r="O182" s="23" t="s">
        <v>21</v>
      </c>
      <c r="P182" s="23" t="s">
        <v>730</v>
      </c>
      <c r="Q182" s="24" t="s">
        <v>27</v>
      </c>
      <c r="R182" s="54" t="str">
        <f t="shared" si="33"/>
        <v>OK</v>
      </c>
      <c r="S182" s="29" t="s">
        <v>27</v>
      </c>
      <c r="T182" s="29" t="s">
        <v>33</v>
      </c>
      <c r="U182" s="29"/>
      <c r="V182" s="29"/>
      <c r="W182" s="46"/>
      <c r="X182" s="76"/>
      <c r="Y182" s="76"/>
      <c r="Z182" s="39">
        <f t="shared" si="28"/>
        <v>0</v>
      </c>
      <c r="AA182" s="39">
        <f t="shared" si="23"/>
        <v>0</v>
      </c>
      <c r="AB182" s="39">
        <f t="shared" si="29"/>
        <v>0</v>
      </c>
      <c r="AC182" s="39">
        <f t="shared" si="32"/>
        <v>0</v>
      </c>
      <c r="AD182" s="39">
        <f t="shared" si="24"/>
        <v>0</v>
      </c>
      <c r="AE182" s="39">
        <f t="shared" si="25"/>
        <v>0</v>
      </c>
      <c r="AF182" s="39">
        <f t="shared" si="26"/>
        <v>0</v>
      </c>
      <c r="AG182" s="39" t="str">
        <f t="shared" si="27"/>
        <v>E</v>
      </c>
    </row>
    <row r="183" spans="1:33" ht="35.1" customHeight="1" x14ac:dyDescent="0.25">
      <c r="A183" s="61">
        <v>183</v>
      </c>
      <c r="B183" s="23" t="s">
        <v>258</v>
      </c>
      <c r="C183" s="29" t="s">
        <v>1015</v>
      </c>
      <c r="D183" s="29" t="s">
        <v>436</v>
      </c>
      <c r="E183" s="22" t="s">
        <v>49</v>
      </c>
      <c r="F183" s="23"/>
      <c r="G183" s="23"/>
      <c r="H183" s="29" t="s">
        <v>522</v>
      </c>
      <c r="I183" s="29">
        <v>39.25</v>
      </c>
      <c r="J183" s="29">
        <v>3</v>
      </c>
      <c r="K183" s="29">
        <v>13.9</v>
      </c>
      <c r="L183" s="29">
        <v>7.5</v>
      </c>
      <c r="M183" s="30"/>
      <c r="N183" s="30"/>
      <c r="O183" s="23" t="s">
        <v>19</v>
      </c>
      <c r="P183" s="23" t="s">
        <v>730</v>
      </c>
      <c r="Q183" s="24" t="s">
        <v>27</v>
      </c>
      <c r="R183" s="54" t="str">
        <f t="shared" si="33"/>
        <v>OK</v>
      </c>
      <c r="S183" s="29" t="s">
        <v>27</v>
      </c>
      <c r="T183" s="29" t="s">
        <v>33</v>
      </c>
      <c r="U183" s="29"/>
      <c r="V183" s="29"/>
      <c r="W183" s="46"/>
      <c r="X183" s="76"/>
      <c r="Y183" s="76"/>
      <c r="Z183" s="39">
        <f t="shared" si="28"/>
        <v>0</v>
      </c>
      <c r="AA183" s="39">
        <f t="shared" si="23"/>
        <v>0</v>
      </c>
      <c r="AB183" s="39">
        <f t="shared" si="29"/>
        <v>0</v>
      </c>
      <c r="AC183" s="39">
        <f t="shared" si="32"/>
        <v>0</v>
      </c>
      <c r="AD183" s="39">
        <f t="shared" si="24"/>
        <v>0</v>
      </c>
      <c r="AE183" s="39">
        <f t="shared" si="25"/>
        <v>0</v>
      </c>
      <c r="AF183" s="39">
        <f t="shared" si="26"/>
        <v>0</v>
      </c>
      <c r="AG183" s="39" t="str">
        <f t="shared" si="27"/>
        <v>E</v>
      </c>
    </row>
    <row r="184" spans="1:33" ht="35.1" customHeight="1" x14ac:dyDescent="0.25">
      <c r="A184" s="61">
        <v>184</v>
      </c>
      <c r="B184" s="23" t="s">
        <v>257</v>
      </c>
      <c r="C184" s="29" t="s">
        <v>1016</v>
      </c>
      <c r="D184" s="29" t="s">
        <v>437</v>
      </c>
      <c r="E184" s="22" t="s">
        <v>49</v>
      </c>
      <c r="F184" s="23"/>
      <c r="G184" s="23"/>
      <c r="H184" s="29" t="s">
        <v>522</v>
      </c>
      <c r="I184" s="29">
        <v>18.850000000000001</v>
      </c>
      <c r="J184" s="29">
        <v>1</v>
      </c>
      <c r="K184" s="29"/>
      <c r="L184" s="29">
        <v>11.6</v>
      </c>
      <c r="M184" s="29"/>
      <c r="N184" s="29"/>
      <c r="O184" s="23" t="s">
        <v>20</v>
      </c>
      <c r="P184" s="23" t="s">
        <v>730</v>
      </c>
      <c r="Q184" s="24" t="s">
        <v>27</v>
      </c>
      <c r="R184" s="54" t="str">
        <f t="shared" si="33"/>
        <v>OK</v>
      </c>
      <c r="S184" s="29" t="s">
        <v>27</v>
      </c>
      <c r="T184" s="29" t="s">
        <v>33</v>
      </c>
      <c r="U184" s="29"/>
      <c r="V184" s="29"/>
      <c r="W184" s="46"/>
      <c r="X184" s="76"/>
      <c r="Y184" s="76"/>
      <c r="Z184" s="39">
        <f t="shared" si="28"/>
        <v>0</v>
      </c>
      <c r="AA184" s="39">
        <f t="shared" si="23"/>
        <v>0</v>
      </c>
      <c r="AB184" s="39">
        <f t="shared" si="29"/>
        <v>0</v>
      </c>
      <c r="AC184" s="39">
        <f t="shared" si="32"/>
        <v>0</v>
      </c>
      <c r="AD184" s="39">
        <f t="shared" si="24"/>
        <v>0</v>
      </c>
      <c r="AE184" s="39">
        <f t="shared" si="25"/>
        <v>0</v>
      </c>
      <c r="AF184" s="39">
        <f t="shared" si="26"/>
        <v>0</v>
      </c>
      <c r="AG184" s="39" t="str">
        <f t="shared" si="27"/>
        <v>E</v>
      </c>
    </row>
    <row r="185" spans="1:33" ht="35.1" customHeight="1" x14ac:dyDescent="0.25">
      <c r="A185" s="61">
        <v>185</v>
      </c>
      <c r="B185" s="23" t="s">
        <v>257</v>
      </c>
      <c r="C185" s="29" t="s">
        <v>1016</v>
      </c>
      <c r="D185" s="29" t="s">
        <v>438</v>
      </c>
      <c r="E185" s="22" t="s">
        <v>49</v>
      </c>
      <c r="F185" s="23"/>
      <c r="G185" s="23"/>
      <c r="H185" s="29" t="s">
        <v>522</v>
      </c>
      <c r="I185" s="29">
        <v>22.6</v>
      </c>
      <c r="J185" s="29">
        <v>1</v>
      </c>
      <c r="K185" s="29"/>
      <c r="L185" s="29">
        <v>12.6</v>
      </c>
      <c r="M185" s="30"/>
      <c r="N185" s="30"/>
      <c r="O185" s="23" t="s">
        <v>21</v>
      </c>
      <c r="P185" s="23" t="s">
        <v>730</v>
      </c>
      <c r="Q185" s="24" t="s">
        <v>27</v>
      </c>
      <c r="R185" s="54" t="str">
        <f t="shared" si="33"/>
        <v>OK</v>
      </c>
      <c r="S185" s="29" t="s">
        <v>27</v>
      </c>
      <c r="T185" s="29" t="s">
        <v>33</v>
      </c>
      <c r="U185" s="29"/>
      <c r="V185" s="29"/>
      <c r="W185" s="46"/>
      <c r="X185" s="76"/>
      <c r="Y185" s="76"/>
      <c r="Z185" s="39">
        <f t="shared" si="28"/>
        <v>0</v>
      </c>
      <c r="AA185" s="39">
        <f t="shared" si="23"/>
        <v>0</v>
      </c>
      <c r="AB185" s="39">
        <f t="shared" si="29"/>
        <v>0</v>
      </c>
      <c r="AC185" s="39">
        <f t="shared" si="32"/>
        <v>0</v>
      </c>
      <c r="AD185" s="39">
        <f t="shared" si="24"/>
        <v>0</v>
      </c>
      <c r="AE185" s="39">
        <f t="shared" si="25"/>
        <v>0</v>
      </c>
      <c r="AF185" s="39">
        <f t="shared" si="26"/>
        <v>0</v>
      </c>
      <c r="AG185" s="39" t="str">
        <f t="shared" si="27"/>
        <v>E</v>
      </c>
    </row>
    <row r="186" spans="1:33" ht="35.1" customHeight="1" x14ac:dyDescent="0.25">
      <c r="A186" s="61">
        <v>186</v>
      </c>
      <c r="B186" s="35" t="s">
        <v>763</v>
      </c>
      <c r="C186" s="29" t="s">
        <v>1018</v>
      </c>
      <c r="D186" s="29" t="s">
        <v>764</v>
      </c>
      <c r="E186" s="22" t="s">
        <v>23</v>
      </c>
      <c r="F186" s="35" t="s">
        <v>765</v>
      </c>
      <c r="G186" s="35" t="s">
        <v>260</v>
      </c>
      <c r="H186" s="30" t="s">
        <v>15</v>
      </c>
      <c r="I186" s="26">
        <v>400</v>
      </c>
      <c r="J186" s="29">
        <v>5</v>
      </c>
      <c r="K186" s="29">
        <v>79.400000000000006</v>
      </c>
      <c r="L186" s="26">
        <v>13</v>
      </c>
      <c r="M186" s="29"/>
      <c r="N186" s="29"/>
      <c r="O186" s="28" t="s">
        <v>766</v>
      </c>
      <c r="P186" s="27" t="s">
        <v>731</v>
      </c>
      <c r="Q186" s="24" t="s">
        <v>102</v>
      </c>
      <c r="R186" s="54" t="str">
        <f t="shared" si="33"/>
        <v>OK</v>
      </c>
      <c r="S186" s="29" t="s">
        <v>102</v>
      </c>
      <c r="T186" s="29" t="s">
        <v>33</v>
      </c>
      <c r="U186" s="29"/>
      <c r="V186" s="29"/>
      <c r="W186" s="46"/>
      <c r="X186" s="76"/>
      <c r="Y186" s="76"/>
      <c r="Z186" s="39">
        <f t="shared" si="28"/>
        <v>0</v>
      </c>
      <c r="AA186" s="39">
        <f t="shared" si="23"/>
        <v>0</v>
      </c>
      <c r="AB186" s="39">
        <f t="shared" si="29"/>
        <v>1</v>
      </c>
      <c r="AC186" s="39">
        <f t="shared" si="32"/>
        <v>0</v>
      </c>
      <c r="AD186" s="39">
        <f t="shared" si="24"/>
        <v>0</v>
      </c>
      <c r="AE186" s="39">
        <f t="shared" si="25"/>
        <v>0</v>
      </c>
      <c r="AF186" s="39">
        <f t="shared" si="26"/>
        <v>0</v>
      </c>
      <c r="AG186" s="39">
        <f t="shared" si="27"/>
        <v>0</v>
      </c>
    </row>
    <row r="187" spans="1:33" ht="35.1" customHeight="1" x14ac:dyDescent="0.25">
      <c r="A187" s="61">
        <v>187</v>
      </c>
      <c r="B187" s="35" t="s">
        <v>767</v>
      </c>
      <c r="C187" s="29" t="s">
        <v>1019</v>
      </c>
      <c r="D187" s="29" t="s">
        <v>439</v>
      </c>
      <c r="E187" s="22" t="s">
        <v>23</v>
      </c>
      <c r="F187" s="35" t="s">
        <v>261</v>
      </c>
      <c r="G187" s="35" t="s">
        <v>623</v>
      </c>
      <c r="H187" s="30" t="s">
        <v>522</v>
      </c>
      <c r="I187" s="26">
        <v>13.8</v>
      </c>
      <c r="J187" s="29">
        <v>2</v>
      </c>
      <c r="K187" s="29"/>
      <c r="L187" s="26">
        <v>6.7</v>
      </c>
      <c r="M187" s="29"/>
      <c r="N187" s="29"/>
      <c r="O187" s="28"/>
      <c r="P187" s="27"/>
      <c r="Q187" s="24"/>
      <c r="R187" s="54" t="str">
        <f t="shared" si="33"/>
        <v>NARROW</v>
      </c>
      <c r="S187" s="29"/>
      <c r="T187" s="29"/>
      <c r="U187" s="29"/>
      <c r="V187" s="29"/>
      <c r="W187" s="46"/>
      <c r="X187" s="76"/>
      <c r="Y187" s="76"/>
      <c r="Z187" s="39">
        <f t="shared" si="28"/>
        <v>1</v>
      </c>
      <c r="AA187" s="39">
        <f t="shared" si="23"/>
        <v>0</v>
      </c>
      <c r="AB187" s="39">
        <f t="shared" si="29"/>
        <v>0</v>
      </c>
      <c r="AC187" s="39">
        <f t="shared" si="32"/>
        <v>0</v>
      </c>
      <c r="AD187" s="39">
        <f t="shared" si="24"/>
        <v>0</v>
      </c>
      <c r="AE187" s="39">
        <f t="shared" si="25"/>
        <v>0</v>
      </c>
      <c r="AF187" s="39">
        <f t="shared" si="26"/>
        <v>0</v>
      </c>
      <c r="AG187" s="39">
        <f t="shared" si="27"/>
        <v>0</v>
      </c>
    </row>
    <row r="188" spans="1:33" ht="35.1" customHeight="1" x14ac:dyDescent="0.25">
      <c r="A188" s="61">
        <v>188</v>
      </c>
      <c r="B188" s="35" t="s">
        <v>767</v>
      </c>
      <c r="C188" s="29" t="s">
        <v>1019</v>
      </c>
      <c r="D188" s="29" t="s">
        <v>440</v>
      </c>
      <c r="E188" s="22" t="s">
        <v>23</v>
      </c>
      <c r="F188" s="35" t="s">
        <v>261</v>
      </c>
      <c r="G188" s="35" t="s">
        <v>623</v>
      </c>
      <c r="H188" s="30" t="s">
        <v>522</v>
      </c>
      <c r="I188" s="26">
        <v>13.4</v>
      </c>
      <c r="J188" s="29">
        <v>2</v>
      </c>
      <c r="K188" s="29"/>
      <c r="L188" s="26">
        <v>6.3</v>
      </c>
      <c r="M188" s="30"/>
      <c r="N188" s="30"/>
      <c r="O188" s="28"/>
      <c r="P188" s="27"/>
      <c r="Q188" s="24"/>
      <c r="R188" s="54" t="str">
        <f t="shared" si="33"/>
        <v>NARROW</v>
      </c>
      <c r="S188" s="29"/>
      <c r="T188" s="29"/>
      <c r="U188" s="29"/>
      <c r="V188" s="43">
        <v>2261</v>
      </c>
      <c r="W188" s="46">
        <v>45</v>
      </c>
      <c r="X188" s="76"/>
      <c r="Y188" s="76"/>
      <c r="Z188" s="39">
        <f t="shared" si="28"/>
        <v>1</v>
      </c>
      <c r="AA188" s="39">
        <f t="shared" si="23"/>
        <v>0</v>
      </c>
      <c r="AB188" s="39">
        <f t="shared" si="29"/>
        <v>0</v>
      </c>
      <c r="AC188" s="39">
        <f t="shared" si="32"/>
        <v>0</v>
      </c>
      <c r="AD188" s="39">
        <f t="shared" si="24"/>
        <v>0</v>
      </c>
      <c r="AE188" s="39">
        <f t="shared" si="25"/>
        <v>0</v>
      </c>
      <c r="AF188" s="39">
        <f t="shared" si="26"/>
        <v>0</v>
      </c>
      <c r="AG188" s="39">
        <f t="shared" si="27"/>
        <v>0</v>
      </c>
    </row>
    <row r="189" spans="1:33" ht="35.1" customHeight="1" x14ac:dyDescent="0.25">
      <c r="A189" s="61">
        <v>189</v>
      </c>
      <c r="B189" s="35" t="s">
        <v>768</v>
      </c>
      <c r="C189" s="29" t="s">
        <v>1020</v>
      </c>
      <c r="D189" s="29" t="s">
        <v>441</v>
      </c>
      <c r="E189" s="22" t="s">
        <v>23</v>
      </c>
      <c r="F189" s="35" t="s">
        <v>262</v>
      </c>
      <c r="G189" s="35" t="s">
        <v>624</v>
      </c>
      <c r="H189" s="30" t="s">
        <v>522</v>
      </c>
      <c r="I189" s="26">
        <v>17.5</v>
      </c>
      <c r="J189" s="29">
        <v>3</v>
      </c>
      <c r="K189" s="29"/>
      <c r="L189" s="26">
        <v>10.6</v>
      </c>
      <c r="M189" s="29"/>
      <c r="N189" s="29"/>
      <c r="O189" s="28"/>
      <c r="P189" s="27"/>
      <c r="Q189" s="24"/>
      <c r="R189" s="54" t="str">
        <f t="shared" si="33"/>
        <v>OK</v>
      </c>
      <c r="S189" s="29"/>
      <c r="T189" s="29"/>
      <c r="U189" s="29"/>
      <c r="V189" s="43">
        <v>2261</v>
      </c>
      <c r="W189" s="46">
        <v>45</v>
      </c>
      <c r="X189" s="76"/>
      <c r="Y189" s="76"/>
      <c r="Z189" s="39">
        <f t="shared" si="28"/>
        <v>0</v>
      </c>
      <c r="AA189" s="39">
        <f t="shared" si="23"/>
        <v>0</v>
      </c>
      <c r="AB189" s="39">
        <f t="shared" si="29"/>
        <v>0</v>
      </c>
      <c r="AC189" s="39">
        <f t="shared" si="32"/>
        <v>0</v>
      </c>
      <c r="AD189" s="39">
        <f t="shared" si="24"/>
        <v>0</v>
      </c>
      <c r="AE189" s="39">
        <f t="shared" si="25"/>
        <v>0</v>
      </c>
      <c r="AF189" s="39">
        <f t="shared" si="26"/>
        <v>0</v>
      </c>
      <c r="AG189" s="39" t="str">
        <f t="shared" si="27"/>
        <v>E</v>
      </c>
    </row>
    <row r="190" spans="1:33" ht="35.1" customHeight="1" x14ac:dyDescent="0.25">
      <c r="A190" s="61">
        <v>190</v>
      </c>
      <c r="B190" s="35" t="s">
        <v>769</v>
      </c>
      <c r="C190" s="29" t="s">
        <v>1021</v>
      </c>
      <c r="D190" s="29" t="s">
        <v>442</v>
      </c>
      <c r="E190" s="22" t="s">
        <v>23</v>
      </c>
      <c r="F190" s="35" t="s">
        <v>263</v>
      </c>
      <c r="G190" s="35" t="s">
        <v>625</v>
      </c>
      <c r="H190" s="30" t="s">
        <v>522</v>
      </c>
      <c r="I190" s="26">
        <v>18.399999999999999</v>
      </c>
      <c r="J190" s="29">
        <v>5</v>
      </c>
      <c r="K190" s="29"/>
      <c r="L190" s="26">
        <v>10.4</v>
      </c>
      <c r="M190" s="30"/>
      <c r="N190" s="30"/>
      <c r="O190" s="28"/>
      <c r="P190" s="27"/>
      <c r="Q190" s="24"/>
      <c r="R190" s="54" t="str">
        <f t="shared" si="33"/>
        <v>OK</v>
      </c>
      <c r="S190" s="29"/>
      <c r="T190" s="29"/>
      <c r="U190" s="29"/>
      <c r="V190" s="29"/>
      <c r="W190" s="46"/>
      <c r="X190" s="76"/>
      <c r="Y190" s="76"/>
      <c r="Z190" s="39">
        <f t="shared" si="28"/>
        <v>0</v>
      </c>
      <c r="AA190" s="39">
        <f t="shared" si="23"/>
        <v>0</v>
      </c>
      <c r="AB190" s="39">
        <f t="shared" si="29"/>
        <v>0</v>
      </c>
      <c r="AC190" s="39">
        <f t="shared" si="32"/>
        <v>0</v>
      </c>
      <c r="AD190" s="39">
        <f t="shared" si="24"/>
        <v>0</v>
      </c>
      <c r="AE190" s="39">
        <f t="shared" si="25"/>
        <v>0</v>
      </c>
      <c r="AF190" s="39">
        <f t="shared" si="26"/>
        <v>0</v>
      </c>
      <c r="AG190" s="39" t="str">
        <f t="shared" si="27"/>
        <v>E</v>
      </c>
    </row>
    <row r="191" spans="1:33" ht="35.1" customHeight="1" x14ac:dyDescent="0.25">
      <c r="A191" s="61">
        <v>191</v>
      </c>
      <c r="B191" s="35" t="s">
        <v>770</v>
      </c>
      <c r="C191" s="29" t="s">
        <v>1022</v>
      </c>
      <c r="D191" s="29" t="s">
        <v>443</v>
      </c>
      <c r="E191" s="22" t="s">
        <v>23</v>
      </c>
      <c r="F191" s="35" t="s">
        <v>626</v>
      </c>
      <c r="G191" s="35" t="s">
        <v>627</v>
      </c>
      <c r="H191" s="30" t="s">
        <v>522</v>
      </c>
      <c r="I191" s="26">
        <v>20.7</v>
      </c>
      <c r="J191" s="29"/>
      <c r="K191" s="29"/>
      <c r="L191" s="26">
        <v>7.9</v>
      </c>
      <c r="M191" s="29"/>
      <c r="N191" s="29"/>
      <c r="O191" s="28"/>
      <c r="P191" s="27"/>
      <c r="Q191" s="24"/>
      <c r="R191" s="54" t="str">
        <f t="shared" si="33"/>
        <v>OK</v>
      </c>
      <c r="S191" s="29"/>
      <c r="T191" s="29"/>
      <c r="U191" s="29"/>
      <c r="V191" s="29"/>
      <c r="W191" s="46"/>
      <c r="X191" s="76"/>
      <c r="Y191" s="76"/>
      <c r="Z191" s="39">
        <f t="shared" si="28"/>
        <v>0</v>
      </c>
      <c r="AA191" s="39">
        <f t="shared" si="23"/>
        <v>0</v>
      </c>
      <c r="AB191" s="39">
        <f t="shared" si="29"/>
        <v>0</v>
      </c>
      <c r="AC191" s="39">
        <f t="shared" si="32"/>
        <v>0</v>
      </c>
      <c r="AD191" s="39">
        <f t="shared" si="24"/>
        <v>0</v>
      </c>
      <c r="AE191" s="39">
        <f t="shared" si="25"/>
        <v>0</v>
      </c>
      <c r="AF191" s="39">
        <f t="shared" si="26"/>
        <v>0</v>
      </c>
      <c r="AG191" s="39" t="str">
        <f t="shared" si="27"/>
        <v>E</v>
      </c>
    </row>
    <row r="192" spans="1:33" ht="35.1" customHeight="1" x14ac:dyDescent="0.25">
      <c r="A192" s="61">
        <v>192</v>
      </c>
      <c r="B192" s="35" t="s">
        <v>771</v>
      </c>
      <c r="C192" s="29" t="s">
        <v>1023</v>
      </c>
      <c r="D192" s="29" t="s">
        <v>444</v>
      </c>
      <c r="E192" s="22" t="s">
        <v>23</v>
      </c>
      <c r="F192" s="35" t="s">
        <v>264</v>
      </c>
      <c r="G192" s="35" t="s">
        <v>628</v>
      </c>
      <c r="H192" s="30" t="s">
        <v>522</v>
      </c>
      <c r="I192" s="26">
        <v>47.6</v>
      </c>
      <c r="J192" s="29"/>
      <c r="K192" s="29"/>
      <c r="L192" s="26">
        <v>10.199999999999999</v>
      </c>
      <c r="M192" s="29"/>
      <c r="N192" s="29"/>
      <c r="O192" s="28" t="s">
        <v>772</v>
      </c>
      <c r="P192" s="27"/>
      <c r="Q192" s="24" t="s">
        <v>857</v>
      </c>
      <c r="R192" s="54" t="str">
        <f t="shared" si="33"/>
        <v>OK</v>
      </c>
      <c r="S192" s="29" t="s">
        <v>27</v>
      </c>
      <c r="T192" s="29" t="s">
        <v>32</v>
      </c>
      <c r="U192" s="29"/>
      <c r="V192" s="29"/>
      <c r="W192" s="46"/>
      <c r="X192" s="76"/>
      <c r="Y192" s="76"/>
      <c r="Z192" s="39">
        <f t="shared" si="28"/>
        <v>0</v>
      </c>
      <c r="AA192" s="39">
        <f t="shared" si="23"/>
        <v>1</v>
      </c>
      <c r="AB192" s="39">
        <f t="shared" si="29"/>
        <v>0</v>
      </c>
      <c r="AC192" s="39">
        <f t="shared" si="32"/>
        <v>0</v>
      </c>
      <c r="AD192" s="39">
        <f t="shared" si="24"/>
        <v>0</v>
      </c>
      <c r="AE192" s="39">
        <f t="shared" si="25"/>
        <v>0</v>
      </c>
      <c r="AF192" s="39">
        <f t="shared" si="26"/>
        <v>0</v>
      </c>
      <c r="AG192" s="39">
        <f t="shared" si="27"/>
        <v>0</v>
      </c>
    </row>
    <row r="193" spans="1:35" ht="27" customHeight="1" x14ac:dyDescent="0.25">
      <c r="A193" s="61">
        <v>193</v>
      </c>
      <c r="B193" s="35" t="s">
        <v>773</v>
      </c>
      <c r="C193" s="29" t="s">
        <v>916</v>
      </c>
      <c r="D193" s="29" t="s">
        <v>774</v>
      </c>
      <c r="E193" s="22" t="s">
        <v>23</v>
      </c>
      <c r="F193" s="35" t="s">
        <v>775</v>
      </c>
      <c r="G193" s="35" t="s">
        <v>776</v>
      </c>
      <c r="H193" s="30" t="s">
        <v>522</v>
      </c>
      <c r="I193" s="26">
        <v>14.8</v>
      </c>
      <c r="J193" s="29">
        <v>1</v>
      </c>
      <c r="K193" s="29"/>
      <c r="L193" s="26">
        <v>10.220000000000001</v>
      </c>
      <c r="M193" s="30"/>
      <c r="N193" s="30"/>
      <c r="O193" s="28" t="s">
        <v>777</v>
      </c>
      <c r="P193" s="27" t="s">
        <v>731</v>
      </c>
      <c r="Q193" s="24" t="s">
        <v>857</v>
      </c>
      <c r="R193" s="54" t="str">
        <f t="shared" si="33"/>
        <v>OK</v>
      </c>
      <c r="S193" s="29" t="s">
        <v>27</v>
      </c>
      <c r="T193" s="29" t="s">
        <v>33</v>
      </c>
      <c r="U193" s="29"/>
      <c r="V193" s="29"/>
      <c r="W193" s="46"/>
      <c r="X193" s="76"/>
      <c r="Y193" s="76"/>
      <c r="Z193" s="39">
        <f t="shared" si="28"/>
        <v>0</v>
      </c>
      <c r="AA193" s="39">
        <f t="shared" si="23"/>
        <v>0</v>
      </c>
      <c r="AB193" s="39">
        <f t="shared" si="29"/>
        <v>0</v>
      </c>
      <c r="AC193" s="39">
        <f t="shared" si="32"/>
        <v>0</v>
      </c>
      <c r="AD193" s="39">
        <f t="shared" si="24"/>
        <v>0</v>
      </c>
      <c r="AE193" s="39">
        <f t="shared" si="25"/>
        <v>0</v>
      </c>
      <c r="AF193" s="39">
        <f t="shared" si="26"/>
        <v>0</v>
      </c>
      <c r="AG193" s="39" t="str">
        <f t="shared" si="27"/>
        <v>E</v>
      </c>
    </row>
    <row r="194" spans="1:35" ht="34.5" customHeight="1" x14ac:dyDescent="0.25">
      <c r="A194" s="61">
        <v>194</v>
      </c>
      <c r="B194" s="35" t="s">
        <v>778</v>
      </c>
      <c r="C194" s="29" t="s">
        <v>916</v>
      </c>
      <c r="D194" s="29" t="s">
        <v>779</v>
      </c>
      <c r="E194" s="22" t="s">
        <v>23</v>
      </c>
      <c r="F194" s="35" t="s">
        <v>780</v>
      </c>
      <c r="G194" s="35" t="s">
        <v>781</v>
      </c>
      <c r="H194" s="30" t="s">
        <v>15</v>
      </c>
      <c r="I194" s="26">
        <v>47.1</v>
      </c>
      <c r="J194" s="29">
        <v>1</v>
      </c>
      <c r="K194" s="29"/>
      <c r="L194" s="26">
        <v>4.7</v>
      </c>
      <c r="M194" s="29">
        <v>1987</v>
      </c>
      <c r="N194" s="29"/>
      <c r="O194" s="53" t="s">
        <v>782</v>
      </c>
      <c r="P194" s="27" t="s">
        <v>731</v>
      </c>
      <c r="Q194" s="24" t="s">
        <v>857</v>
      </c>
      <c r="R194" s="54" t="str">
        <f t="shared" si="33"/>
        <v>NARROW</v>
      </c>
      <c r="S194" s="29" t="s">
        <v>27</v>
      </c>
      <c r="T194" s="29" t="s">
        <v>33</v>
      </c>
      <c r="U194" s="29"/>
      <c r="V194" s="43">
        <v>952</v>
      </c>
      <c r="W194" s="46">
        <v>14</v>
      </c>
      <c r="X194" s="76"/>
      <c r="Y194" s="76"/>
      <c r="Z194" s="39">
        <f t="shared" si="28"/>
        <v>1</v>
      </c>
      <c r="AA194" s="39">
        <f t="shared" ref="AA194:AA211" si="34">IF(T194= "UNSAFE",1,0)</f>
        <v>0</v>
      </c>
      <c r="AB194" s="39">
        <f t="shared" si="29"/>
        <v>0</v>
      </c>
      <c r="AC194" s="39">
        <f t="shared" si="32"/>
        <v>0</v>
      </c>
      <c r="AD194" s="39">
        <f t="shared" ref="AD194:AD216" si="35">IF(Z194+AA194=2,"B",0)</f>
        <v>0</v>
      </c>
      <c r="AE194" s="39">
        <f t="shared" ref="AE194:AE211" si="36">IF(AB194+AA194=2,"C",0)</f>
        <v>0</v>
      </c>
      <c r="AF194" s="39">
        <f t="shared" ref="AF194:AF211" si="37">IF(Z194+AB194+AA194=3,"D",0)</f>
        <v>0</v>
      </c>
      <c r="AG194" s="39">
        <f t="shared" ref="AG194:AG211" si="38">IF(Z194+AB194+AA194=0,"E",0)</f>
        <v>0</v>
      </c>
    </row>
    <row r="195" spans="1:35" ht="31.5" x14ac:dyDescent="0.25">
      <c r="A195" s="61">
        <v>195</v>
      </c>
      <c r="B195" s="35" t="s">
        <v>783</v>
      </c>
      <c r="C195" s="29" t="s">
        <v>916</v>
      </c>
      <c r="D195" s="29" t="s">
        <v>784</v>
      </c>
      <c r="E195" s="22" t="s">
        <v>23</v>
      </c>
      <c r="F195" s="35" t="s">
        <v>785</v>
      </c>
      <c r="G195" s="35" t="s">
        <v>786</v>
      </c>
      <c r="H195" s="30" t="s">
        <v>522</v>
      </c>
      <c r="I195" s="26">
        <v>162</v>
      </c>
      <c r="J195" s="29">
        <v>6</v>
      </c>
      <c r="K195" s="29">
        <v>27</v>
      </c>
      <c r="L195" s="26">
        <v>10.85</v>
      </c>
      <c r="M195" s="30"/>
      <c r="N195" s="30"/>
      <c r="O195" s="35" t="s">
        <v>884</v>
      </c>
      <c r="P195" s="29" t="s">
        <v>731</v>
      </c>
      <c r="Q195" s="24" t="s">
        <v>857</v>
      </c>
      <c r="R195" s="54" t="str">
        <f t="shared" si="33"/>
        <v>OK</v>
      </c>
      <c r="S195" s="29" t="s">
        <v>27</v>
      </c>
      <c r="T195" s="29" t="s">
        <v>32</v>
      </c>
      <c r="U195" s="29"/>
      <c r="V195" s="43">
        <v>952</v>
      </c>
      <c r="W195" s="46">
        <v>14</v>
      </c>
      <c r="X195" s="76"/>
      <c r="Y195" s="76"/>
      <c r="Z195" s="39">
        <f t="shared" ref="Z195:Z212" si="39">IF(R195="NARROW",1,0)</f>
        <v>0</v>
      </c>
      <c r="AA195" s="39">
        <f t="shared" si="34"/>
        <v>1</v>
      </c>
      <c r="AB195" s="39">
        <f t="shared" ref="AB195:AB216" si="40">IF(S195= "POOR",1,0)</f>
        <v>0</v>
      </c>
      <c r="AC195" s="39">
        <f t="shared" si="32"/>
        <v>0</v>
      </c>
      <c r="AD195" s="39">
        <f t="shared" si="35"/>
        <v>0</v>
      </c>
      <c r="AE195" s="39">
        <f t="shared" si="36"/>
        <v>0</v>
      </c>
      <c r="AF195" s="39">
        <f t="shared" si="37"/>
        <v>0</v>
      </c>
      <c r="AG195" s="39">
        <f t="shared" si="38"/>
        <v>0</v>
      </c>
    </row>
    <row r="196" spans="1:35" ht="31.5" x14ac:dyDescent="0.25">
      <c r="A196" s="61">
        <v>196</v>
      </c>
      <c r="B196" s="35" t="s">
        <v>787</v>
      </c>
      <c r="C196" s="29" t="s">
        <v>916</v>
      </c>
      <c r="D196" s="29" t="s">
        <v>788</v>
      </c>
      <c r="E196" s="22" t="s">
        <v>23</v>
      </c>
      <c r="F196" s="35" t="s">
        <v>789</v>
      </c>
      <c r="G196" s="35" t="s">
        <v>790</v>
      </c>
      <c r="H196" s="30" t="s">
        <v>522</v>
      </c>
      <c r="I196" s="26">
        <v>47.4</v>
      </c>
      <c r="J196" s="29">
        <v>5</v>
      </c>
      <c r="K196" s="29"/>
      <c r="L196" s="26">
        <v>8.75</v>
      </c>
      <c r="M196" s="29"/>
      <c r="N196" s="29"/>
      <c r="O196" s="35" t="s">
        <v>791</v>
      </c>
      <c r="P196" s="29" t="s">
        <v>731</v>
      </c>
      <c r="Q196" s="24" t="s">
        <v>857</v>
      </c>
      <c r="R196" s="54" t="str">
        <f t="shared" si="33"/>
        <v>OK</v>
      </c>
      <c r="S196" s="29" t="s">
        <v>27</v>
      </c>
      <c r="T196" s="29" t="s">
        <v>33</v>
      </c>
      <c r="U196" s="29"/>
      <c r="V196" s="43">
        <v>341</v>
      </c>
      <c r="W196" s="46">
        <v>4</v>
      </c>
      <c r="X196" s="76"/>
      <c r="Y196" s="76"/>
      <c r="Z196" s="39">
        <f t="shared" si="39"/>
        <v>0</v>
      </c>
      <c r="AA196" s="39">
        <f t="shared" si="34"/>
        <v>0</v>
      </c>
      <c r="AB196" s="39">
        <f t="shared" si="40"/>
        <v>0</v>
      </c>
      <c r="AC196" s="39">
        <f t="shared" si="32"/>
        <v>0</v>
      </c>
      <c r="AD196" s="39">
        <f t="shared" si="35"/>
        <v>0</v>
      </c>
      <c r="AE196" s="39">
        <f t="shared" si="36"/>
        <v>0</v>
      </c>
      <c r="AF196" s="39">
        <f t="shared" si="37"/>
        <v>0</v>
      </c>
      <c r="AG196" s="39" t="str">
        <f t="shared" si="38"/>
        <v>E</v>
      </c>
    </row>
    <row r="197" spans="1:35" ht="31.5" x14ac:dyDescent="0.25">
      <c r="A197" s="61">
        <v>197</v>
      </c>
      <c r="B197" s="35" t="s">
        <v>792</v>
      </c>
      <c r="C197" s="29" t="s">
        <v>916</v>
      </c>
      <c r="D197" s="29" t="s">
        <v>793</v>
      </c>
      <c r="E197" s="22" t="s">
        <v>23</v>
      </c>
      <c r="F197" s="35" t="s">
        <v>794</v>
      </c>
      <c r="G197" s="35" t="s">
        <v>795</v>
      </c>
      <c r="H197" s="30" t="s">
        <v>40</v>
      </c>
      <c r="I197" s="26">
        <v>36.9</v>
      </c>
      <c r="J197" s="29">
        <v>1</v>
      </c>
      <c r="K197" s="29"/>
      <c r="L197" s="26">
        <v>4.26</v>
      </c>
      <c r="M197" s="30"/>
      <c r="N197" s="30"/>
      <c r="O197" s="35" t="s">
        <v>796</v>
      </c>
      <c r="P197" s="29"/>
      <c r="Q197" s="24" t="s">
        <v>857</v>
      </c>
      <c r="R197" s="54" t="str">
        <f t="shared" si="33"/>
        <v>NARROW</v>
      </c>
      <c r="S197" s="29" t="s">
        <v>27</v>
      </c>
      <c r="T197" s="29" t="s">
        <v>33</v>
      </c>
      <c r="U197" s="29"/>
      <c r="V197" s="51">
        <v>341</v>
      </c>
      <c r="W197" s="46">
        <v>4</v>
      </c>
      <c r="X197" s="76"/>
      <c r="Y197" s="76"/>
      <c r="Z197" s="39">
        <f t="shared" si="39"/>
        <v>1</v>
      </c>
      <c r="AA197" s="39">
        <f t="shared" si="34"/>
        <v>0</v>
      </c>
      <c r="AB197" s="39">
        <f t="shared" si="40"/>
        <v>0</v>
      </c>
      <c r="AC197" s="39">
        <f t="shared" si="32"/>
        <v>0</v>
      </c>
      <c r="AD197" s="39">
        <f t="shared" si="35"/>
        <v>0</v>
      </c>
      <c r="AE197" s="39">
        <f t="shared" si="36"/>
        <v>0</v>
      </c>
      <c r="AF197" s="39">
        <f t="shared" si="37"/>
        <v>0</v>
      </c>
      <c r="AG197" s="39">
        <f t="shared" si="38"/>
        <v>0</v>
      </c>
      <c r="AI197" s="1">
        <f>I197</f>
        <v>36.9</v>
      </c>
    </row>
    <row r="198" spans="1:35" ht="31.5" x14ac:dyDescent="0.25">
      <c r="A198" s="61">
        <v>198</v>
      </c>
      <c r="B198" s="35" t="s">
        <v>797</v>
      </c>
      <c r="C198" s="29" t="s">
        <v>916</v>
      </c>
      <c r="D198" s="29" t="s">
        <v>798</v>
      </c>
      <c r="E198" s="22" t="s">
        <v>23</v>
      </c>
      <c r="F198" s="35" t="s">
        <v>799</v>
      </c>
      <c r="G198" s="35" t="s">
        <v>800</v>
      </c>
      <c r="H198" s="30" t="s">
        <v>522</v>
      </c>
      <c r="I198" s="26">
        <v>104.5</v>
      </c>
      <c r="J198" s="29">
        <v>4</v>
      </c>
      <c r="K198" s="29">
        <v>26.4</v>
      </c>
      <c r="L198" s="26">
        <v>5.6</v>
      </c>
      <c r="M198" s="29"/>
      <c r="N198" s="29"/>
      <c r="O198" s="35" t="s">
        <v>801</v>
      </c>
      <c r="P198" s="29" t="s">
        <v>731</v>
      </c>
      <c r="Q198" s="24" t="s">
        <v>857</v>
      </c>
      <c r="R198" s="54" t="str">
        <f t="shared" si="33"/>
        <v>NARROW</v>
      </c>
      <c r="S198" s="29" t="s">
        <v>27</v>
      </c>
      <c r="T198" s="29" t="s">
        <v>33</v>
      </c>
      <c r="U198" s="29"/>
      <c r="V198" s="29"/>
      <c r="W198" s="46"/>
      <c r="X198" s="76"/>
      <c r="Y198" s="76"/>
      <c r="Z198" s="39">
        <f t="shared" si="39"/>
        <v>1</v>
      </c>
      <c r="AA198" s="39">
        <f t="shared" si="34"/>
        <v>0</v>
      </c>
      <c r="AB198" s="39">
        <f t="shared" si="40"/>
        <v>0</v>
      </c>
      <c r="AC198" s="39">
        <f t="shared" si="32"/>
        <v>0</v>
      </c>
      <c r="AD198" s="39">
        <f t="shared" si="35"/>
        <v>0</v>
      </c>
      <c r="AE198" s="39">
        <f t="shared" si="36"/>
        <v>0</v>
      </c>
      <c r="AF198" s="39">
        <f t="shared" si="37"/>
        <v>0</v>
      </c>
      <c r="AG198" s="39">
        <f t="shared" si="38"/>
        <v>0</v>
      </c>
    </row>
    <row r="199" spans="1:35" ht="33" customHeight="1" x14ac:dyDescent="0.25">
      <c r="A199" s="61">
        <v>199</v>
      </c>
      <c r="B199" s="35" t="s">
        <v>265</v>
      </c>
      <c r="C199" s="29" t="s">
        <v>916</v>
      </c>
      <c r="D199" s="29" t="s">
        <v>445</v>
      </c>
      <c r="E199" s="22" t="s">
        <v>23</v>
      </c>
      <c r="F199" s="35" t="s">
        <v>265</v>
      </c>
      <c r="G199" s="35" t="s">
        <v>629</v>
      </c>
      <c r="H199" s="30" t="s">
        <v>522</v>
      </c>
      <c r="I199" s="26">
        <v>25.5</v>
      </c>
      <c r="J199" s="29">
        <v>3</v>
      </c>
      <c r="K199" s="29">
        <v>15.3</v>
      </c>
      <c r="L199" s="26">
        <v>7.3</v>
      </c>
      <c r="M199" s="29"/>
      <c r="N199" s="29"/>
      <c r="O199" s="35" t="s">
        <v>802</v>
      </c>
      <c r="P199" s="29" t="s">
        <v>731</v>
      </c>
      <c r="Q199" s="24" t="s">
        <v>857</v>
      </c>
      <c r="R199" s="54" t="str">
        <f t="shared" si="33"/>
        <v>OK</v>
      </c>
      <c r="S199" s="29" t="s">
        <v>27</v>
      </c>
      <c r="T199" s="29" t="s">
        <v>32</v>
      </c>
      <c r="U199" s="29"/>
      <c r="V199" s="29"/>
      <c r="W199" s="46"/>
      <c r="X199" s="76"/>
      <c r="Y199" s="76"/>
      <c r="Z199" s="39">
        <f t="shared" si="39"/>
        <v>0</v>
      </c>
      <c r="AA199" s="39">
        <f t="shared" si="34"/>
        <v>1</v>
      </c>
      <c r="AB199" s="39">
        <f t="shared" si="40"/>
        <v>0</v>
      </c>
      <c r="AC199" s="39">
        <f t="shared" si="32"/>
        <v>0</v>
      </c>
      <c r="AD199" s="39">
        <f t="shared" si="35"/>
        <v>0</v>
      </c>
      <c r="AE199" s="39">
        <f t="shared" si="36"/>
        <v>0</v>
      </c>
      <c r="AF199" s="39">
        <f t="shared" si="37"/>
        <v>0</v>
      </c>
      <c r="AG199" s="39">
        <f t="shared" si="38"/>
        <v>0</v>
      </c>
    </row>
    <row r="200" spans="1:35" ht="32.25" customHeight="1" x14ac:dyDescent="0.25">
      <c r="A200" s="61">
        <v>200</v>
      </c>
      <c r="B200" s="35" t="s">
        <v>266</v>
      </c>
      <c r="C200" s="29" t="s">
        <v>916</v>
      </c>
      <c r="D200" s="29" t="s">
        <v>446</v>
      </c>
      <c r="E200" s="22" t="s">
        <v>23</v>
      </c>
      <c r="F200" s="35" t="s">
        <v>266</v>
      </c>
      <c r="G200" s="35" t="s">
        <v>630</v>
      </c>
      <c r="H200" s="30" t="s">
        <v>15</v>
      </c>
      <c r="I200" s="26">
        <v>51.7</v>
      </c>
      <c r="J200" s="29">
        <v>1</v>
      </c>
      <c r="K200" s="29">
        <v>51.7</v>
      </c>
      <c r="L200" s="26">
        <v>5.9</v>
      </c>
      <c r="M200" s="30"/>
      <c r="N200" s="30"/>
      <c r="O200" s="23" t="s">
        <v>803</v>
      </c>
      <c r="P200" s="29" t="s">
        <v>733</v>
      </c>
      <c r="Q200" s="24" t="s">
        <v>102</v>
      </c>
      <c r="R200" s="54" t="str">
        <f t="shared" si="33"/>
        <v>NARROW</v>
      </c>
      <c r="S200" s="29" t="s">
        <v>27</v>
      </c>
      <c r="T200" s="29" t="s">
        <v>32</v>
      </c>
      <c r="U200" s="29"/>
      <c r="V200" s="29"/>
      <c r="W200" s="46"/>
      <c r="X200" s="76"/>
      <c r="Y200" s="76"/>
      <c r="Z200" s="39">
        <f t="shared" si="39"/>
        <v>1</v>
      </c>
      <c r="AA200" s="39">
        <f t="shared" si="34"/>
        <v>1</v>
      </c>
      <c r="AB200" s="39">
        <f t="shared" si="40"/>
        <v>0</v>
      </c>
      <c r="AC200" s="39">
        <f t="shared" si="32"/>
        <v>0</v>
      </c>
      <c r="AD200" s="39" t="str">
        <f t="shared" si="35"/>
        <v>B</v>
      </c>
      <c r="AE200" s="39">
        <f t="shared" si="36"/>
        <v>0</v>
      </c>
      <c r="AF200" s="39">
        <f t="shared" si="37"/>
        <v>0</v>
      </c>
      <c r="AG200" s="39">
        <f t="shared" si="38"/>
        <v>0</v>
      </c>
    </row>
    <row r="201" spans="1:35" ht="31.5" x14ac:dyDescent="0.25">
      <c r="A201" s="61">
        <v>201</v>
      </c>
      <c r="B201" s="35" t="s">
        <v>804</v>
      </c>
      <c r="C201" s="29" t="s">
        <v>916</v>
      </c>
      <c r="D201" s="29" t="s">
        <v>805</v>
      </c>
      <c r="E201" s="22" t="s">
        <v>23</v>
      </c>
      <c r="F201" s="35" t="s">
        <v>806</v>
      </c>
      <c r="G201" s="35" t="s">
        <v>795</v>
      </c>
      <c r="H201" s="30" t="s">
        <v>522</v>
      </c>
      <c r="I201" s="26">
        <v>46.8</v>
      </c>
      <c r="J201" s="29">
        <v>3</v>
      </c>
      <c r="K201" s="29">
        <v>18</v>
      </c>
      <c r="L201" s="26">
        <v>9.8000000000000007</v>
      </c>
      <c r="M201" s="29"/>
      <c r="N201" s="29"/>
      <c r="O201" s="35" t="s">
        <v>884</v>
      </c>
      <c r="P201" s="29" t="s">
        <v>731</v>
      </c>
      <c r="Q201" s="24" t="s">
        <v>857</v>
      </c>
      <c r="R201" s="54" t="str">
        <f t="shared" si="33"/>
        <v>OK</v>
      </c>
      <c r="S201" s="29" t="s">
        <v>27</v>
      </c>
      <c r="T201" s="29" t="s">
        <v>33</v>
      </c>
      <c r="U201" s="29"/>
      <c r="V201" s="29"/>
      <c r="W201" s="46"/>
      <c r="X201" s="76"/>
      <c r="Y201" s="76"/>
      <c r="Z201" s="39">
        <f t="shared" si="39"/>
        <v>0</v>
      </c>
      <c r="AA201" s="39">
        <f t="shared" si="34"/>
        <v>0</v>
      </c>
      <c r="AB201" s="39">
        <f t="shared" si="40"/>
        <v>0</v>
      </c>
      <c r="AC201" s="39">
        <f t="shared" si="32"/>
        <v>0</v>
      </c>
      <c r="AD201" s="39">
        <f t="shared" si="35"/>
        <v>0</v>
      </c>
      <c r="AE201" s="39">
        <f t="shared" si="36"/>
        <v>0</v>
      </c>
      <c r="AF201" s="39">
        <f t="shared" si="37"/>
        <v>0</v>
      </c>
      <c r="AG201" s="39" t="str">
        <f t="shared" si="38"/>
        <v>E</v>
      </c>
    </row>
    <row r="202" spans="1:35" ht="30.75" customHeight="1" x14ac:dyDescent="0.25">
      <c r="A202" s="61">
        <v>202</v>
      </c>
      <c r="B202" s="35" t="s">
        <v>267</v>
      </c>
      <c r="C202" s="29" t="s">
        <v>916</v>
      </c>
      <c r="D202" s="29" t="s">
        <v>447</v>
      </c>
      <c r="E202" s="22" t="s">
        <v>23</v>
      </c>
      <c r="F202" s="35" t="s">
        <v>267</v>
      </c>
      <c r="G202" s="35" t="s">
        <v>631</v>
      </c>
      <c r="H202" s="30" t="s">
        <v>522</v>
      </c>
      <c r="I202" s="26">
        <v>19.399999999999999</v>
      </c>
      <c r="J202" s="29">
        <v>3</v>
      </c>
      <c r="K202" s="29"/>
      <c r="L202" s="26">
        <v>7.8</v>
      </c>
      <c r="M202" s="30"/>
      <c r="N202" s="30"/>
      <c r="O202" s="35"/>
      <c r="P202" s="29"/>
      <c r="Q202" s="24"/>
      <c r="R202" s="54" t="str">
        <f t="shared" si="33"/>
        <v>OK</v>
      </c>
      <c r="S202" s="29"/>
      <c r="T202" s="29"/>
      <c r="U202" s="29"/>
      <c r="V202" s="29"/>
      <c r="W202" s="46"/>
      <c r="X202" s="76"/>
      <c r="Y202" s="76"/>
      <c r="Z202" s="39">
        <f t="shared" si="39"/>
        <v>0</v>
      </c>
      <c r="AA202" s="39">
        <f t="shared" si="34"/>
        <v>0</v>
      </c>
      <c r="AB202" s="39">
        <f t="shared" si="40"/>
        <v>0</v>
      </c>
      <c r="AC202" s="39">
        <f t="shared" si="32"/>
        <v>0</v>
      </c>
      <c r="AD202" s="39">
        <f t="shared" si="35"/>
        <v>0</v>
      </c>
      <c r="AE202" s="39">
        <f t="shared" si="36"/>
        <v>0</v>
      </c>
      <c r="AF202" s="39">
        <f t="shared" si="37"/>
        <v>0</v>
      </c>
      <c r="AG202" s="39" t="str">
        <f t="shared" si="38"/>
        <v>E</v>
      </c>
    </row>
    <row r="203" spans="1:35" ht="30.75" customHeight="1" x14ac:dyDescent="0.25">
      <c r="A203" s="61">
        <v>203</v>
      </c>
      <c r="B203" s="35" t="s">
        <v>268</v>
      </c>
      <c r="C203" s="29" t="s">
        <v>916</v>
      </c>
      <c r="D203" s="29" t="s">
        <v>448</v>
      </c>
      <c r="E203" s="22" t="s">
        <v>24</v>
      </c>
      <c r="F203" s="35" t="s">
        <v>268</v>
      </c>
      <c r="G203" s="35" t="s">
        <v>28</v>
      </c>
      <c r="H203" s="30" t="s">
        <v>15</v>
      </c>
      <c r="I203" s="4">
        <v>25.4</v>
      </c>
      <c r="J203" s="29">
        <v>1</v>
      </c>
      <c r="K203" s="29">
        <v>25.4</v>
      </c>
      <c r="L203" s="26">
        <v>5.6</v>
      </c>
      <c r="M203" s="29"/>
      <c r="N203" s="29"/>
      <c r="O203" s="53" t="s">
        <v>723</v>
      </c>
      <c r="P203" s="53" t="s">
        <v>733</v>
      </c>
      <c r="Q203" s="24" t="s">
        <v>102</v>
      </c>
      <c r="R203" s="54" t="str">
        <f t="shared" si="33"/>
        <v>NARROW</v>
      </c>
      <c r="S203" s="29" t="s">
        <v>102</v>
      </c>
      <c r="T203" s="29" t="s">
        <v>32</v>
      </c>
      <c r="U203" s="29"/>
      <c r="V203" s="29"/>
      <c r="W203" s="46"/>
      <c r="X203" s="76"/>
      <c r="Y203" s="76"/>
      <c r="Z203" s="39">
        <f t="shared" si="39"/>
        <v>1</v>
      </c>
      <c r="AA203" s="39">
        <f t="shared" si="34"/>
        <v>1</v>
      </c>
      <c r="AB203" s="39">
        <f t="shared" si="40"/>
        <v>1</v>
      </c>
      <c r="AC203" s="39" t="str">
        <f t="shared" si="32"/>
        <v>A</v>
      </c>
      <c r="AD203" s="39" t="str">
        <f t="shared" si="35"/>
        <v>B</v>
      </c>
      <c r="AE203" s="39" t="str">
        <f t="shared" si="36"/>
        <v>C</v>
      </c>
      <c r="AF203" s="39" t="str">
        <f t="shared" si="37"/>
        <v>D</v>
      </c>
      <c r="AG203" s="39">
        <f t="shared" si="38"/>
        <v>0</v>
      </c>
    </row>
    <row r="204" spans="1:35" ht="35.1" customHeight="1" x14ac:dyDescent="0.25">
      <c r="A204" s="61">
        <v>204</v>
      </c>
      <c r="B204" s="35" t="s">
        <v>269</v>
      </c>
      <c r="C204" s="29" t="s">
        <v>916</v>
      </c>
      <c r="D204" s="29" t="s">
        <v>449</v>
      </c>
      <c r="E204" s="22" t="s">
        <v>24</v>
      </c>
      <c r="F204" s="35" t="s">
        <v>25</v>
      </c>
      <c r="G204" s="35" t="s">
        <v>26</v>
      </c>
      <c r="H204" s="30" t="s">
        <v>522</v>
      </c>
      <c r="I204" s="26">
        <v>13.2</v>
      </c>
      <c r="J204" s="29">
        <v>5</v>
      </c>
      <c r="K204" s="29"/>
      <c r="L204" s="26">
        <v>9.7799999999999994</v>
      </c>
      <c r="M204" s="29"/>
      <c r="N204" s="29"/>
      <c r="O204" s="53" t="s">
        <v>21</v>
      </c>
      <c r="P204" s="53" t="s">
        <v>730</v>
      </c>
      <c r="Q204" s="24" t="s">
        <v>102</v>
      </c>
      <c r="R204" s="54" t="str">
        <f t="shared" si="33"/>
        <v>OK</v>
      </c>
      <c r="S204" s="29" t="s">
        <v>102</v>
      </c>
      <c r="T204" s="29" t="s">
        <v>32</v>
      </c>
      <c r="U204" s="29"/>
      <c r="V204" s="29"/>
      <c r="W204" s="46"/>
      <c r="X204" s="76"/>
      <c r="Y204" s="76"/>
      <c r="Z204" s="39">
        <f t="shared" si="39"/>
        <v>0</v>
      </c>
      <c r="AA204" s="39">
        <f t="shared" si="34"/>
        <v>1</v>
      </c>
      <c r="AB204" s="39">
        <f t="shared" si="40"/>
        <v>1</v>
      </c>
      <c r="AC204" s="39">
        <f t="shared" si="32"/>
        <v>0</v>
      </c>
      <c r="AD204" s="39">
        <f t="shared" si="35"/>
        <v>0</v>
      </c>
      <c r="AE204" s="39" t="str">
        <f t="shared" si="36"/>
        <v>C</v>
      </c>
      <c r="AF204" s="39">
        <f t="shared" si="37"/>
        <v>0</v>
      </c>
      <c r="AG204" s="39">
        <f t="shared" si="38"/>
        <v>0</v>
      </c>
    </row>
    <row r="205" spans="1:35" ht="35.1" customHeight="1" x14ac:dyDescent="0.25">
      <c r="A205" s="61">
        <v>205</v>
      </c>
      <c r="B205" s="35" t="s">
        <v>47</v>
      </c>
      <c r="C205" s="29" t="s">
        <v>916</v>
      </c>
      <c r="D205" s="29" t="s">
        <v>450</v>
      </c>
      <c r="E205" s="22" t="s">
        <v>24</v>
      </c>
      <c r="F205" s="35" t="s">
        <v>47</v>
      </c>
      <c r="G205" s="35" t="s">
        <v>46</v>
      </c>
      <c r="H205" s="30" t="s">
        <v>522</v>
      </c>
      <c r="I205" s="26">
        <v>22.63</v>
      </c>
      <c r="J205" s="29">
        <v>4</v>
      </c>
      <c r="K205" s="29"/>
      <c r="L205" s="26">
        <v>12.3</v>
      </c>
      <c r="M205" s="30"/>
      <c r="N205" s="30"/>
      <c r="O205" s="53" t="s">
        <v>21</v>
      </c>
      <c r="P205" s="53" t="s">
        <v>730</v>
      </c>
      <c r="Q205" s="24" t="s">
        <v>857</v>
      </c>
      <c r="R205" s="54" t="str">
        <f t="shared" si="33"/>
        <v>OK</v>
      </c>
      <c r="S205" s="29" t="s">
        <v>27</v>
      </c>
      <c r="T205" s="29" t="s">
        <v>32</v>
      </c>
      <c r="U205" s="29"/>
      <c r="V205" s="29"/>
      <c r="W205" s="46"/>
      <c r="X205" s="76"/>
      <c r="Y205" s="76"/>
      <c r="Z205" s="39">
        <f t="shared" si="39"/>
        <v>0</v>
      </c>
      <c r="AA205" s="39">
        <f t="shared" si="34"/>
        <v>1</v>
      </c>
      <c r="AB205" s="39">
        <f t="shared" si="40"/>
        <v>0</v>
      </c>
      <c r="AC205" s="39">
        <f t="shared" si="32"/>
        <v>0</v>
      </c>
      <c r="AD205" s="39">
        <f t="shared" si="35"/>
        <v>0</v>
      </c>
      <c r="AE205" s="39">
        <f t="shared" si="36"/>
        <v>0</v>
      </c>
      <c r="AF205" s="39">
        <f t="shared" si="37"/>
        <v>0</v>
      </c>
      <c r="AG205" s="39">
        <f t="shared" si="38"/>
        <v>0</v>
      </c>
    </row>
    <row r="206" spans="1:35" ht="35.1" customHeight="1" x14ac:dyDescent="0.25">
      <c r="A206" s="61">
        <v>206</v>
      </c>
      <c r="B206" s="35" t="s">
        <v>270</v>
      </c>
      <c r="C206" s="29" t="s">
        <v>1024</v>
      </c>
      <c r="D206" s="29" t="s">
        <v>451</v>
      </c>
      <c r="E206" s="22" t="s">
        <v>24</v>
      </c>
      <c r="F206" s="35" t="s">
        <v>270</v>
      </c>
      <c r="G206" s="35" t="s">
        <v>47</v>
      </c>
      <c r="H206" s="30" t="s">
        <v>522</v>
      </c>
      <c r="I206" s="26">
        <v>78</v>
      </c>
      <c r="J206" s="29">
        <v>3</v>
      </c>
      <c r="K206" s="29"/>
      <c r="L206" s="26">
        <v>10.199999999999999</v>
      </c>
      <c r="M206" s="29"/>
      <c r="N206" s="29"/>
      <c r="O206" s="23" t="s">
        <v>21</v>
      </c>
      <c r="P206" s="23" t="s">
        <v>730</v>
      </c>
      <c r="Q206" s="24" t="s">
        <v>857</v>
      </c>
      <c r="R206" s="54" t="str">
        <f t="shared" si="33"/>
        <v>OK</v>
      </c>
      <c r="S206" s="29" t="s">
        <v>27</v>
      </c>
      <c r="T206" s="29" t="s">
        <v>32</v>
      </c>
      <c r="U206" s="29"/>
      <c r="V206" s="29"/>
      <c r="W206" s="46"/>
      <c r="X206" s="76"/>
      <c r="Y206" s="76"/>
      <c r="Z206" s="39">
        <f t="shared" si="39"/>
        <v>0</v>
      </c>
      <c r="AA206" s="39">
        <f t="shared" si="34"/>
        <v>1</v>
      </c>
      <c r="AB206" s="39">
        <f t="shared" si="40"/>
        <v>0</v>
      </c>
      <c r="AC206" s="39">
        <f t="shared" si="32"/>
        <v>0</v>
      </c>
      <c r="AD206" s="39">
        <f t="shared" si="35"/>
        <v>0</v>
      </c>
      <c r="AE206" s="39">
        <f t="shared" si="36"/>
        <v>0</v>
      </c>
      <c r="AF206" s="39">
        <f t="shared" si="37"/>
        <v>0</v>
      </c>
      <c r="AG206" s="39">
        <f t="shared" si="38"/>
        <v>0</v>
      </c>
    </row>
    <row r="207" spans="1:35" ht="35.1" customHeight="1" x14ac:dyDescent="0.25">
      <c r="A207" s="61">
        <v>207</v>
      </c>
      <c r="B207" s="35" t="s">
        <v>271</v>
      </c>
      <c r="C207" s="29" t="s">
        <v>916</v>
      </c>
      <c r="D207" s="29" t="s">
        <v>452</v>
      </c>
      <c r="E207" s="22" t="s">
        <v>24</v>
      </c>
      <c r="F207" s="35" t="s">
        <v>28</v>
      </c>
      <c r="G207" s="35" t="s">
        <v>632</v>
      </c>
      <c r="H207" s="30" t="s">
        <v>851</v>
      </c>
      <c r="I207" s="26">
        <v>76.099999999999994</v>
      </c>
      <c r="J207" s="29">
        <v>3</v>
      </c>
      <c r="K207" s="29"/>
      <c r="L207" s="26">
        <v>9.34</v>
      </c>
      <c r="M207" s="30"/>
      <c r="N207" s="30"/>
      <c r="O207" s="23" t="s">
        <v>21</v>
      </c>
      <c r="P207" s="23" t="s">
        <v>730</v>
      </c>
      <c r="Q207" s="24" t="s">
        <v>857</v>
      </c>
      <c r="R207" s="54" t="str">
        <f t="shared" si="33"/>
        <v>OK</v>
      </c>
      <c r="S207" s="29" t="s">
        <v>27</v>
      </c>
      <c r="T207" s="29" t="s">
        <v>32</v>
      </c>
      <c r="U207" s="29"/>
      <c r="V207" s="29"/>
      <c r="W207" s="46"/>
      <c r="X207" s="76"/>
      <c r="Y207" s="76"/>
      <c r="Z207" s="39">
        <f t="shared" si="39"/>
        <v>0</v>
      </c>
      <c r="AA207" s="39">
        <f t="shared" si="34"/>
        <v>1</v>
      </c>
      <c r="AB207" s="39">
        <f t="shared" si="40"/>
        <v>0</v>
      </c>
      <c r="AC207" s="39">
        <f t="shared" si="32"/>
        <v>0</v>
      </c>
      <c r="AD207" s="39">
        <f t="shared" si="35"/>
        <v>0</v>
      </c>
      <c r="AE207" s="39">
        <f t="shared" si="36"/>
        <v>0</v>
      </c>
      <c r="AF207" s="39">
        <f t="shared" si="37"/>
        <v>0</v>
      </c>
      <c r="AG207" s="39">
        <f t="shared" si="38"/>
        <v>0</v>
      </c>
    </row>
    <row r="208" spans="1:35" ht="35.1" customHeight="1" x14ac:dyDescent="0.25">
      <c r="A208" s="61">
        <v>208</v>
      </c>
      <c r="B208" s="71" t="s">
        <v>238</v>
      </c>
      <c r="C208" s="64" t="s">
        <v>1025</v>
      </c>
      <c r="D208" s="64" t="s">
        <v>411</v>
      </c>
      <c r="E208" s="61" t="s">
        <v>24</v>
      </c>
      <c r="F208" s="71" t="s">
        <v>25</v>
      </c>
      <c r="G208" s="71" t="s">
        <v>26</v>
      </c>
      <c r="H208" s="72" t="s">
        <v>40</v>
      </c>
      <c r="I208" s="72">
        <v>30.5</v>
      </c>
      <c r="J208" s="64">
        <v>1</v>
      </c>
      <c r="K208" s="64">
        <v>30.5</v>
      </c>
      <c r="L208" s="72">
        <v>4.0999999999999996</v>
      </c>
      <c r="M208" s="29"/>
      <c r="N208" s="29"/>
      <c r="O208" s="70" t="s">
        <v>718</v>
      </c>
      <c r="P208" s="70" t="s">
        <v>733</v>
      </c>
      <c r="Q208" s="24" t="s">
        <v>102</v>
      </c>
      <c r="R208" s="54" t="str">
        <f t="shared" si="33"/>
        <v>NARROW</v>
      </c>
      <c r="S208" s="29" t="s">
        <v>102</v>
      </c>
      <c r="T208" s="29" t="s">
        <v>32</v>
      </c>
      <c r="U208" s="29"/>
      <c r="V208" s="29"/>
      <c r="W208" s="46"/>
      <c r="X208" s="76"/>
      <c r="Y208" s="76"/>
      <c r="Z208" s="39">
        <f t="shared" si="39"/>
        <v>1</v>
      </c>
      <c r="AA208" s="39">
        <f t="shared" si="34"/>
        <v>1</v>
      </c>
      <c r="AB208" s="39">
        <f t="shared" si="40"/>
        <v>1</v>
      </c>
      <c r="AC208" s="39" t="str">
        <f t="shared" ref="AC208:AC216" si="41">IF(Z208+AB208=2,"A",0)</f>
        <v>A</v>
      </c>
      <c r="AD208" s="39" t="str">
        <f t="shared" si="35"/>
        <v>B</v>
      </c>
      <c r="AE208" s="39" t="str">
        <f t="shared" si="36"/>
        <v>C</v>
      </c>
      <c r="AF208" s="39" t="str">
        <f t="shared" si="37"/>
        <v>D</v>
      </c>
      <c r="AG208" s="39">
        <f t="shared" si="38"/>
        <v>0</v>
      </c>
      <c r="AI208" s="1">
        <f>I208</f>
        <v>30.5</v>
      </c>
    </row>
    <row r="209" spans="1:35" ht="35.1" customHeight="1" x14ac:dyDescent="0.25">
      <c r="A209" s="61">
        <v>209</v>
      </c>
      <c r="B209" s="71" t="s">
        <v>239</v>
      </c>
      <c r="C209" s="64" t="s">
        <v>1025</v>
      </c>
      <c r="D209" s="64" t="s">
        <v>412</v>
      </c>
      <c r="E209" s="61" t="s">
        <v>24</v>
      </c>
      <c r="F209" s="71" t="s">
        <v>26</v>
      </c>
      <c r="G209" s="71" t="s">
        <v>601</v>
      </c>
      <c r="H209" s="120" t="s">
        <v>40</v>
      </c>
      <c r="I209" s="72">
        <v>30.5</v>
      </c>
      <c r="J209" s="64">
        <v>1</v>
      </c>
      <c r="K209" s="64">
        <v>30.5</v>
      </c>
      <c r="L209" s="72">
        <v>4.0999999999999996</v>
      </c>
      <c r="M209" s="30"/>
      <c r="N209" s="30"/>
      <c r="O209" s="70" t="s">
        <v>718</v>
      </c>
      <c r="P209" s="70" t="s">
        <v>733</v>
      </c>
      <c r="Q209" s="24" t="s">
        <v>857</v>
      </c>
      <c r="R209" s="54" t="str">
        <f t="shared" si="33"/>
        <v>NARROW</v>
      </c>
      <c r="S209" s="29" t="s">
        <v>27</v>
      </c>
      <c r="T209" s="29" t="s">
        <v>32</v>
      </c>
      <c r="U209" s="29"/>
      <c r="V209" s="29"/>
      <c r="W209" s="46"/>
      <c r="X209" s="76"/>
      <c r="Y209" s="76"/>
      <c r="Z209" s="39">
        <f t="shared" si="39"/>
        <v>1</v>
      </c>
      <c r="AA209" s="39">
        <f t="shared" si="34"/>
        <v>1</v>
      </c>
      <c r="AB209" s="39">
        <f t="shared" si="40"/>
        <v>0</v>
      </c>
      <c r="AC209" s="39">
        <f t="shared" si="41"/>
        <v>0</v>
      </c>
      <c r="AD209" s="39" t="str">
        <f t="shared" si="35"/>
        <v>B</v>
      </c>
      <c r="AE209" s="39">
        <f t="shared" si="36"/>
        <v>0</v>
      </c>
      <c r="AF209" s="39">
        <f t="shared" si="37"/>
        <v>0</v>
      </c>
      <c r="AG209" s="39">
        <f t="shared" si="38"/>
        <v>0</v>
      </c>
    </row>
    <row r="210" spans="1:35" ht="35.1" customHeight="1" x14ac:dyDescent="0.25">
      <c r="A210" s="61">
        <v>210</v>
      </c>
      <c r="B210" s="71" t="s">
        <v>241</v>
      </c>
      <c r="C210" s="64" t="s">
        <v>1026</v>
      </c>
      <c r="D210" s="64" t="s">
        <v>414</v>
      </c>
      <c r="E210" s="61" t="s">
        <v>50</v>
      </c>
      <c r="F210" s="71" t="s">
        <v>241</v>
      </c>
      <c r="G210" s="71" t="s">
        <v>604</v>
      </c>
      <c r="H210" s="72" t="s">
        <v>15</v>
      </c>
      <c r="I210" s="72">
        <v>49.7</v>
      </c>
      <c r="J210" s="64">
        <v>3</v>
      </c>
      <c r="K210" s="64">
        <v>15</v>
      </c>
      <c r="L210" s="72">
        <v>3.5</v>
      </c>
      <c r="M210" s="29"/>
      <c r="N210" s="29"/>
      <c r="O210" s="53" t="s">
        <v>51</v>
      </c>
      <c r="P210" s="53" t="s">
        <v>733</v>
      </c>
      <c r="Q210" s="24" t="s">
        <v>857</v>
      </c>
      <c r="R210" s="54" t="str">
        <f t="shared" si="33"/>
        <v>NARROW</v>
      </c>
      <c r="S210" s="29" t="s">
        <v>27</v>
      </c>
      <c r="T210" s="29" t="s">
        <v>32</v>
      </c>
      <c r="U210" s="29"/>
      <c r="V210" s="29"/>
      <c r="W210" s="46"/>
      <c r="X210" s="76"/>
      <c r="Y210" s="76"/>
      <c r="Z210" s="39">
        <f t="shared" si="39"/>
        <v>1</v>
      </c>
      <c r="AA210" s="39">
        <f t="shared" si="34"/>
        <v>1</v>
      </c>
      <c r="AB210" s="39">
        <f t="shared" si="40"/>
        <v>0</v>
      </c>
      <c r="AC210" s="39">
        <f t="shared" si="41"/>
        <v>0</v>
      </c>
      <c r="AD210" s="39" t="str">
        <f t="shared" si="35"/>
        <v>B</v>
      </c>
      <c r="AE210" s="39">
        <f t="shared" si="36"/>
        <v>0</v>
      </c>
      <c r="AF210" s="39">
        <f t="shared" si="37"/>
        <v>0</v>
      </c>
      <c r="AG210" s="39">
        <f t="shared" si="38"/>
        <v>0</v>
      </c>
    </row>
    <row r="211" spans="1:35" ht="35.1" customHeight="1" x14ac:dyDescent="0.25">
      <c r="A211" s="61">
        <v>211</v>
      </c>
      <c r="B211" s="71" t="s">
        <v>242</v>
      </c>
      <c r="C211" s="64" t="s">
        <v>1027</v>
      </c>
      <c r="D211" s="64" t="s">
        <v>415</v>
      </c>
      <c r="E211" s="61" t="s">
        <v>50</v>
      </c>
      <c r="F211" s="71" t="s">
        <v>605</v>
      </c>
      <c r="G211" s="71" t="s">
        <v>606</v>
      </c>
      <c r="H211" s="72" t="s">
        <v>40</v>
      </c>
      <c r="I211" s="72">
        <v>61.05</v>
      </c>
      <c r="J211" s="64">
        <v>1</v>
      </c>
      <c r="K211" s="64">
        <v>61.05</v>
      </c>
      <c r="L211" s="72">
        <v>4.1500000000000004</v>
      </c>
      <c r="M211" s="29"/>
      <c r="N211" s="29"/>
      <c r="O211" s="53" t="s">
        <v>51</v>
      </c>
      <c r="P211" s="53" t="s">
        <v>733</v>
      </c>
      <c r="Q211" s="24" t="s">
        <v>857</v>
      </c>
      <c r="R211" s="54" t="str">
        <f t="shared" si="33"/>
        <v>NARROW</v>
      </c>
      <c r="S211" s="29" t="s">
        <v>27</v>
      </c>
      <c r="T211" s="29" t="s">
        <v>32</v>
      </c>
      <c r="U211" s="29"/>
      <c r="V211" s="29"/>
      <c r="W211" s="46"/>
      <c r="X211" s="76"/>
      <c r="Y211" s="76"/>
      <c r="Z211" s="39">
        <f t="shared" si="39"/>
        <v>1</v>
      </c>
      <c r="AA211" s="39">
        <f t="shared" si="34"/>
        <v>1</v>
      </c>
      <c r="AB211" s="39">
        <f t="shared" si="40"/>
        <v>0</v>
      </c>
      <c r="AC211" s="39">
        <f t="shared" si="41"/>
        <v>0</v>
      </c>
      <c r="AD211" s="39" t="str">
        <f t="shared" si="35"/>
        <v>B</v>
      </c>
      <c r="AE211" s="39">
        <f t="shared" si="36"/>
        <v>0</v>
      </c>
      <c r="AF211" s="39">
        <f t="shared" si="37"/>
        <v>0</v>
      </c>
      <c r="AG211" s="39">
        <f t="shared" si="38"/>
        <v>0</v>
      </c>
      <c r="AI211" s="1">
        <f>I211</f>
        <v>61.05</v>
      </c>
    </row>
    <row r="212" spans="1:35" ht="35.1" customHeight="1" x14ac:dyDescent="0.25">
      <c r="A212" s="61">
        <v>212</v>
      </c>
      <c r="B212" s="71" t="s">
        <v>209</v>
      </c>
      <c r="C212" s="64" t="s">
        <v>1028</v>
      </c>
      <c r="D212" s="64" t="s">
        <v>379</v>
      </c>
      <c r="E212" s="61" t="s">
        <v>50</v>
      </c>
      <c r="F212" s="71" t="s">
        <v>576</v>
      </c>
      <c r="G212" s="71" t="s">
        <v>577</v>
      </c>
      <c r="H212" s="29" t="s">
        <v>522</v>
      </c>
      <c r="I212" s="29">
        <v>18.399999999999999</v>
      </c>
      <c r="J212" s="64">
        <v>1</v>
      </c>
      <c r="K212" s="64">
        <v>18.399999999999999</v>
      </c>
      <c r="L212" s="64">
        <v>11.35</v>
      </c>
      <c r="M212" s="30"/>
      <c r="N212" s="30"/>
      <c r="O212" s="52" t="s">
        <v>712</v>
      </c>
      <c r="P212" s="28" t="s">
        <v>731</v>
      </c>
      <c r="Q212" s="46" t="s">
        <v>857</v>
      </c>
      <c r="R212" s="54" t="str">
        <f t="shared" si="33"/>
        <v>OK</v>
      </c>
      <c r="S212" s="46" t="s">
        <v>27</v>
      </c>
      <c r="T212" s="46" t="s">
        <v>32</v>
      </c>
      <c r="U212" s="46"/>
      <c r="V212" s="46"/>
      <c r="W212" s="46"/>
      <c r="X212" s="38"/>
      <c r="Y212" s="38"/>
      <c r="Z212" s="39">
        <f t="shared" si="39"/>
        <v>0</v>
      </c>
      <c r="AA212" s="39">
        <f t="shared" ref="AA212:AA216" si="42">IF(T212= "UNSAFE",1,0)</f>
        <v>1</v>
      </c>
      <c r="AB212" s="39">
        <f t="shared" si="40"/>
        <v>0</v>
      </c>
      <c r="AC212" s="39">
        <f t="shared" si="41"/>
        <v>0</v>
      </c>
      <c r="AD212" s="39">
        <f t="shared" si="35"/>
        <v>0</v>
      </c>
      <c r="AE212" s="39">
        <f t="shared" ref="AE212:AE216" si="43">IF(AB212+AA212=2,"C",0)</f>
        <v>0</v>
      </c>
      <c r="AF212" s="39">
        <f t="shared" ref="AF212:AF216" si="44">IF(Z212+AB212+AA212=3,"D",0)</f>
        <v>0</v>
      </c>
      <c r="AG212" s="39">
        <f t="shared" ref="AG212:AG216" si="45">IF(Z212+AB212+AA212=0,"E",0)</f>
        <v>0</v>
      </c>
    </row>
    <row r="213" spans="1:35" ht="35.1" customHeight="1" x14ac:dyDescent="0.25">
      <c r="A213" s="61">
        <v>213</v>
      </c>
      <c r="B213" s="71" t="s">
        <v>243</v>
      </c>
      <c r="C213" s="64" t="s">
        <v>1029</v>
      </c>
      <c r="D213" s="64" t="s">
        <v>416</v>
      </c>
      <c r="E213" s="61" t="s">
        <v>50</v>
      </c>
      <c r="F213" s="71" t="s">
        <v>243</v>
      </c>
      <c r="G213" s="71" t="s">
        <v>607</v>
      </c>
      <c r="H213" s="72" t="s">
        <v>522</v>
      </c>
      <c r="I213" s="72">
        <v>28.7</v>
      </c>
      <c r="J213" s="64">
        <v>6</v>
      </c>
      <c r="K213" s="64"/>
      <c r="L213" s="72">
        <v>3.65</v>
      </c>
      <c r="M213" s="29"/>
      <c r="N213" s="29"/>
      <c r="O213" s="70" t="s">
        <v>719</v>
      </c>
      <c r="P213" s="70" t="s">
        <v>733</v>
      </c>
      <c r="Q213" s="46" t="s">
        <v>102</v>
      </c>
      <c r="R213" s="54" t="str">
        <f t="shared" si="33"/>
        <v>NARROW</v>
      </c>
      <c r="S213" s="46" t="s">
        <v>102</v>
      </c>
      <c r="T213" s="46" t="s">
        <v>32</v>
      </c>
      <c r="U213" s="46"/>
      <c r="V213" s="46"/>
      <c r="W213" s="46"/>
      <c r="X213" s="38"/>
      <c r="Y213" s="38"/>
      <c r="Z213" s="39">
        <f>IF(R213="NARROW",1,0)</f>
        <v>1</v>
      </c>
      <c r="AA213" s="39">
        <f t="shared" si="42"/>
        <v>1</v>
      </c>
      <c r="AB213" s="39">
        <f t="shared" si="40"/>
        <v>1</v>
      </c>
      <c r="AC213" s="39" t="str">
        <f t="shared" si="41"/>
        <v>A</v>
      </c>
      <c r="AD213" s="39" t="str">
        <f t="shared" si="35"/>
        <v>B</v>
      </c>
      <c r="AE213" s="39" t="str">
        <f t="shared" si="43"/>
        <v>C</v>
      </c>
      <c r="AF213" s="39" t="str">
        <f t="shared" si="44"/>
        <v>D</v>
      </c>
      <c r="AG213" s="39">
        <f t="shared" si="45"/>
        <v>0</v>
      </c>
    </row>
    <row r="214" spans="1:35" ht="35.1" customHeight="1" x14ac:dyDescent="0.25">
      <c r="A214" s="61">
        <v>214</v>
      </c>
      <c r="B214" s="71" t="s">
        <v>255</v>
      </c>
      <c r="C214" s="64" t="s">
        <v>916</v>
      </c>
      <c r="D214" s="64" t="s">
        <v>414</v>
      </c>
      <c r="E214" s="61" t="s">
        <v>50</v>
      </c>
      <c r="F214" s="71" t="s">
        <v>617</v>
      </c>
      <c r="G214" s="71" t="s">
        <v>241</v>
      </c>
      <c r="H214" s="72" t="s">
        <v>15</v>
      </c>
      <c r="I214" s="72">
        <v>25</v>
      </c>
      <c r="J214" s="64">
        <v>1</v>
      </c>
      <c r="K214" s="64">
        <v>25</v>
      </c>
      <c r="L214" s="72">
        <v>3.5</v>
      </c>
      <c r="M214" s="30"/>
      <c r="N214" s="30"/>
      <c r="O214" s="70" t="s">
        <v>51</v>
      </c>
      <c r="P214" s="70" t="s">
        <v>733</v>
      </c>
      <c r="Q214" s="46" t="s">
        <v>857</v>
      </c>
      <c r="R214" s="54" t="str">
        <f t="shared" si="33"/>
        <v>NARROW</v>
      </c>
      <c r="S214" s="46" t="s">
        <v>27</v>
      </c>
      <c r="T214" s="46" t="s">
        <v>33</v>
      </c>
      <c r="U214" s="46"/>
      <c r="V214" s="46"/>
      <c r="W214" s="46"/>
      <c r="X214" s="38"/>
      <c r="Y214" s="38"/>
      <c r="Z214" s="39">
        <f t="shared" ref="Z214:Z216" si="46">IF(R214="NARROW",1,0)</f>
        <v>1</v>
      </c>
      <c r="AA214" s="39">
        <f t="shared" si="42"/>
        <v>0</v>
      </c>
      <c r="AB214" s="39">
        <f t="shared" si="40"/>
        <v>0</v>
      </c>
      <c r="AC214" s="39">
        <f t="shared" si="41"/>
        <v>0</v>
      </c>
      <c r="AD214" s="39">
        <f t="shared" si="35"/>
        <v>0</v>
      </c>
      <c r="AE214" s="39">
        <f t="shared" si="43"/>
        <v>0</v>
      </c>
      <c r="AF214" s="39">
        <f t="shared" si="44"/>
        <v>0</v>
      </c>
      <c r="AG214" s="39">
        <f t="shared" si="45"/>
        <v>0</v>
      </c>
    </row>
    <row r="215" spans="1:35" ht="35.1" customHeight="1" x14ac:dyDescent="0.25">
      <c r="A215" s="61">
        <v>215</v>
      </c>
      <c r="B215" s="71" t="s">
        <v>272</v>
      </c>
      <c r="C215" s="64" t="s">
        <v>916</v>
      </c>
      <c r="D215" s="64" t="s">
        <v>414</v>
      </c>
      <c r="E215" s="61" t="s">
        <v>50</v>
      </c>
      <c r="F215" s="71" t="s">
        <v>633</v>
      </c>
      <c r="G215" s="71" t="s">
        <v>634</v>
      </c>
      <c r="H215" s="72" t="s">
        <v>15</v>
      </c>
      <c r="I215" s="72">
        <v>25</v>
      </c>
      <c r="J215" s="64">
        <v>1</v>
      </c>
      <c r="K215" s="64">
        <v>25</v>
      </c>
      <c r="L215" s="72">
        <v>3.5</v>
      </c>
      <c r="M215" s="29"/>
      <c r="N215" s="29"/>
      <c r="O215" s="70" t="s">
        <v>51</v>
      </c>
      <c r="P215" s="70" t="s">
        <v>733</v>
      </c>
      <c r="Q215" s="84" t="s">
        <v>857</v>
      </c>
      <c r="R215" s="54" t="str">
        <f t="shared" si="33"/>
        <v>NARROW</v>
      </c>
      <c r="S215" s="84" t="s">
        <v>27</v>
      </c>
      <c r="T215" s="84" t="s">
        <v>33</v>
      </c>
      <c r="U215" s="84"/>
      <c r="V215" s="84"/>
      <c r="W215" s="84"/>
      <c r="Z215" s="39">
        <f t="shared" si="46"/>
        <v>1</v>
      </c>
      <c r="AA215" s="39">
        <f t="shared" si="42"/>
        <v>0</v>
      </c>
      <c r="AB215" s="39">
        <f t="shared" si="40"/>
        <v>0</v>
      </c>
      <c r="AC215" s="39">
        <f t="shared" si="41"/>
        <v>0</v>
      </c>
      <c r="AD215" s="39">
        <f t="shared" si="35"/>
        <v>0</v>
      </c>
      <c r="AE215" s="39">
        <f t="shared" si="43"/>
        <v>0</v>
      </c>
      <c r="AF215" s="39">
        <f t="shared" si="44"/>
        <v>0</v>
      </c>
      <c r="AG215" s="39">
        <f t="shared" si="45"/>
        <v>0</v>
      </c>
    </row>
    <row r="216" spans="1:35" ht="35.1" customHeight="1" x14ac:dyDescent="0.25">
      <c r="A216" s="61">
        <v>216</v>
      </c>
      <c r="B216" s="71" t="s">
        <v>216</v>
      </c>
      <c r="C216" s="64" t="s">
        <v>1030</v>
      </c>
      <c r="D216" s="64" t="s">
        <v>387</v>
      </c>
      <c r="E216" s="61" t="s">
        <v>50</v>
      </c>
      <c r="F216" s="71" t="s">
        <v>584</v>
      </c>
      <c r="G216" s="71" t="s">
        <v>216</v>
      </c>
      <c r="H216" s="72" t="s">
        <v>522</v>
      </c>
      <c r="I216" s="72">
        <v>18</v>
      </c>
      <c r="J216" s="64">
        <v>3</v>
      </c>
      <c r="K216" s="64">
        <v>6</v>
      </c>
      <c r="L216" s="72">
        <v>8.9</v>
      </c>
      <c r="M216" s="29"/>
      <c r="N216" s="29"/>
      <c r="O216" s="65" t="s">
        <v>714</v>
      </c>
      <c r="P216" s="65" t="s">
        <v>731</v>
      </c>
      <c r="Q216" s="84" t="s">
        <v>857</v>
      </c>
      <c r="R216" s="54" t="str">
        <f t="shared" si="33"/>
        <v>OK</v>
      </c>
      <c r="S216" s="84" t="s">
        <v>27</v>
      </c>
      <c r="T216" s="84" t="s">
        <v>32</v>
      </c>
      <c r="U216" s="84"/>
      <c r="V216" s="84"/>
      <c r="W216" s="84"/>
      <c r="Z216" s="39">
        <f t="shared" si="46"/>
        <v>0</v>
      </c>
      <c r="AA216" s="39">
        <f t="shared" si="42"/>
        <v>1</v>
      </c>
      <c r="AB216" s="39">
        <f t="shared" si="40"/>
        <v>0</v>
      </c>
      <c r="AC216" s="39">
        <f t="shared" si="41"/>
        <v>0</v>
      </c>
      <c r="AD216" s="39">
        <f t="shared" si="35"/>
        <v>0</v>
      </c>
      <c r="AE216" s="39">
        <f t="shared" si="43"/>
        <v>0</v>
      </c>
      <c r="AF216" s="39">
        <f t="shared" si="44"/>
        <v>0</v>
      </c>
      <c r="AG216" s="39">
        <f t="shared" si="45"/>
        <v>0</v>
      </c>
    </row>
    <row r="217" spans="1:35" ht="15.75" x14ac:dyDescent="0.25">
      <c r="A217" s="17"/>
      <c r="B217" s="17"/>
      <c r="C217" s="17"/>
      <c r="D217" s="17"/>
      <c r="E217" s="17"/>
      <c r="F217" s="17"/>
      <c r="G217" s="17"/>
      <c r="H217" s="17"/>
      <c r="I217" s="17">
        <f>SUM(I20:I216)</f>
        <v>6010.94</v>
      </c>
      <c r="J217" s="17"/>
      <c r="K217" s="17"/>
      <c r="L217" s="17"/>
      <c r="M217" s="85"/>
      <c r="N217" s="104"/>
      <c r="O217" s="111"/>
      <c r="P217" s="17"/>
      <c r="Q217" s="109">
        <v>41</v>
      </c>
      <c r="R217" s="112">
        <f>COUNTBLANK(R20:R216)</f>
        <v>1</v>
      </c>
      <c r="S217" s="112">
        <f>COUNTBLANK(S20:S216)</f>
        <v>20</v>
      </c>
      <c r="T217" s="112">
        <f>COUNTBLANK(T20:T216)</f>
        <v>20</v>
      </c>
      <c r="U217" s="17"/>
      <c r="V217" s="17"/>
      <c r="W217" s="17"/>
      <c r="Z217" s="86">
        <f>COUNTIF(Z7:Z216,1)</f>
        <v>97</v>
      </c>
      <c r="AA217" s="86">
        <f>COUNTIF(AA7:AA216,1)</f>
        <v>97</v>
      </c>
      <c r="AB217" s="86">
        <f>COUNTIF(AB7:AB216,1)</f>
        <v>57</v>
      </c>
      <c r="AC217" s="86">
        <f>COUNTIF(AC7:AC216,"A")</f>
        <v>39</v>
      </c>
      <c r="AD217" s="86">
        <f>COUNTIF(AD7:AD216,"B")</f>
        <v>50</v>
      </c>
      <c r="AE217" s="86">
        <f>COUNTIF(AE7:AE216,"C")</f>
        <v>46</v>
      </c>
      <c r="AF217" s="86">
        <f>COUNTIF(AF7:AF216,"D")</f>
        <v>33</v>
      </c>
      <c r="AG217" s="86">
        <f>COUNTIF(AG7:AG216,"E")</f>
        <v>60</v>
      </c>
      <c r="AI217" s="1">
        <f>SUM(AI2:AI216)</f>
        <v>653.6</v>
      </c>
    </row>
    <row r="218" spans="1:35" ht="15.75" x14ac:dyDescent="0.25">
      <c r="I218" s="1">
        <f>AVERAGE(I2:I216)</f>
        <v>30.585428571428569</v>
      </c>
      <c r="M218" s="55"/>
      <c r="N218" s="55"/>
    </row>
    <row r="219" spans="1:35" x14ac:dyDescent="0.25">
      <c r="M219" s="17"/>
      <c r="N219" s="17"/>
    </row>
    <row r="227" spans="7:9" ht="15.75" x14ac:dyDescent="0.25">
      <c r="G227" s="106" t="s">
        <v>40</v>
      </c>
      <c r="H227" s="106">
        <f>COUNTIF(H2:H216,"BAILEY")</f>
        <v>17</v>
      </c>
      <c r="I227" s="1" t="s">
        <v>856</v>
      </c>
    </row>
    <row r="228" spans="7:9" ht="15.75" x14ac:dyDescent="0.25">
      <c r="G228" s="106" t="s">
        <v>15</v>
      </c>
      <c r="H228" s="106">
        <f>COUNTIF(H2:H216,"STEEL")</f>
        <v>16</v>
      </c>
    </row>
    <row r="229" spans="7:9" ht="15.75" x14ac:dyDescent="0.25">
      <c r="G229" s="106" t="s">
        <v>522</v>
      </c>
      <c r="H229" s="106">
        <f>COUNTIF(H2:H216,"R.C.")</f>
        <v>142</v>
      </c>
    </row>
    <row r="230" spans="7:9" ht="15.75" x14ac:dyDescent="0.25">
      <c r="G230" s="106" t="s">
        <v>851</v>
      </c>
      <c r="H230" s="106">
        <f>COUNTIF(H2:H216,"COMPOSITE")</f>
        <v>23</v>
      </c>
    </row>
    <row r="231" spans="7:9" ht="15.75" x14ac:dyDescent="0.25">
      <c r="G231" s="106" t="s">
        <v>852</v>
      </c>
      <c r="H231" s="106">
        <f>COUNTIF(H2:H216,"R.C. BOX CULVERT")</f>
        <v>0</v>
      </c>
    </row>
    <row r="232" spans="7:9" ht="15.75" x14ac:dyDescent="0.25">
      <c r="G232" s="106" t="s">
        <v>72</v>
      </c>
      <c r="H232" s="106">
        <f>SUM(H227:H231)</f>
        <v>198</v>
      </c>
    </row>
    <row r="242" spans="15:17" x14ac:dyDescent="0.25">
      <c r="O242" s="34" t="s">
        <v>27</v>
      </c>
      <c r="Q242" s="110">
        <f>COUNTIF(Q2:Q216, "GOOD")</f>
        <v>47</v>
      </c>
    </row>
    <row r="243" spans="15:17" x14ac:dyDescent="0.25">
      <c r="O243" s="34" t="s">
        <v>857</v>
      </c>
      <c r="Q243" s="110">
        <f>COUNTIF(Q2:Q216, "FAIR")</f>
        <v>91</v>
      </c>
    </row>
    <row r="244" spans="15:17" x14ac:dyDescent="0.25">
      <c r="O244" s="34" t="s">
        <v>102</v>
      </c>
      <c r="Q244" s="110">
        <f>COUNTIF(Q2:Q216, "POOR")</f>
        <v>57</v>
      </c>
    </row>
    <row r="245" spans="15:17" x14ac:dyDescent="0.25">
      <c r="O245" s="34" t="s">
        <v>75</v>
      </c>
      <c r="Q245" s="1">
        <f>COUNTBLANK(Q2:Q216)</f>
        <v>20</v>
      </c>
    </row>
    <row r="246" spans="15:17" x14ac:dyDescent="0.25">
      <c r="Q246" s="1">
        <f>SUM(Q242:Q245)</f>
        <v>215</v>
      </c>
    </row>
    <row r="263" spans="17:25" x14ac:dyDescent="0.25">
      <c r="Q263" s="17"/>
      <c r="V263" s="17"/>
      <c r="W263" s="17"/>
      <c r="X263" s="17"/>
      <c r="Y263" s="17"/>
    </row>
    <row r="264" spans="17:25" x14ac:dyDescent="0.25">
      <c r="Q264" s="17"/>
      <c r="V264" s="18"/>
      <c r="W264" s="18"/>
      <c r="X264" s="18"/>
      <c r="Y264" s="18"/>
    </row>
    <row r="265" spans="17:25" x14ac:dyDescent="0.25">
      <c r="Q265" s="17"/>
      <c r="V265" s="18"/>
      <c r="W265" s="18"/>
      <c r="X265" s="18"/>
      <c r="Y265" s="18"/>
    </row>
    <row r="266" spans="17:25" x14ac:dyDescent="0.25">
      <c r="Q266" s="17"/>
      <c r="V266" s="18"/>
      <c r="W266" s="18"/>
      <c r="X266" s="18"/>
      <c r="Y266" s="18"/>
    </row>
    <row r="267" spans="17:25" x14ac:dyDescent="0.25">
      <c r="Q267" s="17"/>
      <c r="V267" s="18"/>
      <c r="W267" s="18"/>
      <c r="X267" s="18"/>
      <c r="Y267" s="18"/>
    </row>
    <row r="268" spans="17:25" x14ac:dyDescent="0.25">
      <c r="Q268" s="17"/>
      <c r="V268" s="18"/>
      <c r="W268" s="18"/>
      <c r="X268" s="18"/>
      <c r="Y268" s="18"/>
    </row>
    <row r="269" spans="17:25" x14ac:dyDescent="0.25">
      <c r="Q269" s="17"/>
      <c r="V269" s="18"/>
      <c r="W269" s="18"/>
      <c r="X269" s="18"/>
      <c r="Y269" s="18"/>
    </row>
    <row r="270" spans="17:25" x14ac:dyDescent="0.25">
      <c r="Q270" s="17"/>
      <c r="V270" s="18"/>
      <c r="W270" s="18"/>
      <c r="X270" s="18"/>
      <c r="Y270" s="18"/>
    </row>
    <row r="271" spans="17:25" x14ac:dyDescent="0.25">
      <c r="Q271" s="17"/>
      <c r="V271" s="18"/>
      <c r="W271" s="18"/>
      <c r="X271" s="18"/>
      <c r="Y271" s="18"/>
    </row>
    <row r="272" spans="17:25" x14ac:dyDescent="0.25">
      <c r="Q272" s="17"/>
      <c r="V272" s="18"/>
      <c r="W272" s="18"/>
      <c r="X272" s="18"/>
      <c r="Y272" s="18"/>
    </row>
    <row r="273" spans="17:25" x14ac:dyDescent="0.25">
      <c r="Q273" s="17"/>
      <c r="V273" s="17"/>
      <c r="W273" s="17"/>
      <c r="X273" s="17"/>
      <c r="Y273" s="17"/>
    </row>
  </sheetData>
  <autoFilter ref="A1:W218"/>
  <sortState ref="A2:W218">
    <sortCondition ref="A2:A218"/>
  </sortState>
  <pageMargins left="0.35" right="0.35" top="0.35" bottom="0.41" header="0.3" footer="0.3"/>
  <pageSetup paperSize="9" scale="28" fitToHeight="0" orientation="landscape" horizontalDpi="4294967295" verticalDpi="4294967295" r:id="rId1"/>
  <rowBreaks count="1" manualBreakCount="1">
    <brk id="33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H3:T25"/>
  <sheetViews>
    <sheetView zoomScale="85" zoomScaleNormal="85" workbookViewId="0">
      <selection activeCell="O27" sqref="O27"/>
    </sheetView>
  </sheetViews>
  <sheetFormatPr defaultRowHeight="15" x14ac:dyDescent="0.25"/>
  <cols>
    <col min="1" max="1" width="29.28515625" bestFit="1" customWidth="1"/>
    <col min="2" max="2" width="17.42578125" bestFit="1" customWidth="1"/>
    <col min="3" max="3" width="10.140625" bestFit="1" customWidth="1"/>
    <col min="7" max="7" width="10.140625" bestFit="1" customWidth="1"/>
    <col min="11" max="11" width="16.5703125" bestFit="1" customWidth="1"/>
    <col min="13" max="13" width="23.5703125" bestFit="1" customWidth="1"/>
    <col min="14" max="14" width="24.140625" bestFit="1" customWidth="1"/>
    <col min="15" max="15" width="21" bestFit="1" customWidth="1"/>
    <col min="19" max="19" width="16.140625" customWidth="1"/>
    <col min="20" max="20" width="13.5703125" bestFit="1" customWidth="1"/>
  </cols>
  <sheetData>
    <row r="3" spans="8:19" x14ac:dyDescent="0.25">
      <c r="H3" t="s">
        <v>807</v>
      </c>
    </row>
    <row r="4" spans="8:19" x14ac:dyDescent="0.25">
      <c r="M4" s="123" t="s">
        <v>76</v>
      </c>
      <c r="N4" s="125" t="s">
        <v>73</v>
      </c>
      <c r="O4" s="125">
        <f>COUNTIF(Sheet1!R2:R216,"ok")</f>
        <v>113</v>
      </c>
      <c r="Q4" s="123" t="s">
        <v>77</v>
      </c>
      <c r="R4" s="124" t="s">
        <v>78</v>
      </c>
      <c r="S4" s="124">
        <f>COUNTIF(Sheet1!S2:S216,"POOR")</f>
        <v>59</v>
      </c>
    </row>
    <row r="5" spans="8:19" x14ac:dyDescent="0.25">
      <c r="M5" s="123"/>
      <c r="N5" s="126"/>
      <c r="O5" s="126"/>
      <c r="Q5" s="123"/>
      <c r="R5" s="124"/>
      <c r="S5" s="124"/>
    </row>
    <row r="6" spans="8:19" x14ac:dyDescent="0.25">
      <c r="M6" s="123"/>
      <c r="N6" s="125" t="s">
        <v>74</v>
      </c>
      <c r="O6" s="125">
        <f>COUNTIF(Sheet1!R2:R216,"NARROW")</f>
        <v>101</v>
      </c>
      <c r="Q6" s="123"/>
      <c r="R6" s="124" t="s">
        <v>57</v>
      </c>
      <c r="S6" s="127">
        <f>COUNTIF(Sheet1!S2:S211,"GOOD")</f>
        <v>132</v>
      </c>
    </row>
    <row r="7" spans="8:19" x14ac:dyDescent="0.25">
      <c r="M7" s="123"/>
      <c r="N7" s="126"/>
      <c r="O7" s="126"/>
      <c r="Q7" s="123"/>
      <c r="R7" s="124"/>
      <c r="S7" s="124"/>
    </row>
    <row r="8" spans="8:19" x14ac:dyDescent="0.25">
      <c r="M8" s="123"/>
      <c r="N8" s="2" t="s">
        <v>75</v>
      </c>
      <c r="O8" s="2">
        <f>COUNTBLANK(Sheet1!R2:R216)</f>
        <v>1</v>
      </c>
      <c r="Q8" s="123"/>
      <c r="R8" s="2" t="s">
        <v>75</v>
      </c>
      <c r="S8" s="2">
        <f>COUNTBLANK(Sheet1!S2:S211)</f>
        <v>20</v>
      </c>
    </row>
    <row r="11" spans="8:19" x14ac:dyDescent="0.25">
      <c r="M11" s="123" t="s">
        <v>79</v>
      </c>
      <c r="N11" s="125" t="s">
        <v>33</v>
      </c>
      <c r="O11" s="125">
        <f>COUNTIF(Sheet1!T2:T216,"SAFE")</f>
        <v>96</v>
      </c>
    </row>
    <row r="12" spans="8:19" x14ac:dyDescent="0.25">
      <c r="M12" s="123"/>
      <c r="N12" s="126"/>
      <c r="O12" s="126"/>
    </row>
    <row r="13" spans="8:19" x14ac:dyDescent="0.25">
      <c r="M13" s="123"/>
      <c r="N13" s="125" t="s">
        <v>32</v>
      </c>
      <c r="O13" s="125">
        <f>COUNTIF(Sheet1!T2:T216,"UNSAFE")</f>
        <v>99</v>
      </c>
    </row>
    <row r="14" spans="8:19" x14ac:dyDescent="0.25">
      <c r="M14" s="123"/>
      <c r="N14" s="126"/>
      <c r="O14" s="126"/>
    </row>
    <row r="15" spans="8:19" x14ac:dyDescent="0.25">
      <c r="M15" s="123"/>
      <c r="N15" s="2" t="s">
        <v>75</v>
      </c>
      <c r="O15" s="2">
        <f>COUNTBLANK(Sheet1!T2:T216)</f>
        <v>20</v>
      </c>
    </row>
    <row r="18" spans="13:20" x14ac:dyDescent="0.25">
      <c r="M18" s="8" t="str">
        <f>Sheet1!Z1</f>
        <v>FUNCTIONALLY OBSELETE</v>
      </c>
      <c r="N18" s="8" t="str">
        <f>Sheet1!AB1</f>
        <v>STRUCTURALLY DEFICIENT</v>
      </c>
      <c r="O18" s="8" t="str">
        <f>Sheet1!AA1</f>
        <v>SAFETY NONCOMPLIANCE</v>
      </c>
      <c r="P18" s="8" t="str">
        <f>Sheet1!AC1</f>
        <v>FO/SD</v>
      </c>
      <c r="Q18" s="8" t="str">
        <f>Sheet1!AD1</f>
        <v>FO/SI</v>
      </c>
      <c r="R18" s="8" t="str">
        <f>Sheet1!AE1</f>
        <v>SD/SI</v>
      </c>
      <c r="S18" s="8" t="str">
        <f>Sheet1!AF1</f>
        <v>FO/SD/SI</v>
      </c>
      <c r="T18" s="8" t="str">
        <f>Sheet1!AG1</f>
        <v>NOT FO/SD/SI</v>
      </c>
    </row>
    <row r="19" spans="13:20" x14ac:dyDescent="0.25">
      <c r="M19" s="2">
        <f>Sheet1!Z217</f>
        <v>97</v>
      </c>
      <c r="N19" s="2">
        <f>Sheet1!AB217</f>
        <v>57</v>
      </c>
      <c r="O19" s="2">
        <f>Sheet1!AA217</f>
        <v>97</v>
      </c>
      <c r="P19" s="2">
        <f>Sheet1!AC217</f>
        <v>39</v>
      </c>
      <c r="Q19" s="2">
        <f>Sheet1!AD217</f>
        <v>50</v>
      </c>
      <c r="R19" s="2">
        <f>Sheet1!AE217</f>
        <v>46</v>
      </c>
      <c r="S19" s="2">
        <f>Sheet1!AF217</f>
        <v>33</v>
      </c>
      <c r="T19" s="2">
        <f>Sheet1!AG217</f>
        <v>60</v>
      </c>
    </row>
    <row r="20" spans="13:20" x14ac:dyDescent="0.25">
      <c r="M20" s="10">
        <f>M19-(P20+Q20+$S$19)</f>
        <v>41</v>
      </c>
      <c r="N20" s="11">
        <f>N19-(P20+R20+S19)</f>
        <v>5</v>
      </c>
      <c r="O20" s="12">
        <f>O19-(R20+Q20+S19)</f>
        <v>34</v>
      </c>
      <c r="P20" s="13">
        <f>P19-$S$19</f>
        <v>6</v>
      </c>
      <c r="Q20" s="14">
        <f>Q19-$S$19</f>
        <v>17</v>
      </c>
      <c r="R20" s="15">
        <f>R19-$S$19</f>
        <v>13</v>
      </c>
      <c r="S20" s="2"/>
    </row>
    <row r="21" spans="13:20" x14ac:dyDescent="0.25">
      <c r="M21" s="9" t="s">
        <v>84</v>
      </c>
      <c r="N21" s="9" t="s">
        <v>85</v>
      </c>
      <c r="O21" s="9" t="s">
        <v>86</v>
      </c>
    </row>
    <row r="25" spans="13:20" x14ac:dyDescent="0.25">
      <c r="N25">
        <f>SUM(S19,M20:R20)</f>
        <v>149</v>
      </c>
    </row>
  </sheetData>
  <mergeCells count="15">
    <mergeCell ref="M4:M8"/>
    <mergeCell ref="Q4:Q8"/>
    <mergeCell ref="R4:R5"/>
    <mergeCell ref="S4:S5"/>
    <mergeCell ref="M11:M15"/>
    <mergeCell ref="N11:N12"/>
    <mergeCell ref="O11:O12"/>
    <mergeCell ref="N13:N14"/>
    <mergeCell ref="O13:O14"/>
    <mergeCell ref="R6:R7"/>
    <mergeCell ref="S6:S7"/>
    <mergeCell ref="N4:N5"/>
    <mergeCell ref="O4:O5"/>
    <mergeCell ref="N6:N7"/>
    <mergeCell ref="O6:O7"/>
  </mergeCells>
  <pageMargins left="0.7" right="0.36" top="0.75" bottom="0.75" header="0.3" footer="0.3"/>
  <pageSetup paperSize="9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6"/>
  <sheetViews>
    <sheetView topLeftCell="C47" zoomScale="90" zoomScaleNormal="90" workbookViewId="0">
      <selection activeCell="H71" sqref="H71"/>
    </sheetView>
  </sheetViews>
  <sheetFormatPr defaultRowHeight="15" x14ac:dyDescent="0.25"/>
  <cols>
    <col min="1" max="1" width="17.85546875" customWidth="1"/>
    <col min="2" max="2" width="19.140625" customWidth="1"/>
    <col min="3" max="3" width="22.85546875" customWidth="1"/>
    <col min="4" max="4" width="18" customWidth="1"/>
    <col min="5" max="5" width="19.7109375" customWidth="1"/>
    <col min="6" max="6" width="17.28515625" customWidth="1"/>
  </cols>
  <sheetData>
    <row r="1" spans="1:2" ht="24.95" customHeight="1" x14ac:dyDescent="0.25">
      <c r="A1" s="2" t="s">
        <v>58</v>
      </c>
      <c r="B1" s="2" t="s">
        <v>66</v>
      </c>
    </row>
    <row r="2" spans="1:2" ht="24.95" customHeight="1" x14ac:dyDescent="0.25">
      <c r="A2" s="2" t="s">
        <v>89</v>
      </c>
      <c r="B2" s="2" t="e">
        <f>COUNTIF(Sheet1!#REF!,"&lt;1930")</f>
        <v>#REF!</v>
      </c>
    </row>
    <row r="3" spans="1:2" ht="24.95" customHeight="1" x14ac:dyDescent="0.25">
      <c r="A3" s="2" t="s">
        <v>90</v>
      </c>
      <c r="B3" s="2" t="e">
        <f>COUNTIFS(Sheet1!#REF!,"&gt;1929",Sheet1!#REF!,"&lt;1940")</f>
        <v>#REF!</v>
      </c>
    </row>
    <row r="4" spans="1:2" ht="24.95" customHeight="1" x14ac:dyDescent="0.25">
      <c r="A4" s="2" t="s">
        <v>91</v>
      </c>
      <c r="B4" s="2" t="e">
        <f>COUNTIFS(Sheet1!#REF!,"&gt;1939",Sheet1!#REF!,"&lt;1950")</f>
        <v>#REF!</v>
      </c>
    </row>
    <row r="5" spans="1:2" ht="24.95" customHeight="1" x14ac:dyDescent="0.25">
      <c r="A5" s="2" t="s">
        <v>92</v>
      </c>
      <c r="B5" s="2" t="e">
        <f>COUNTIFS(Sheet1!#REF!,"&gt;1949",Sheet1!#REF!,"&lt;1960")</f>
        <v>#REF!</v>
      </c>
    </row>
    <row r="6" spans="1:2" ht="24.95" customHeight="1" x14ac:dyDescent="0.25">
      <c r="A6" s="2" t="s">
        <v>59</v>
      </c>
      <c r="B6" s="2" t="e">
        <f>COUNTIFS(Sheet1!#REF!,"&gt;1959",Sheet1!#REF!,"&lt;1970")</f>
        <v>#REF!</v>
      </c>
    </row>
    <row r="7" spans="1:2" ht="24.95" customHeight="1" x14ac:dyDescent="0.25">
      <c r="A7" s="2" t="s">
        <v>60</v>
      </c>
      <c r="B7" s="2" t="e">
        <f>COUNTIFS(Sheet1!#REF!,"&gt;1969",Sheet1!#REF!,"&lt;1980")</f>
        <v>#REF!</v>
      </c>
    </row>
    <row r="8" spans="1:2" ht="24.95" customHeight="1" x14ac:dyDescent="0.25">
      <c r="A8" s="2" t="s">
        <v>61</v>
      </c>
      <c r="B8" s="2" t="e">
        <f>COUNTIFS(Sheet1!#REF!,"&gt;1979",Sheet1!#REF!,"&lt;1990")</f>
        <v>#REF!</v>
      </c>
    </row>
    <row r="9" spans="1:2" ht="24.95" customHeight="1" x14ac:dyDescent="0.25">
      <c r="A9" s="2" t="s">
        <v>62</v>
      </c>
      <c r="B9" s="2" t="e">
        <f>COUNTIFS(Sheet1!#REF!,"&gt;1989",Sheet1!#REF!,"&lt;2000")</f>
        <v>#REF!</v>
      </c>
    </row>
    <row r="10" spans="1:2" x14ac:dyDescent="0.25">
      <c r="A10" s="2" t="s">
        <v>63</v>
      </c>
      <c r="B10" s="2" t="e">
        <f>COUNTIFS(Sheet1!#REF!,"&gt;1999",Sheet1!#REF!,"&lt;2010")</f>
        <v>#REF!</v>
      </c>
    </row>
    <row r="11" spans="1:2" x14ac:dyDescent="0.25">
      <c r="A11" s="2" t="s">
        <v>64</v>
      </c>
      <c r="B11" s="2" t="e">
        <f>COUNTIFS(Sheet1!#REF!,"&gt;2009",Sheet1!#REF!,"&lt;2020")</f>
        <v>#REF!</v>
      </c>
    </row>
    <row r="12" spans="1:2" x14ac:dyDescent="0.25">
      <c r="A12" s="2" t="s">
        <v>65</v>
      </c>
      <c r="B12" s="2" t="e">
        <f>COUNTBLANK(Sheet1!#REF!)</f>
        <v>#REF!</v>
      </c>
    </row>
    <row r="13" spans="1:2" x14ac:dyDescent="0.25">
      <c r="A13" s="6" t="s">
        <v>72</v>
      </c>
      <c r="B13" s="2" t="e">
        <f>SUM(B2:B12)</f>
        <v>#REF!</v>
      </c>
    </row>
    <row r="41" spans="1:3" ht="15.75" thickBot="1" x14ac:dyDescent="0.3">
      <c r="A41" s="87" t="s">
        <v>808</v>
      </c>
      <c r="B41" s="87" t="s">
        <v>809</v>
      </c>
      <c r="C41" s="88" t="s">
        <v>810</v>
      </c>
    </row>
    <row r="42" spans="1:3" x14ac:dyDescent="0.25">
      <c r="A42" s="89" t="s">
        <v>811</v>
      </c>
      <c r="B42" s="89" t="s">
        <v>812</v>
      </c>
      <c r="C42" s="58" t="e">
        <f>COUNTIF([1]Sheet1!O$2:O$216,"&lt;=1967")</f>
        <v>#VALUE!</v>
      </c>
    </row>
    <row r="43" spans="1:3" x14ac:dyDescent="0.25">
      <c r="A43" s="2" t="s">
        <v>813</v>
      </c>
      <c r="B43" s="2" t="s">
        <v>814</v>
      </c>
      <c r="C43" s="57" t="e">
        <f>COUNTIFS([1]Sheet1!$O$2:$O$216,"&gt;1967",[1]Sheet1!$O$2:$O$216,"&lt;=1992")</f>
        <v>#VALUE!</v>
      </c>
    </row>
    <row r="44" spans="1:3" x14ac:dyDescent="0.25">
      <c r="A44" s="2" t="s">
        <v>815</v>
      </c>
      <c r="B44" s="2" t="s">
        <v>816</v>
      </c>
      <c r="C44" s="57" t="e">
        <f>COUNTIFS([1]Sheet1!$O$2:$O$216,"&gt;1992",[1]Sheet1!$O$2:$O$216,"&lt;=2007")</f>
        <v>#VALUE!</v>
      </c>
    </row>
    <row r="45" spans="1:3" x14ac:dyDescent="0.25">
      <c r="A45" s="2" t="s">
        <v>817</v>
      </c>
      <c r="B45" s="2" t="s">
        <v>818</v>
      </c>
      <c r="C45" s="57" t="e">
        <f>COUNTIFS([1]Sheet1!$O$2:$O$216,"&gt;2006",[1]Sheet1!$O$2:$O$216,"&lt;=2013")</f>
        <v>#VALUE!</v>
      </c>
    </row>
    <row r="46" spans="1:3" x14ac:dyDescent="0.25">
      <c r="A46" s="2" t="s">
        <v>819</v>
      </c>
      <c r="B46" s="2" t="s">
        <v>820</v>
      </c>
      <c r="C46" s="57" t="e">
        <f>COUNTIFS([1]Sheet1!$O$2:$O$216,"&gt;2013")</f>
        <v>#VALUE!</v>
      </c>
    </row>
    <row r="47" spans="1:3" ht="15.75" thickBot="1" x14ac:dyDescent="0.3">
      <c r="A47" s="90" t="s">
        <v>821</v>
      </c>
      <c r="B47" s="90"/>
      <c r="C47" s="91" t="e">
        <f>COUNTBLANK([1]Sheet1!$O$2:$O$216)</f>
        <v>#VALUE!</v>
      </c>
    </row>
    <row r="48" spans="1:3" x14ac:dyDescent="0.25">
      <c r="A48" s="89" t="s">
        <v>72</v>
      </c>
      <c r="B48" s="89"/>
      <c r="C48" s="58" t="e">
        <f>SUM(C42:C47)</f>
        <v>#VALUE!</v>
      </c>
    </row>
    <row r="54" spans="4:6" ht="16.5" thickBot="1" x14ac:dyDescent="0.3">
      <c r="D54" s="97" t="s">
        <v>808</v>
      </c>
      <c r="E54" s="97" t="s">
        <v>809</v>
      </c>
      <c r="F54" s="98" t="s">
        <v>810</v>
      </c>
    </row>
    <row r="55" spans="4:6" ht="15.75" x14ac:dyDescent="0.25">
      <c r="D55" s="99" t="s">
        <v>830</v>
      </c>
      <c r="E55" s="99" t="s">
        <v>831</v>
      </c>
      <c r="F55" s="100">
        <f>COUNTIF(Sheet1!M2:M216,"&lt;=1930")</f>
        <v>11</v>
      </c>
    </row>
    <row r="56" spans="4:6" ht="15.75" x14ac:dyDescent="0.25">
      <c r="D56" s="32" t="s">
        <v>832</v>
      </c>
      <c r="E56" s="32" t="s">
        <v>833</v>
      </c>
      <c r="F56" s="101">
        <f>COUNTIFS(Sheet1!M2:M216,"&gt;1930",Sheet1!M2:M216,"&lt;=1940")</f>
        <v>0</v>
      </c>
    </row>
    <row r="57" spans="4:6" ht="15.75" x14ac:dyDescent="0.25">
      <c r="D57" s="32" t="s">
        <v>834</v>
      </c>
      <c r="E57" s="32" t="s">
        <v>835</v>
      </c>
      <c r="F57" s="101">
        <f>COUNTIFS(Sheet1!M2:M216,"&gt;1940",Sheet1!M2:M216,"&lt;=1950")</f>
        <v>1</v>
      </c>
    </row>
    <row r="58" spans="4:6" ht="15.75" x14ac:dyDescent="0.25">
      <c r="D58" s="32" t="s">
        <v>836</v>
      </c>
      <c r="E58" s="32" t="s">
        <v>837</v>
      </c>
      <c r="F58" s="101">
        <f>COUNTIFS(Sheet1!M2:M216,"&gt;1950",Sheet1!M2:M216,"&lt;=1960")</f>
        <v>8</v>
      </c>
    </row>
    <row r="59" spans="4:6" ht="15.75" x14ac:dyDescent="0.25">
      <c r="D59" s="32" t="s">
        <v>838</v>
      </c>
      <c r="E59" s="32" t="s">
        <v>839</v>
      </c>
      <c r="F59" s="101">
        <f>COUNTIFS(Sheet1!M2:M216,"&gt;1960",Sheet1!M2:M216,"&lt;=1970")</f>
        <v>1</v>
      </c>
    </row>
    <row r="60" spans="4:6" ht="15.75" x14ac:dyDescent="0.25">
      <c r="D60" s="32" t="s">
        <v>840</v>
      </c>
      <c r="E60" s="32" t="s">
        <v>841</v>
      </c>
      <c r="F60" s="101">
        <f>COUNTIFS(Sheet1!M2:M216,"&gt;1970",Sheet1!M2:M216,"&lt;=1980")</f>
        <v>3</v>
      </c>
    </row>
    <row r="61" spans="4:6" ht="15.75" x14ac:dyDescent="0.25">
      <c r="D61" s="32" t="s">
        <v>842</v>
      </c>
      <c r="E61" s="32" t="s">
        <v>843</v>
      </c>
      <c r="F61" s="101">
        <f>COUNTIFS(Sheet1!M2:M216,"&gt;1980",Sheet1!M2:M216,"&lt;=1990")</f>
        <v>1</v>
      </c>
    </row>
    <row r="62" spans="4:6" ht="15.75" x14ac:dyDescent="0.25">
      <c r="D62" s="32" t="s">
        <v>844</v>
      </c>
      <c r="E62" s="32" t="s">
        <v>845</v>
      </c>
      <c r="F62" s="101">
        <f>COUNTIFS(Sheet1!M2:M216,"&gt;1990",Sheet1!M2:M216,"&lt;=2000")</f>
        <v>3</v>
      </c>
    </row>
    <row r="63" spans="4:6" ht="15.75" x14ac:dyDescent="0.25">
      <c r="D63" s="32" t="s">
        <v>846</v>
      </c>
      <c r="E63" s="32" t="s">
        <v>847</v>
      </c>
      <c r="F63" s="101">
        <f>COUNTIFS(Sheet1!M2:M216,"&gt;2000",Sheet1!M2:M216,"&lt;=2010")</f>
        <v>1</v>
      </c>
    </row>
    <row r="64" spans="4:6" ht="15.75" x14ac:dyDescent="0.25">
      <c r="D64" s="32" t="s">
        <v>848</v>
      </c>
      <c r="E64" s="32" t="s">
        <v>849</v>
      </c>
      <c r="F64" s="101">
        <f>COUNTIFS(Sheet1!M2:M216,"&gt;2010",Sheet1!M2:M216,"&lt;=2017")</f>
        <v>5</v>
      </c>
    </row>
    <row r="65" spans="4:6" ht="16.5" thickBot="1" x14ac:dyDescent="0.3">
      <c r="D65" s="102" t="s">
        <v>821</v>
      </c>
      <c r="E65" s="102"/>
      <c r="F65" s="103">
        <f>COUNTBLANK(Sheet1!M2:M216)</f>
        <v>181</v>
      </c>
    </row>
    <row r="66" spans="4:6" ht="15.75" x14ac:dyDescent="0.25">
      <c r="D66" s="99" t="s">
        <v>72</v>
      </c>
      <c r="E66" s="99"/>
      <c r="F66" s="100">
        <f>SUM(F55:F65)</f>
        <v>215</v>
      </c>
    </row>
  </sheetData>
  <pageMargins left="0.27" right="0.2" top="0.75" bottom="0.75" header="0.3" footer="0.3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17" workbookViewId="0">
      <selection activeCell="G9" sqref="G9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9.140625" customWidth="1"/>
    <col min="5" max="5" width="20.85546875" customWidth="1"/>
    <col min="6" max="6" width="30" customWidth="1"/>
    <col min="7" max="7" width="33" customWidth="1"/>
  </cols>
  <sheetData>
    <row r="1" spans="1:2" x14ac:dyDescent="0.25">
      <c r="A1" s="2" t="s">
        <v>70</v>
      </c>
      <c r="B1" s="2" t="s">
        <v>71</v>
      </c>
    </row>
    <row r="2" spans="1:2" x14ac:dyDescent="0.25">
      <c r="A2" s="2" t="e">
        <f>'YEAR BUILT'!B13-B2</f>
        <v>#REF!</v>
      </c>
      <c r="B2" s="2">
        <f>COUNTIF(Sheet1!H2:H211,"bailey")</f>
        <v>17</v>
      </c>
    </row>
  </sheetData>
  <pageMargins left="0.7" right="0.7" top="0.75" bottom="0.75" header="0.3" footer="0.3"/>
  <pageSetup paperSize="9" scale="95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B6"/>
  <sheetViews>
    <sheetView zoomScale="85" zoomScaleNormal="85" workbookViewId="0">
      <selection activeCell="K26" sqref="K26"/>
    </sheetView>
  </sheetViews>
  <sheetFormatPr defaultRowHeight="15" x14ac:dyDescent="0.25"/>
  <cols>
    <col min="1" max="1" width="16.7109375" bestFit="1" customWidth="1"/>
    <col min="2" max="2" width="19.140625" bestFit="1" customWidth="1"/>
    <col min="8" max="8" width="15.85546875" bestFit="1" customWidth="1"/>
  </cols>
  <sheetData>
    <row r="3" spans="1:2" x14ac:dyDescent="0.25">
      <c r="A3" t="s">
        <v>94</v>
      </c>
      <c r="B3" t="s">
        <v>93</v>
      </c>
    </row>
    <row r="4" spans="1:2" x14ac:dyDescent="0.25">
      <c r="A4" s="3">
        <v>15000</v>
      </c>
      <c r="B4" s="3">
        <f>Sheet1!I212</f>
        <v>18.399999999999999</v>
      </c>
    </row>
    <row r="6" spans="1:2" s="3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7" workbookViewId="0">
      <selection activeCell="L51" sqref="L51"/>
    </sheetView>
  </sheetViews>
  <sheetFormatPr defaultRowHeight="15" x14ac:dyDescent="0.25"/>
  <cols>
    <col min="1" max="1" width="28.140625" customWidth="1"/>
    <col min="3" max="3" width="21.7109375" customWidth="1"/>
    <col min="4" max="4" width="19.42578125" customWidth="1"/>
  </cols>
  <sheetData>
    <row r="1" spans="1:2" x14ac:dyDescent="0.25">
      <c r="A1" s="2" t="s">
        <v>88</v>
      </c>
      <c r="B1" s="2" t="s">
        <v>101</v>
      </c>
    </row>
    <row r="2" spans="1:2" x14ac:dyDescent="0.25">
      <c r="A2" s="2" t="s">
        <v>100</v>
      </c>
      <c r="B2" s="2">
        <f>COUNTIF(Sheet1!K2:K211, "&lt;12")</f>
        <v>78</v>
      </c>
    </row>
    <row r="3" spans="1:2" x14ac:dyDescent="0.25">
      <c r="A3" s="2" t="s">
        <v>95</v>
      </c>
      <c r="B3" s="2">
        <f>COUNTIFS(Sheet1!$K$2:$K$211,"&gt;11.99",Sheet1!$K$2:$K$211,"&lt;20")</f>
        <v>18</v>
      </c>
    </row>
    <row r="4" spans="1:2" x14ac:dyDescent="0.25">
      <c r="A4" s="2" t="s">
        <v>96</v>
      </c>
      <c r="B4" s="2">
        <f>COUNTIFS(Sheet1!$K$2:$K$211,"&gt;19.99",Sheet1!$K$2:$K$211,"&lt;30")</f>
        <v>26</v>
      </c>
    </row>
    <row r="5" spans="1:2" x14ac:dyDescent="0.25">
      <c r="A5" s="21" t="s">
        <v>97</v>
      </c>
      <c r="B5" s="2">
        <f>COUNTIFS(Sheet1!$K$2:$K$211,"&gt;29.99",Sheet1!$K$2:$K$211,"&lt;40")</f>
        <v>12</v>
      </c>
    </row>
    <row r="6" spans="1:2" x14ac:dyDescent="0.25">
      <c r="A6" s="2" t="s">
        <v>98</v>
      </c>
      <c r="B6" s="2">
        <f>COUNTIFS(Sheet1!$K$2:$K$211,"&gt;39.99",Sheet1!$K$2:$K$211,"&lt;50")</f>
        <v>1</v>
      </c>
    </row>
    <row r="7" spans="1:2" x14ac:dyDescent="0.25">
      <c r="A7" s="2" t="s">
        <v>99</v>
      </c>
      <c r="B7" s="2">
        <f>COUNTIF(Sheet1!K2:K211, "&gt;49.99")</f>
        <v>6</v>
      </c>
    </row>
    <row r="8" spans="1:2" x14ac:dyDescent="0.25">
      <c r="A8" s="2" t="s">
        <v>65</v>
      </c>
      <c r="B8" s="2">
        <f>COUNTBLANK(Sheet1!$K$2:$K$211)</f>
        <v>69</v>
      </c>
    </row>
    <row r="35" spans="1:4" ht="30" x14ac:dyDescent="0.25">
      <c r="A35" s="92" t="s">
        <v>822</v>
      </c>
      <c r="B35" s="93" t="s">
        <v>810</v>
      </c>
    </row>
    <row r="36" spans="1:4" x14ac:dyDescent="0.25">
      <c r="A36" s="2" t="s">
        <v>823</v>
      </c>
      <c r="B36" s="57" t="e">
        <f>COUNTIFS([1]Sheet1!$M$2:$M$216,"&gt;0",[1]Sheet1!$M$2:$M$216,"&lt;12")</f>
        <v>#VALUE!</v>
      </c>
    </row>
    <row r="37" spans="1:4" x14ac:dyDescent="0.25">
      <c r="A37" s="2" t="s">
        <v>824</v>
      </c>
      <c r="B37" s="57" t="e">
        <f>COUNTIFS([1]Sheet1!$M$2:$M$216,"&gt;11.99",[1]Sheet1!$M$2:$M$216,"&lt;20")</f>
        <v>#VALUE!</v>
      </c>
    </row>
    <row r="38" spans="1:4" x14ac:dyDescent="0.25">
      <c r="A38" s="2" t="s">
        <v>825</v>
      </c>
      <c r="B38" s="57" t="e">
        <f>COUNTIFS([1]Sheet1!$M$2:$M$216,"&gt;19.99",[1]Sheet1!$M$2:$M$216,"&lt;50")</f>
        <v>#VALUE!</v>
      </c>
    </row>
    <row r="39" spans="1:4" x14ac:dyDescent="0.25">
      <c r="A39" s="2" t="s">
        <v>826</v>
      </c>
      <c r="B39" s="57" t="e">
        <f>COUNTIF([1]Sheet1!$M$2:$M$216, "&gt;49.99")</f>
        <v>#VALUE!</v>
      </c>
    </row>
    <row r="40" spans="1:4" x14ac:dyDescent="0.25">
      <c r="A40" s="2" t="s">
        <v>821</v>
      </c>
      <c r="B40" s="57" t="e">
        <f>COUNTBLANK([1]Sheet1!$M$2:$M$216)</f>
        <v>#VALUE!</v>
      </c>
    </row>
    <row r="41" spans="1:4" x14ac:dyDescent="0.25">
      <c r="A41" t="s">
        <v>72</v>
      </c>
      <c r="B41" s="94" t="e">
        <f>SUM(B36:B40)</f>
        <v>#VALUE!</v>
      </c>
    </row>
    <row r="47" spans="1:4" ht="30.75" thickBot="1" x14ac:dyDescent="0.3">
      <c r="C47" s="95" t="s">
        <v>822</v>
      </c>
      <c r="D47" s="96" t="s">
        <v>810</v>
      </c>
    </row>
    <row r="48" spans="1:4" x14ac:dyDescent="0.25">
      <c r="C48" s="89" t="s">
        <v>823</v>
      </c>
      <c r="D48" s="60">
        <f>COUNTIFS(Sheet1!K2:K216,"&gt;0",Sheet1!K2:K216,"&lt;=12")</f>
        <v>81</v>
      </c>
    </row>
    <row r="49" spans="3:4" x14ac:dyDescent="0.25">
      <c r="C49" s="2" t="s">
        <v>824</v>
      </c>
      <c r="D49" s="59">
        <f>COUNTIFS(Sheet1!K2:K216,"&gt;12",Sheet1!K2:K216,"&lt;=20")</f>
        <v>19</v>
      </c>
    </row>
    <row r="50" spans="3:4" x14ac:dyDescent="0.25">
      <c r="C50" s="2" t="s">
        <v>827</v>
      </c>
      <c r="D50" s="59">
        <f>COUNTIFS(Sheet1!K2:K216,"&gt;20",Sheet1!K2:K216,"&lt;=30")</f>
        <v>27</v>
      </c>
    </row>
    <row r="51" spans="3:4" x14ac:dyDescent="0.25">
      <c r="C51" s="2" t="s">
        <v>828</v>
      </c>
      <c r="D51" s="59">
        <f>COUNTIFS(Sheet1!K2:K216,"&gt;30",Sheet1!K2:K216,"&lt;=40")</f>
        <v>11</v>
      </c>
    </row>
    <row r="52" spans="3:4" x14ac:dyDescent="0.25">
      <c r="C52" s="2" t="s">
        <v>829</v>
      </c>
      <c r="D52" s="59">
        <f>COUNTIFS(Sheet1!K2:K216,"&gt;40",Sheet1!K2:K216,"&lt;=50")</f>
        <v>4</v>
      </c>
    </row>
    <row r="53" spans="3:4" x14ac:dyDescent="0.25">
      <c r="C53" s="2" t="s">
        <v>826</v>
      </c>
      <c r="D53" s="59">
        <f>COUNTIF(Sheet1!K2:K216, "&gt;50")</f>
        <v>3</v>
      </c>
    </row>
    <row r="54" spans="3:4" ht="15.75" thickBot="1" x14ac:dyDescent="0.3">
      <c r="C54" s="90" t="s">
        <v>821</v>
      </c>
      <c r="D54" s="91">
        <f>COUNTBLANK(Sheet1!K2:K216)</f>
        <v>70</v>
      </c>
    </row>
    <row r="55" spans="3:4" x14ac:dyDescent="0.25">
      <c r="C55" s="89" t="s">
        <v>72</v>
      </c>
      <c r="D55" s="60">
        <f>SUM(D48:D54)</f>
        <v>215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P10" sqref="P10"/>
    </sheetView>
  </sheetViews>
  <sheetFormatPr defaultRowHeight="15" x14ac:dyDescent="0.25"/>
  <sheetData>
    <row r="1" spans="1:2" ht="15.75" x14ac:dyDescent="0.25">
      <c r="A1" s="31" t="s">
        <v>735</v>
      </c>
      <c r="B1" s="31" t="s">
        <v>66</v>
      </c>
    </row>
    <row r="2" spans="1:2" ht="18.75" x14ac:dyDescent="0.3">
      <c r="A2" s="32" t="s">
        <v>736</v>
      </c>
      <c r="B2" s="33" t="e">
        <f>COUNTIFS(Sheet1!#REF!,"&gt;0",Sheet1!#REF!,"&lt;4000")</f>
        <v>#REF!</v>
      </c>
    </row>
    <row r="3" spans="1:2" ht="18.75" x14ac:dyDescent="0.3">
      <c r="A3" s="32" t="s">
        <v>737</v>
      </c>
      <c r="B3" s="33" t="e">
        <f>COUNTIFS(Sheet1!#REF!,"&gt;4000",Sheet1!#REF!,"&lt;8000")</f>
        <v>#REF!</v>
      </c>
    </row>
    <row r="4" spans="1:2" ht="18.75" x14ac:dyDescent="0.3">
      <c r="A4" s="32" t="s">
        <v>738</v>
      </c>
      <c r="B4" s="33" t="e">
        <f>COUNTIF(Sheet1!#REF!,"&gt;8000")</f>
        <v>#REF!</v>
      </c>
    </row>
    <row r="5" spans="1:2" ht="18.75" x14ac:dyDescent="0.3">
      <c r="A5" s="32" t="s">
        <v>65</v>
      </c>
      <c r="B5" s="33" t="e">
        <f>COUNTBLANK(Sheet1!#REF!)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273"/>
  <sheetViews>
    <sheetView topLeftCell="H10" zoomScale="60" zoomScaleNormal="60" workbookViewId="0">
      <selection activeCell="W147" sqref="W147"/>
    </sheetView>
  </sheetViews>
  <sheetFormatPr defaultColWidth="108.7109375" defaultRowHeight="15" x14ac:dyDescent="0.25"/>
  <cols>
    <col min="1" max="1" width="10.140625" style="1" customWidth="1"/>
    <col min="2" max="2" width="26.85546875" style="1" customWidth="1"/>
    <col min="3" max="3" width="33.28515625" style="1" customWidth="1"/>
    <col min="4" max="4" width="22.28515625" style="1" customWidth="1"/>
    <col min="5" max="5" width="27.42578125" style="1" customWidth="1"/>
    <col min="6" max="6" width="35.5703125" style="1" customWidth="1"/>
    <col min="7" max="7" width="32.140625" style="1" customWidth="1"/>
    <col min="8" max="8" width="27.28515625" style="1" customWidth="1"/>
    <col min="9" max="9" width="16.140625" style="1" customWidth="1"/>
    <col min="10" max="10" width="14.140625" style="1" customWidth="1"/>
    <col min="11" max="11" width="12.85546875" style="1" customWidth="1"/>
    <col min="12" max="12" width="11.7109375" style="1" customWidth="1"/>
    <col min="13" max="13" width="18.7109375" style="1" customWidth="1"/>
    <col min="14" max="14" width="19.28515625" style="1" customWidth="1"/>
    <col min="15" max="15" width="60" style="34" customWidth="1"/>
    <col min="16" max="16" width="31.85546875" style="1" customWidth="1"/>
    <col min="17" max="17" width="16.5703125" style="1" customWidth="1"/>
    <col min="18" max="18" width="23.5703125" style="1" customWidth="1"/>
    <col min="19" max="19" width="24.140625" style="1" customWidth="1"/>
    <col min="20" max="20" width="25.28515625" style="1" customWidth="1"/>
    <col min="21" max="21" width="20.140625" style="1" customWidth="1"/>
    <col min="22" max="22" width="12.42578125" style="1" customWidth="1"/>
    <col min="23" max="25" width="18.7109375" style="1" customWidth="1"/>
    <col min="26" max="26" width="40" style="7" customWidth="1"/>
    <col min="27" max="27" width="35.85546875" style="7" customWidth="1"/>
    <col min="28" max="28" width="40.28515625" style="7" customWidth="1"/>
    <col min="29" max="29" width="15.7109375" style="7" customWidth="1"/>
    <col min="30" max="31" width="14.5703125" style="7" customWidth="1"/>
    <col min="32" max="32" width="18.7109375" style="7" customWidth="1"/>
    <col min="33" max="33" width="24.42578125" style="1" customWidth="1"/>
    <col min="34" max="34" width="9" style="1" customWidth="1"/>
    <col min="35" max="35" width="14.5703125" style="1" customWidth="1"/>
    <col min="36" max="36" width="12.42578125" style="1" customWidth="1"/>
    <col min="37" max="37" width="8.140625" style="1" customWidth="1"/>
    <col min="38" max="271" width="15.7109375" style="1" customWidth="1"/>
    <col min="272" max="16384" width="108.7109375" style="1"/>
  </cols>
  <sheetData>
    <row r="1" spans="1:35" s="20" customFormat="1" ht="54" customHeight="1" x14ac:dyDescent="0.25">
      <c r="A1" s="40" t="s">
        <v>739</v>
      </c>
      <c r="B1" s="19" t="s">
        <v>0</v>
      </c>
      <c r="C1" s="19" t="s">
        <v>1</v>
      </c>
      <c r="D1" s="19" t="s">
        <v>2</v>
      </c>
      <c r="E1" s="19" t="s">
        <v>3</v>
      </c>
      <c r="F1" s="107" t="s">
        <v>4</v>
      </c>
      <c r="G1" s="107" t="s">
        <v>5</v>
      </c>
      <c r="H1" s="19" t="s">
        <v>6</v>
      </c>
      <c r="I1" s="40" t="s">
        <v>743</v>
      </c>
      <c r="J1" s="40" t="s">
        <v>7</v>
      </c>
      <c r="K1" s="40" t="s">
        <v>88</v>
      </c>
      <c r="L1" s="40" t="s">
        <v>741</v>
      </c>
      <c r="M1" s="105" t="s">
        <v>742</v>
      </c>
      <c r="N1" s="105" t="s">
        <v>850</v>
      </c>
      <c r="O1" s="40" t="s">
        <v>8</v>
      </c>
      <c r="P1" s="40" t="s">
        <v>10</v>
      </c>
      <c r="Q1" s="40" t="s">
        <v>9</v>
      </c>
      <c r="R1" s="40" t="s">
        <v>55</v>
      </c>
      <c r="S1" s="40" t="s">
        <v>56</v>
      </c>
      <c r="T1" s="40" t="s">
        <v>740</v>
      </c>
      <c r="U1" s="40" t="s">
        <v>53</v>
      </c>
      <c r="V1" s="40" t="s">
        <v>11</v>
      </c>
      <c r="W1" s="40" t="s">
        <v>12</v>
      </c>
      <c r="X1" s="56"/>
      <c r="Y1" s="56"/>
      <c r="Z1" s="41" t="str">
        <f>R1</f>
        <v>FUNCTIONALLY OBSELETE</v>
      </c>
      <c r="AA1" s="41" t="str">
        <f>T1</f>
        <v>SAFETY NONCOMPLIANCE</v>
      </c>
      <c r="AB1" s="41" t="str">
        <f>S1</f>
        <v>STRUCTURALLY DEFICIENT</v>
      </c>
      <c r="AC1" s="42" t="s">
        <v>81</v>
      </c>
      <c r="AD1" s="42" t="s">
        <v>80</v>
      </c>
      <c r="AE1" s="42" t="s">
        <v>82</v>
      </c>
      <c r="AF1" s="42" t="s">
        <v>83</v>
      </c>
      <c r="AG1" s="42" t="s">
        <v>87</v>
      </c>
      <c r="AI1" s="20" t="s">
        <v>855</v>
      </c>
    </row>
    <row r="2" spans="1:35" s="16" customFormat="1" ht="35.1" hidden="1" customHeight="1" x14ac:dyDescent="0.25">
      <c r="A2" s="61">
        <v>1</v>
      </c>
      <c r="B2" s="62" t="s">
        <v>127</v>
      </c>
      <c r="C2" s="61" t="s">
        <v>13</v>
      </c>
      <c r="D2" s="27" t="s">
        <v>400</v>
      </c>
      <c r="E2" s="61" t="s">
        <v>749</v>
      </c>
      <c r="F2" s="62" t="s">
        <v>127</v>
      </c>
      <c r="G2" s="62" t="s">
        <v>127</v>
      </c>
      <c r="H2" s="63" t="s">
        <v>851</v>
      </c>
      <c r="I2" s="29">
        <v>147.69999999999999</v>
      </c>
      <c r="J2" s="64">
        <v>6</v>
      </c>
      <c r="K2" s="64">
        <v>30</v>
      </c>
      <c r="L2" s="29">
        <v>5.7</v>
      </c>
      <c r="M2" s="29">
        <v>1928</v>
      </c>
      <c r="N2" s="29"/>
      <c r="O2" s="28" t="s">
        <v>715</v>
      </c>
      <c r="P2" s="53" t="s">
        <v>733</v>
      </c>
      <c r="Q2" s="24" t="s">
        <v>102</v>
      </c>
      <c r="R2" s="54" t="str">
        <f t="shared" ref="R2:R65" si="0">IF(L2&lt;7.3,"NARROW","OK")</f>
        <v>NARROW</v>
      </c>
      <c r="S2" s="29" t="s">
        <v>102</v>
      </c>
      <c r="T2" s="29" t="s">
        <v>33</v>
      </c>
      <c r="U2" s="29"/>
      <c r="V2" s="27"/>
      <c r="W2" s="27"/>
      <c r="X2" s="73"/>
      <c r="Y2" s="73"/>
      <c r="Z2" s="39">
        <f>IF(R2="NARROW",1,0)</f>
        <v>1</v>
      </c>
      <c r="AA2" s="39">
        <f t="shared" ref="AA2:AA65" si="1">IF(T2= "UNSAFE",1,0)</f>
        <v>0</v>
      </c>
      <c r="AB2" s="39">
        <f>IF(S2= "POOR",1,0)</f>
        <v>1</v>
      </c>
      <c r="AC2" s="39" t="str">
        <f t="shared" ref="AC2:AC65" si="2">IF(Z2+AB2=2,"A",0)</f>
        <v>A</v>
      </c>
      <c r="AD2" s="39">
        <f t="shared" ref="AD2:AD65" si="3">IF(Z2+AA2=2,"B",0)</f>
        <v>0</v>
      </c>
      <c r="AE2" s="39">
        <f t="shared" ref="AE2:AE65" si="4">IF(AB2+AA2=2,"C",0)</f>
        <v>0</v>
      </c>
      <c r="AF2" s="39">
        <f t="shared" ref="AF2:AF65" si="5">IF(Z2+AB2+AA2=3,"D",0)</f>
        <v>0</v>
      </c>
      <c r="AG2" s="39">
        <f t="shared" ref="AG2:AG65" si="6">IF(Z2+AB2+AA2=0,"E",0)</f>
        <v>0</v>
      </c>
    </row>
    <row r="3" spans="1:35" s="16" customFormat="1" ht="35.1" hidden="1" customHeight="1" x14ac:dyDescent="0.25">
      <c r="A3" s="61">
        <v>2</v>
      </c>
      <c r="B3" s="62" t="s">
        <v>112</v>
      </c>
      <c r="C3" s="61" t="s">
        <v>13</v>
      </c>
      <c r="D3" s="27" t="s">
        <v>289</v>
      </c>
      <c r="E3" s="61" t="s">
        <v>749</v>
      </c>
      <c r="F3" s="62" t="s">
        <v>112</v>
      </c>
      <c r="G3" s="62" t="s">
        <v>470</v>
      </c>
      <c r="H3" s="63" t="s">
        <v>522</v>
      </c>
      <c r="I3" s="29">
        <v>17.100000000000001</v>
      </c>
      <c r="J3" s="64">
        <v>1</v>
      </c>
      <c r="K3" s="64">
        <v>17.5</v>
      </c>
      <c r="L3" s="29">
        <v>11.3</v>
      </c>
      <c r="M3" s="29">
        <v>2008</v>
      </c>
      <c r="N3" s="29"/>
      <c r="O3" s="28" t="s">
        <v>646</v>
      </c>
      <c r="P3" s="53" t="s">
        <v>731</v>
      </c>
      <c r="Q3" s="24" t="s">
        <v>857</v>
      </c>
      <c r="R3" s="54" t="str">
        <f t="shared" si="0"/>
        <v>OK</v>
      </c>
      <c r="S3" s="29" t="s">
        <v>27</v>
      </c>
      <c r="T3" s="29" t="s">
        <v>33</v>
      </c>
      <c r="U3" s="29"/>
      <c r="V3" s="43">
        <v>1296</v>
      </c>
      <c r="W3" s="44">
        <v>1</v>
      </c>
      <c r="X3" s="74"/>
      <c r="Y3" s="74"/>
      <c r="Z3" s="39">
        <f t="shared" ref="Z3:Z66" si="7">IF(R3="NARROW",1,0)</f>
        <v>0</v>
      </c>
      <c r="AA3" s="39">
        <f t="shared" si="1"/>
        <v>0</v>
      </c>
      <c r="AB3" s="39">
        <f t="shared" ref="AB3:AB66" si="8">IF(S3= "POOR",1,0)</f>
        <v>0</v>
      </c>
      <c r="AC3" s="39">
        <f t="shared" si="2"/>
        <v>0</v>
      </c>
      <c r="AD3" s="39">
        <f t="shared" si="3"/>
        <v>0</v>
      </c>
      <c r="AE3" s="39">
        <f t="shared" si="4"/>
        <v>0</v>
      </c>
      <c r="AF3" s="39">
        <f t="shared" si="5"/>
        <v>0</v>
      </c>
      <c r="AG3" s="39" t="str">
        <f t="shared" si="6"/>
        <v>E</v>
      </c>
    </row>
    <row r="4" spans="1:35" s="16" customFormat="1" ht="35.1" hidden="1" customHeight="1" x14ac:dyDescent="0.25">
      <c r="A4" s="61">
        <v>3</v>
      </c>
      <c r="B4" s="62" t="s">
        <v>113</v>
      </c>
      <c r="C4" s="61" t="s">
        <v>13</v>
      </c>
      <c r="D4" s="61" t="s">
        <v>290</v>
      </c>
      <c r="E4" s="61" t="s">
        <v>749</v>
      </c>
      <c r="F4" s="62" t="s">
        <v>113</v>
      </c>
      <c r="G4" s="62" t="s">
        <v>113</v>
      </c>
      <c r="H4" s="63" t="s">
        <v>851</v>
      </c>
      <c r="I4" s="29">
        <v>16.2</v>
      </c>
      <c r="J4" s="64">
        <v>2</v>
      </c>
      <c r="K4" s="64">
        <v>8.1</v>
      </c>
      <c r="L4" s="29">
        <v>5.85</v>
      </c>
      <c r="M4" s="29"/>
      <c r="N4" s="29"/>
      <c r="O4" s="28" t="s">
        <v>750</v>
      </c>
      <c r="P4" s="53" t="s">
        <v>731</v>
      </c>
      <c r="Q4" s="24" t="s">
        <v>857</v>
      </c>
      <c r="R4" s="54" t="str">
        <f t="shared" si="0"/>
        <v>NARROW</v>
      </c>
      <c r="S4" s="29" t="s">
        <v>27</v>
      </c>
      <c r="T4" s="29" t="s">
        <v>32</v>
      </c>
      <c r="U4" s="29"/>
      <c r="V4" s="43">
        <v>646</v>
      </c>
      <c r="W4" s="45">
        <v>2</v>
      </c>
      <c r="X4" s="75"/>
      <c r="Y4" s="75"/>
      <c r="Z4" s="39">
        <f t="shared" si="7"/>
        <v>1</v>
      </c>
      <c r="AA4" s="39">
        <f t="shared" si="1"/>
        <v>1</v>
      </c>
      <c r="AB4" s="39">
        <f t="shared" si="8"/>
        <v>0</v>
      </c>
      <c r="AC4" s="39">
        <f t="shared" si="2"/>
        <v>0</v>
      </c>
      <c r="AD4" s="39" t="str">
        <f t="shared" si="3"/>
        <v>B</v>
      </c>
      <c r="AE4" s="39">
        <f t="shared" si="4"/>
        <v>0</v>
      </c>
      <c r="AF4" s="39">
        <f t="shared" si="5"/>
        <v>0</v>
      </c>
      <c r="AG4" s="39">
        <f t="shared" si="6"/>
        <v>0</v>
      </c>
    </row>
    <row r="5" spans="1:35" s="16" customFormat="1" ht="35.1" hidden="1" customHeight="1" x14ac:dyDescent="0.25">
      <c r="A5" s="61">
        <v>4</v>
      </c>
      <c r="B5" s="62" t="s">
        <v>114</v>
      </c>
      <c r="C5" s="61" t="s">
        <v>13</v>
      </c>
      <c r="D5" s="61" t="s">
        <v>291</v>
      </c>
      <c r="E5" s="61" t="s">
        <v>749</v>
      </c>
      <c r="F5" s="62" t="s">
        <v>114</v>
      </c>
      <c r="G5" s="62" t="s">
        <v>114</v>
      </c>
      <c r="H5" s="63" t="s">
        <v>522</v>
      </c>
      <c r="I5" s="29">
        <v>19.75</v>
      </c>
      <c r="J5" s="64">
        <v>2</v>
      </c>
      <c r="K5" s="64">
        <v>9.8000000000000007</v>
      </c>
      <c r="L5" s="29">
        <v>6.42</v>
      </c>
      <c r="M5" s="29"/>
      <c r="N5" s="29"/>
      <c r="O5" s="65" t="s">
        <v>647</v>
      </c>
      <c r="P5" s="70" t="s">
        <v>731</v>
      </c>
      <c r="Q5" s="24" t="s">
        <v>857</v>
      </c>
      <c r="R5" s="54" t="str">
        <f t="shared" si="0"/>
        <v>NARROW</v>
      </c>
      <c r="S5" s="29" t="s">
        <v>27</v>
      </c>
      <c r="T5" s="29" t="s">
        <v>33</v>
      </c>
      <c r="U5" s="29"/>
      <c r="V5" s="22"/>
      <c r="W5" s="45"/>
      <c r="X5" s="75"/>
      <c r="Y5" s="75"/>
      <c r="Z5" s="39">
        <f t="shared" si="7"/>
        <v>1</v>
      </c>
      <c r="AA5" s="39">
        <f t="shared" si="1"/>
        <v>0</v>
      </c>
      <c r="AB5" s="39">
        <f t="shared" si="8"/>
        <v>0</v>
      </c>
      <c r="AC5" s="39">
        <f t="shared" si="2"/>
        <v>0</v>
      </c>
      <c r="AD5" s="39">
        <f t="shared" si="3"/>
        <v>0</v>
      </c>
      <c r="AE5" s="39">
        <f t="shared" si="4"/>
        <v>0</v>
      </c>
      <c r="AF5" s="39">
        <f t="shared" si="5"/>
        <v>0</v>
      </c>
      <c r="AG5" s="39">
        <f t="shared" si="6"/>
        <v>0</v>
      </c>
    </row>
    <row r="6" spans="1:35" s="16" customFormat="1" ht="35.1" customHeight="1" x14ac:dyDescent="0.25">
      <c r="A6" s="61">
        <v>5</v>
      </c>
      <c r="B6" s="62" t="s">
        <v>229</v>
      </c>
      <c r="C6" s="61" t="s">
        <v>13</v>
      </c>
      <c r="D6" s="61" t="s">
        <v>402</v>
      </c>
      <c r="E6" s="61" t="s">
        <v>749</v>
      </c>
      <c r="F6" s="62" t="s">
        <v>229</v>
      </c>
      <c r="G6" s="62" t="s">
        <v>114</v>
      </c>
      <c r="H6" s="63" t="s">
        <v>40</v>
      </c>
      <c r="I6" s="29">
        <v>33.799999999999997</v>
      </c>
      <c r="J6" s="64">
        <v>1</v>
      </c>
      <c r="K6" s="64">
        <v>33.799999999999997</v>
      </c>
      <c r="L6" s="29">
        <v>4.9000000000000004</v>
      </c>
      <c r="M6" s="29"/>
      <c r="N6" s="29"/>
      <c r="O6" s="65" t="s">
        <v>716</v>
      </c>
      <c r="P6" s="70" t="s">
        <v>733</v>
      </c>
      <c r="Q6" s="24" t="s">
        <v>102</v>
      </c>
      <c r="R6" s="54" t="str">
        <f t="shared" si="0"/>
        <v>NARROW</v>
      </c>
      <c r="S6" s="29" t="s">
        <v>102</v>
      </c>
      <c r="T6" s="29" t="s">
        <v>32</v>
      </c>
      <c r="U6" s="29"/>
      <c r="V6" s="22"/>
      <c r="W6" s="45"/>
      <c r="X6" s="75"/>
      <c r="Y6" s="75"/>
      <c r="Z6" s="39">
        <f t="shared" si="7"/>
        <v>1</v>
      </c>
      <c r="AA6" s="39">
        <f t="shared" si="1"/>
        <v>1</v>
      </c>
      <c r="AB6" s="39">
        <f t="shared" si="8"/>
        <v>1</v>
      </c>
      <c r="AC6" s="39" t="str">
        <f t="shared" si="2"/>
        <v>A</v>
      </c>
      <c r="AD6" s="39" t="str">
        <f t="shared" si="3"/>
        <v>B</v>
      </c>
      <c r="AE6" s="39" t="str">
        <f t="shared" si="4"/>
        <v>C</v>
      </c>
      <c r="AF6" s="39" t="str">
        <f t="shared" si="5"/>
        <v>D</v>
      </c>
      <c r="AG6" s="39">
        <f t="shared" si="6"/>
        <v>0</v>
      </c>
      <c r="AI6" s="16">
        <f>I6</f>
        <v>33.799999999999997</v>
      </c>
    </row>
    <row r="7" spans="1:35" s="16" customFormat="1" ht="35.1" hidden="1" customHeight="1" x14ac:dyDescent="0.25">
      <c r="A7" s="61">
        <v>6</v>
      </c>
      <c r="B7" s="62" t="s">
        <v>115</v>
      </c>
      <c r="C7" s="61" t="s">
        <v>13</v>
      </c>
      <c r="D7" s="61" t="s">
        <v>292</v>
      </c>
      <c r="E7" s="61" t="s">
        <v>749</v>
      </c>
      <c r="F7" s="62" t="s">
        <v>115</v>
      </c>
      <c r="G7" s="62" t="s">
        <v>273</v>
      </c>
      <c r="H7" s="63" t="s">
        <v>522</v>
      </c>
      <c r="I7" s="29">
        <v>27.1</v>
      </c>
      <c r="J7" s="64">
        <v>5</v>
      </c>
      <c r="K7" s="64">
        <v>5.65</v>
      </c>
      <c r="L7" s="29">
        <v>6.7</v>
      </c>
      <c r="M7" s="29"/>
      <c r="N7" s="29"/>
      <c r="O7" s="65" t="s">
        <v>648</v>
      </c>
      <c r="P7" s="70" t="s">
        <v>731</v>
      </c>
      <c r="Q7" s="24" t="s">
        <v>857</v>
      </c>
      <c r="R7" s="54" t="str">
        <f t="shared" si="0"/>
        <v>NARROW</v>
      </c>
      <c r="S7" s="29" t="s">
        <v>27</v>
      </c>
      <c r="T7" s="29" t="s">
        <v>33</v>
      </c>
      <c r="U7" s="29"/>
      <c r="V7" s="22"/>
      <c r="W7" s="45"/>
      <c r="X7" s="75"/>
      <c r="Y7" s="75"/>
      <c r="Z7" s="39">
        <f t="shared" si="7"/>
        <v>1</v>
      </c>
      <c r="AA7" s="39">
        <f t="shared" si="1"/>
        <v>0</v>
      </c>
      <c r="AB7" s="39">
        <f t="shared" si="8"/>
        <v>0</v>
      </c>
      <c r="AC7" s="39">
        <f t="shared" si="2"/>
        <v>0</v>
      </c>
      <c r="AD7" s="39">
        <f t="shared" si="3"/>
        <v>0</v>
      </c>
      <c r="AE7" s="39">
        <f t="shared" si="4"/>
        <v>0</v>
      </c>
      <c r="AF7" s="39">
        <f t="shared" si="5"/>
        <v>0</v>
      </c>
      <c r="AG7" s="39">
        <f t="shared" si="6"/>
        <v>0</v>
      </c>
    </row>
    <row r="8" spans="1:35" s="16" customFormat="1" ht="35.1" hidden="1" customHeight="1" x14ac:dyDescent="0.25">
      <c r="A8" s="61">
        <v>7</v>
      </c>
      <c r="B8" s="62" t="s">
        <v>273</v>
      </c>
      <c r="C8" s="61" t="s">
        <v>13</v>
      </c>
      <c r="D8" s="61" t="s">
        <v>453</v>
      </c>
      <c r="E8" s="61" t="s">
        <v>749</v>
      </c>
      <c r="F8" s="62" t="s">
        <v>273</v>
      </c>
      <c r="G8" s="62" t="s">
        <v>273</v>
      </c>
      <c r="H8" s="63" t="s">
        <v>522</v>
      </c>
      <c r="I8" s="29">
        <v>3</v>
      </c>
      <c r="J8" s="64">
        <v>1</v>
      </c>
      <c r="K8" s="64">
        <v>2.4</v>
      </c>
      <c r="L8" s="29">
        <v>6.8</v>
      </c>
      <c r="M8" s="29"/>
      <c r="N8" s="29"/>
      <c r="O8" s="65" t="s">
        <v>724</v>
      </c>
      <c r="P8" s="70" t="s">
        <v>730</v>
      </c>
      <c r="Q8" s="24" t="s">
        <v>857</v>
      </c>
      <c r="R8" s="54" t="str">
        <f t="shared" si="0"/>
        <v>NARROW</v>
      </c>
      <c r="S8" s="29" t="s">
        <v>27</v>
      </c>
      <c r="T8" s="29" t="s">
        <v>33</v>
      </c>
      <c r="U8" s="29"/>
      <c r="V8" s="22"/>
      <c r="W8" s="45"/>
      <c r="X8" s="75"/>
      <c r="Y8" s="75"/>
      <c r="Z8" s="39">
        <f t="shared" si="7"/>
        <v>1</v>
      </c>
      <c r="AA8" s="39">
        <f t="shared" si="1"/>
        <v>0</v>
      </c>
      <c r="AB8" s="39">
        <f t="shared" si="8"/>
        <v>0</v>
      </c>
      <c r="AC8" s="39">
        <f t="shared" si="2"/>
        <v>0</v>
      </c>
      <c r="AD8" s="39">
        <f t="shared" si="3"/>
        <v>0</v>
      </c>
      <c r="AE8" s="39">
        <f t="shared" si="4"/>
        <v>0</v>
      </c>
      <c r="AF8" s="39">
        <f t="shared" si="5"/>
        <v>0</v>
      </c>
      <c r="AG8" s="39">
        <f t="shared" si="6"/>
        <v>0</v>
      </c>
    </row>
    <row r="9" spans="1:35" s="16" customFormat="1" ht="35.1" customHeight="1" x14ac:dyDescent="0.25">
      <c r="A9" s="61">
        <v>8</v>
      </c>
      <c r="B9" s="62" t="s">
        <v>220</v>
      </c>
      <c r="C9" s="61" t="s">
        <v>13</v>
      </c>
      <c r="D9" s="61" t="s">
        <v>391</v>
      </c>
      <c r="E9" s="61" t="s">
        <v>749</v>
      </c>
      <c r="F9" s="62" t="s">
        <v>220</v>
      </c>
      <c r="G9" s="62" t="s">
        <v>587</v>
      </c>
      <c r="H9" s="63" t="s">
        <v>522</v>
      </c>
      <c r="I9" s="29">
        <v>9.15</v>
      </c>
      <c r="J9" s="64">
        <v>3</v>
      </c>
      <c r="K9" s="64">
        <v>3.1</v>
      </c>
      <c r="L9" s="29">
        <v>5.7</v>
      </c>
      <c r="M9" s="29"/>
      <c r="N9" s="29"/>
      <c r="O9" s="65" t="s">
        <v>861</v>
      </c>
      <c r="P9" s="70" t="s">
        <v>732</v>
      </c>
      <c r="Q9" s="24" t="s">
        <v>102</v>
      </c>
      <c r="R9" s="54" t="str">
        <f t="shared" si="0"/>
        <v>NARROW</v>
      </c>
      <c r="S9" s="29" t="s">
        <v>102</v>
      </c>
      <c r="T9" s="29" t="s">
        <v>32</v>
      </c>
      <c r="U9" s="29"/>
      <c r="V9" s="43">
        <v>3650</v>
      </c>
      <c r="W9" s="45">
        <v>0</v>
      </c>
      <c r="X9" s="75"/>
      <c r="Y9" s="75"/>
      <c r="Z9" s="39">
        <f t="shared" si="7"/>
        <v>1</v>
      </c>
      <c r="AA9" s="39">
        <f t="shared" si="1"/>
        <v>1</v>
      </c>
      <c r="AB9" s="39">
        <f t="shared" si="8"/>
        <v>1</v>
      </c>
      <c r="AC9" s="39" t="str">
        <f t="shared" si="2"/>
        <v>A</v>
      </c>
      <c r="AD9" s="39" t="str">
        <f t="shared" si="3"/>
        <v>B</v>
      </c>
      <c r="AE9" s="39" t="str">
        <f t="shared" si="4"/>
        <v>C</v>
      </c>
      <c r="AF9" s="39" t="str">
        <f t="shared" si="5"/>
        <v>D</v>
      </c>
      <c r="AG9" s="39">
        <f t="shared" si="6"/>
        <v>0</v>
      </c>
    </row>
    <row r="10" spans="1:35" s="16" customFormat="1" ht="35.1" customHeight="1" x14ac:dyDescent="0.25">
      <c r="A10" s="61">
        <v>9</v>
      </c>
      <c r="B10" s="62" t="s">
        <v>117</v>
      </c>
      <c r="C10" s="61" t="s">
        <v>13</v>
      </c>
      <c r="D10" s="27" t="s">
        <v>294</v>
      </c>
      <c r="E10" s="61" t="s">
        <v>749</v>
      </c>
      <c r="F10" s="62" t="s">
        <v>472</v>
      </c>
      <c r="G10" s="62" t="s">
        <v>473</v>
      </c>
      <c r="H10" s="63" t="s">
        <v>522</v>
      </c>
      <c r="I10" s="29">
        <v>34</v>
      </c>
      <c r="J10" s="64">
        <v>7</v>
      </c>
      <c r="K10" s="64">
        <v>4.9000000000000004</v>
      </c>
      <c r="L10" s="29">
        <v>5.4</v>
      </c>
      <c r="M10" s="29"/>
      <c r="N10" s="29"/>
      <c r="O10" s="65" t="s">
        <v>858</v>
      </c>
      <c r="P10" s="70" t="s">
        <v>731</v>
      </c>
      <c r="Q10" s="24" t="s">
        <v>102</v>
      </c>
      <c r="R10" s="54" t="str">
        <f t="shared" si="0"/>
        <v>NARROW</v>
      </c>
      <c r="S10" s="29" t="s">
        <v>102</v>
      </c>
      <c r="T10" s="29" t="s">
        <v>32</v>
      </c>
      <c r="U10" s="29"/>
      <c r="V10" s="27"/>
      <c r="W10" s="44"/>
      <c r="X10" s="74"/>
      <c r="Y10" s="74"/>
      <c r="Z10" s="39">
        <f t="shared" si="7"/>
        <v>1</v>
      </c>
      <c r="AA10" s="39">
        <f t="shared" si="1"/>
        <v>1</v>
      </c>
      <c r="AB10" s="39">
        <f t="shared" si="8"/>
        <v>1</v>
      </c>
      <c r="AC10" s="39" t="str">
        <f t="shared" si="2"/>
        <v>A</v>
      </c>
      <c r="AD10" s="39" t="str">
        <f t="shared" si="3"/>
        <v>B</v>
      </c>
      <c r="AE10" s="39" t="str">
        <f t="shared" si="4"/>
        <v>C</v>
      </c>
      <c r="AF10" s="39" t="str">
        <f t="shared" si="5"/>
        <v>D</v>
      </c>
      <c r="AG10" s="39">
        <f t="shared" si="6"/>
        <v>0</v>
      </c>
    </row>
    <row r="11" spans="1:35" s="16" customFormat="1" ht="35.1" hidden="1" customHeight="1" x14ac:dyDescent="0.25">
      <c r="A11" s="61">
        <v>10</v>
      </c>
      <c r="B11" s="62" t="s">
        <v>118</v>
      </c>
      <c r="C11" s="61" t="s">
        <v>13</v>
      </c>
      <c r="D11" s="61" t="s">
        <v>295</v>
      </c>
      <c r="E11" s="61" t="s">
        <v>749</v>
      </c>
      <c r="F11" s="62" t="s">
        <v>118</v>
      </c>
      <c r="G11" s="62" t="s">
        <v>121</v>
      </c>
      <c r="H11" s="63" t="s">
        <v>522</v>
      </c>
      <c r="I11" s="29">
        <v>10.6</v>
      </c>
      <c r="J11" s="64">
        <v>3</v>
      </c>
      <c r="K11" s="64">
        <v>5</v>
      </c>
      <c r="L11" s="29">
        <v>7.2</v>
      </c>
      <c r="M11" s="29"/>
      <c r="N11" s="29"/>
      <c r="O11" s="65" t="s">
        <v>650</v>
      </c>
      <c r="P11" s="70" t="s">
        <v>731</v>
      </c>
      <c r="Q11" s="24" t="s">
        <v>857</v>
      </c>
      <c r="R11" s="54" t="str">
        <f t="shared" si="0"/>
        <v>NARROW</v>
      </c>
      <c r="S11" s="29" t="s">
        <v>27</v>
      </c>
      <c r="T11" s="29" t="s">
        <v>32</v>
      </c>
      <c r="U11" s="29"/>
      <c r="V11" s="22"/>
      <c r="W11" s="45"/>
      <c r="X11" s="75"/>
      <c r="Y11" s="75"/>
      <c r="Z11" s="39">
        <f t="shared" si="7"/>
        <v>1</v>
      </c>
      <c r="AA11" s="39">
        <f t="shared" si="1"/>
        <v>1</v>
      </c>
      <c r="AB11" s="39">
        <f t="shared" si="8"/>
        <v>0</v>
      </c>
      <c r="AC11" s="39">
        <f t="shared" si="2"/>
        <v>0</v>
      </c>
      <c r="AD11" s="39" t="str">
        <f t="shared" si="3"/>
        <v>B</v>
      </c>
      <c r="AE11" s="39">
        <f t="shared" si="4"/>
        <v>0</v>
      </c>
      <c r="AF11" s="39">
        <f t="shared" si="5"/>
        <v>0</v>
      </c>
      <c r="AG11" s="39">
        <f t="shared" si="6"/>
        <v>0</v>
      </c>
    </row>
    <row r="12" spans="1:35" s="16" customFormat="1" ht="35.1" hidden="1" customHeight="1" x14ac:dyDescent="0.25">
      <c r="A12" s="61">
        <v>11</v>
      </c>
      <c r="B12" s="62" t="s">
        <v>121</v>
      </c>
      <c r="C12" s="61" t="s">
        <v>13</v>
      </c>
      <c r="D12" s="61" t="s">
        <v>403</v>
      </c>
      <c r="E12" s="61" t="s">
        <v>749</v>
      </c>
      <c r="F12" s="62" t="s">
        <v>121</v>
      </c>
      <c r="G12" s="62" t="s">
        <v>116</v>
      </c>
      <c r="H12" s="63" t="s">
        <v>522</v>
      </c>
      <c r="I12" s="29">
        <v>14.4</v>
      </c>
      <c r="J12" s="64">
        <v>2</v>
      </c>
      <c r="K12" s="64">
        <v>6.2</v>
      </c>
      <c r="L12" s="29">
        <v>7.55</v>
      </c>
      <c r="M12" s="29"/>
      <c r="N12" s="29"/>
      <c r="O12" s="65" t="s">
        <v>863</v>
      </c>
      <c r="P12" s="70" t="s">
        <v>733</v>
      </c>
      <c r="Q12" s="24" t="s">
        <v>102</v>
      </c>
      <c r="R12" s="54" t="str">
        <f t="shared" si="0"/>
        <v>OK</v>
      </c>
      <c r="S12" s="29" t="s">
        <v>102</v>
      </c>
      <c r="T12" s="29" t="s">
        <v>32</v>
      </c>
      <c r="U12" s="29"/>
      <c r="V12" s="22"/>
      <c r="W12" s="45"/>
      <c r="X12" s="75"/>
      <c r="Y12" s="75"/>
      <c r="Z12" s="39">
        <f t="shared" si="7"/>
        <v>0</v>
      </c>
      <c r="AA12" s="39">
        <f t="shared" si="1"/>
        <v>1</v>
      </c>
      <c r="AB12" s="39">
        <f t="shared" si="8"/>
        <v>1</v>
      </c>
      <c r="AC12" s="39">
        <f t="shared" si="2"/>
        <v>0</v>
      </c>
      <c r="AD12" s="39">
        <f t="shared" si="3"/>
        <v>0</v>
      </c>
      <c r="AE12" s="39" t="str">
        <f t="shared" si="4"/>
        <v>C</v>
      </c>
      <c r="AF12" s="39">
        <f t="shared" si="5"/>
        <v>0</v>
      </c>
      <c r="AG12" s="39">
        <f t="shared" si="6"/>
        <v>0</v>
      </c>
    </row>
    <row r="13" spans="1:35" s="16" customFormat="1" ht="35.1" hidden="1" customHeight="1" x14ac:dyDescent="0.25">
      <c r="A13" s="61">
        <v>12</v>
      </c>
      <c r="B13" s="62" t="s">
        <v>119</v>
      </c>
      <c r="C13" s="61" t="s">
        <v>13</v>
      </c>
      <c r="D13" s="61" t="s">
        <v>296</v>
      </c>
      <c r="E13" s="61" t="s">
        <v>749</v>
      </c>
      <c r="F13" s="62" t="s">
        <v>121</v>
      </c>
      <c r="G13" s="62" t="s">
        <v>116</v>
      </c>
      <c r="H13" s="63" t="s">
        <v>851</v>
      </c>
      <c r="I13" s="29">
        <v>13.7</v>
      </c>
      <c r="J13" s="64">
        <v>2</v>
      </c>
      <c r="K13" s="64">
        <v>6.65</v>
      </c>
      <c r="L13" s="29">
        <v>8.1999999999999993</v>
      </c>
      <c r="M13" s="29"/>
      <c r="N13" s="29"/>
      <c r="O13" s="65" t="s">
        <v>864</v>
      </c>
      <c r="P13" s="70" t="s">
        <v>731</v>
      </c>
      <c r="Q13" s="24" t="s">
        <v>102</v>
      </c>
      <c r="R13" s="54" t="str">
        <f t="shared" si="0"/>
        <v>OK</v>
      </c>
      <c r="S13" s="29" t="s">
        <v>102</v>
      </c>
      <c r="T13" s="29" t="s">
        <v>32</v>
      </c>
      <c r="U13" s="29"/>
      <c r="V13" s="22"/>
      <c r="W13" s="45"/>
      <c r="X13" s="75"/>
      <c r="Y13" s="75"/>
      <c r="Z13" s="39">
        <f t="shared" si="7"/>
        <v>0</v>
      </c>
      <c r="AA13" s="39">
        <f t="shared" si="1"/>
        <v>1</v>
      </c>
      <c r="AB13" s="39">
        <f t="shared" si="8"/>
        <v>1</v>
      </c>
      <c r="AC13" s="39">
        <f t="shared" si="2"/>
        <v>0</v>
      </c>
      <c r="AD13" s="39">
        <f t="shared" si="3"/>
        <v>0</v>
      </c>
      <c r="AE13" s="39" t="str">
        <f t="shared" si="4"/>
        <v>C</v>
      </c>
      <c r="AF13" s="39">
        <f t="shared" si="5"/>
        <v>0</v>
      </c>
      <c r="AG13" s="39">
        <f t="shared" si="6"/>
        <v>0</v>
      </c>
    </row>
    <row r="14" spans="1:35" s="16" customFormat="1" ht="35.1" hidden="1" customHeight="1" x14ac:dyDescent="0.25">
      <c r="A14" s="61">
        <v>13</v>
      </c>
      <c r="B14" s="62" t="s">
        <v>121</v>
      </c>
      <c r="C14" s="61" t="s">
        <v>13</v>
      </c>
      <c r="D14" s="61" t="s">
        <v>296</v>
      </c>
      <c r="E14" s="61" t="s">
        <v>749</v>
      </c>
      <c r="F14" s="62" t="s">
        <v>121</v>
      </c>
      <c r="G14" s="62" t="s">
        <v>116</v>
      </c>
      <c r="H14" s="63" t="s">
        <v>522</v>
      </c>
      <c r="I14" s="29">
        <v>4.4000000000000004</v>
      </c>
      <c r="J14" s="64">
        <v>1</v>
      </c>
      <c r="K14" s="64">
        <v>4.4000000000000004</v>
      </c>
      <c r="L14" s="29">
        <v>7.1</v>
      </c>
      <c r="M14" s="29"/>
      <c r="N14" s="29"/>
      <c r="O14" s="65" t="s">
        <v>652</v>
      </c>
      <c r="P14" s="70" t="s">
        <v>731</v>
      </c>
      <c r="Q14" s="24" t="s">
        <v>857</v>
      </c>
      <c r="R14" s="54" t="str">
        <f t="shared" si="0"/>
        <v>NARROW</v>
      </c>
      <c r="S14" s="29" t="s">
        <v>27</v>
      </c>
      <c r="T14" s="29" t="s">
        <v>32</v>
      </c>
      <c r="U14" s="29"/>
      <c r="V14" s="22"/>
      <c r="W14" s="45"/>
      <c r="X14" s="75"/>
      <c r="Y14" s="75"/>
      <c r="Z14" s="39">
        <f t="shared" si="7"/>
        <v>1</v>
      </c>
      <c r="AA14" s="39">
        <f t="shared" si="1"/>
        <v>1</v>
      </c>
      <c r="AB14" s="39">
        <f t="shared" si="8"/>
        <v>0</v>
      </c>
      <c r="AC14" s="39">
        <f t="shared" si="2"/>
        <v>0</v>
      </c>
      <c r="AD14" s="39" t="str">
        <f t="shared" si="3"/>
        <v>B</v>
      </c>
      <c r="AE14" s="39">
        <f t="shared" si="4"/>
        <v>0</v>
      </c>
      <c r="AF14" s="39">
        <f t="shared" si="5"/>
        <v>0</v>
      </c>
      <c r="AG14" s="39">
        <f t="shared" si="6"/>
        <v>0</v>
      </c>
    </row>
    <row r="15" spans="1:35" s="16" customFormat="1" ht="35.1" customHeight="1" x14ac:dyDescent="0.25">
      <c r="A15" s="61">
        <v>14</v>
      </c>
      <c r="B15" s="62" t="s">
        <v>121</v>
      </c>
      <c r="C15" s="61" t="s">
        <v>13</v>
      </c>
      <c r="D15" s="61" t="s">
        <v>296</v>
      </c>
      <c r="E15" s="61" t="s">
        <v>749</v>
      </c>
      <c r="F15" s="62" t="s">
        <v>121</v>
      </c>
      <c r="G15" s="62" t="s">
        <v>116</v>
      </c>
      <c r="H15" s="63" t="s">
        <v>40</v>
      </c>
      <c r="I15" s="29">
        <v>6.4</v>
      </c>
      <c r="J15" s="64">
        <v>1</v>
      </c>
      <c r="K15" s="64">
        <v>6.4</v>
      </c>
      <c r="L15" s="29">
        <v>6.9</v>
      </c>
      <c r="M15" s="29"/>
      <c r="N15" s="29"/>
      <c r="O15" s="65" t="s">
        <v>865</v>
      </c>
      <c r="P15" s="70" t="s">
        <v>731</v>
      </c>
      <c r="Q15" s="24" t="s">
        <v>102</v>
      </c>
      <c r="R15" s="54" t="str">
        <f t="shared" si="0"/>
        <v>NARROW</v>
      </c>
      <c r="S15" s="29" t="s">
        <v>102</v>
      </c>
      <c r="T15" s="29" t="s">
        <v>32</v>
      </c>
      <c r="U15" s="29"/>
      <c r="V15" s="22"/>
      <c r="W15" s="45"/>
      <c r="X15" s="75"/>
      <c r="Y15" s="75"/>
      <c r="Z15" s="39">
        <f t="shared" si="7"/>
        <v>1</v>
      </c>
      <c r="AA15" s="39">
        <f t="shared" si="1"/>
        <v>1</v>
      </c>
      <c r="AB15" s="39">
        <f t="shared" si="8"/>
        <v>1</v>
      </c>
      <c r="AC15" s="39" t="str">
        <f t="shared" si="2"/>
        <v>A</v>
      </c>
      <c r="AD15" s="39" t="str">
        <f t="shared" si="3"/>
        <v>B</v>
      </c>
      <c r="AE15" s="39" t="str">
        <f t="shared" si="4"/>
        <v>C</v>
      </c>
      <c r="AF15" s="39" t="str">
        <f t="shared" si="5"/>
        <v>D</v>
      </c>
      <c r="AG15" s="39">
        <f t="shared" si="6"/>
        <v>0</v>
      </c>
      <c r="AI15" s="16">
        <f>I15</f>
        <v>6.4</v>
      </c>
    </row>
    <row r="16" spans="1:35" s="16" customFormat="1" ht="35.1" hidden="1" customHeight="1" x14ac:dyDescent="0.25">
      <c r="A16" s="61">
        <v>15</v>
      </c>
      <c r="B16" s="62" t="s">
        <v>116</v>
      </c>
      <c r="C16" s="61" t="s">
        <v>13</v>
      </c>
      <c r="D16" s="61" t="s">
        <v>293</v>
      </c>
      <c r="E16" s="61" t="s">
        <v>749</v>
      </c>
      <c r="F16" s="62" t="s">
        <v>116</v>
      </c>
      <c r="G16" s="62" t="s">
        <v>471</v>
      </c>
      <c r="H16" s="63" t="s">
        <v>522</v>
      </c>
      <c r="I16" s="29">
        <v>22</v>
      </c>
      <c r="J16" s="64">
        <v>1</v>
      </c>
      <c r="K16" s="64">
        <v>22</v>
      </c>
      <c r="L16" s="29">
        <v>12.2</v>
      </c>
      <c r="M16" s="29">
        <v>2013</v>
      </c>
      <c r="N16" s="29"/>
      <c r="O16" s="65" t="s">
        <v>649</v>
      </c>
      <c r="P16" s="70" t="s">
        <v>730</v>
      </c>
      <c r="Q16" s="24" t="s">
        <v>27</v>
      </c>
      <c r="R16" s="54" t="str">
        <f t="shared" si="0"/>
        <v>OK</v>
      </c>
      <c r="S16" s="29" t="s">
        <v>27</v>
      </c>
      <c r="T16" s="29" t="s">
        <v>33</v>
      </c>
      <c r="U16" s="29"/>
      <c r="V16" s="22"/>
      <c r="W16" s="45"/>
      <c r="X16" s="75"/>
      <c r="Y16" s="75"/>
      <c r="Z16" s="39">
        <f t="shared" si="7"/>
        <v>0</v>
      </c>
      <c r="AA16" s="39">
        <f t="shared" si="1"/>
        <v>0</v>
      </c>
      <c r="AB16" s="39">
        <f t="shared" si="8"/>
        <v>0</v>
      </c>
      <c r="AC16" s="39">
        <f t="shared" si="2"/>
        <v>0</v>
      </c>
      <c r="AD16" s="39">
        <f t="shared" si="3"/>
        <v>0</v>
      </c>
      <c r="AE16" s="39">
        <f t="shared" si="4"/>
        <v>0</v>
      </c>
      <c r="AF16" s="39">
        <f t="shared" si="5"/>
        <v>0</v>
      </c>
      <c r="AG16" s="39" t="str">
        <f t="shared" si="6"/>
        <v>E</v>
      </c>
    </row>
    <row r="17" spans="1:33" s="16" customFormat="1" ht="35.1" customHeight="1" x14ac:dyDescent="0.25">
      <c r="A17" s="61">
        <v>16</v>
      </c>
      <c r="B17" s="62" t="s">
        <v>230</v>
      </c>
      <c r="C17" s="61" t="s">
        <v>13</v>
      </c>
      <c r="D17" s="61" t="s">
        <v>404</v>
      </c>
      <c r="E17" s="61" t="s">
        <v>749</v>
      </c>
      <c r="F17" s="62" t="s">
        <v>230</v>
      </c>
      <c r="G17" s="62" t="s">
        <v>477</v>
      </c>
      <c r="H17" s="63" t="s">
        <v>851</v>
      </c>
      <c r="I17" s="29">
        <v>16.2</v>
      </c>
      <c r="J17" s="64">
        <v>2</v>
      </c>
      <c r="K17" s="64">
        <v>8.1</v>
      </c>
      <c r="L17" s="29">
        <v>4.3</v>
      </c>
      <c r="M17" s="29"/>
      <c r="N17" s="29"/>
      <c r="O17" s="65" t="s">
        <v>866</v>
      </c>
      <c r="P17" s="70" t="s">
        <v>733</v>
      </c>
      <c r="Q17" s="24" t="s">
        <v>102</v>
      </c>
      <c r="R17" s="54" t="str">
        <f t="shared" si="0"/>
        <v>NARROW</v>
      </c>
      <c r="S17" s="29" t="s">
        <v>102</v>
      </c>
      <c r="T17" s="29" t="s">
        <v>32</v>
      </c>
      <c r="U17" s="29"/>
      <c r="V17" s="22"/>
      <c r="W17" s="45"/>
      <c r="X17" s="75"/>
      <c r="Y17" s="75"/>
      <c r="Z17" s="39">
        <f t="shared" si="7"/>
        <v>1</v>
      </c>
      <c r="AA17" s="39">
        <f t="shared" si="1"/>
        <v>1</v>
      </c>
      <c r="AB17" s="39">
        <f t="shared" si="8"/>
        <v>1</v>
      </c>
      <c r="AC17" s="39" t="str">
        <f t="shared" si="2"/>
        <v>A</v>
      </c>
      <c r="AD17" s="39" t="str">
        <f t="shared" si="3"/>
        <v>B</v>
      </c>
      <c r="AE17" s="39" t="str">
        <f t="shared" si="4"/>
        <v>C</v>
      </c>
      <c r="AF17" s="39" t="str">
        <f t="shared" si="5"/>
        <v>D</v>
      </c>
      <c r="AG17" s="39">
        <f t="shared" si="6"/>
        <v>0</v>
      </c>
    </row>
    <row r="18" spans="1:33" s="16" customFormat="1" ht="35.1" customHeight="1" x14ac:dyDescent="0.25">
      <c r="A18" s="61">
        <v>17</v>
      </c>
      <c r="B18" s="62" t="s">
        <v>124</v>
      </c>
      <c r="C18" s="61" t="s">
        <v>13</v>
      </c>
      <c r="D18" s="61" t="s">
        <v>300</v>
      </c>
      <c r="E18" s="61" t="s">
        <v>749</v>
      </c>
      <c r="F18" s="62" t="s">
        <v>230</v>
      </c>
      <c r="G18" s="62" t="s">
        <v>477</v>
      </c>
      <c r="H18" s="63" t="s">
        <v>851</v>
      </c>
      <c r="I18" s="29">
        <v>4.5</v>
      </c>
      <c r="J18" s="64">
        <v>1</v>
      </c>
      <c r="K18" s="64"/>
      <c r="L18" s="29">
        <v>4.5</v>
      </c>
      <c r="M18" s="29"/>
      <c r="N18" s="29"/>
      <c r="O18" s="65" t="s">
        <v>655</v>
      </c>
      <c r="P18" s="70" t="s">
        <v>731</v>
      </c>
      <c r="Q18" s="24" t="s">
        <v>102</v>
      </c>
      <c r="R18" s="54" t="str">
        <f t="shared" si="0"/>
        <v>NARROW</v>
      </c>
      <c r="S18" s="29" t="s">
        <v>102</v>
      </c>
      <c r="T18" s="29" t="s">
        <v>32</v>
      </c>
      <c r="U18" s="29"/>
      <c r="V18" s="22"/>
      <c r="W18" s="45"/>
      <c r="X18" s="75"/>
      <c r="Y18" s="75"/>
      <c r="Z18" s="39">
        <f t="shared" si="7"/>
        <v>1</v>
      </c>
      <c r="AA18" s="39">
        <f t="shared" si="1"/>
        <v>1</v>
      </c>
      <c r="AB18" s="39">
        <f t="shared" si="8"/>
        <v>1</v>
      </c>
      <c r="AC18" s="39" t="str">
        <f t="shared" si="2"/>
        <v>A</v>
      </c>
      <c r="AD18" s="39" t="str">
        <f t="shared" si="3"/>
        <v>B</v>
      </c>
      <c r="AE18" s="39" t="str">
        <f t="shared" si="4"/>
        <v>C</v>
      </c>
      <c r="AF18" s="39" t="str">
        <f t="shared" si="5"/>
        <v>D</v>
      </c>
      <c r="AG18" s="39">
        <f t="shared" si="6"/>
        <v>0</v>
      </c>
    </row>
    <row r="19" spans="1:33" s="16" customFormat="1" ht="35.1" hidden="1" customHeight="1" x14ac:dyDescent="0.25">
      <c r="A19" s="61">
        <v>18</v>
      </c>
      <c r="B19" s="62" t="s">
        <v>127</v>
      </c>
      <c r="C19" s="61" t="s">
        <v>13</v>
      </c>
      <c r="D19" s="61" t="s">
        <v>303</v>
      </c>
      <c r="E19" s="61" t="s">
        <v>749</v>
      </c>
      <c r="F19" s="62" t="s">
        <v>480</v>
      </c>
      <c r="G19" s="62" t="s">
        <v>481</v>
      </c>
      <c r="H19" s="63" t="s">
        <v>522</v>
      </c>
      <c r="I19" s="29">
        <v>12</v>
      </c>
      <c r="J19" s="64">
        <v>2</v>
      </c>
      <c r="K19" s="64">
        <v>6</v>
      </c>
      <c r="L19" s="29">
        <v>10</v>
      </c>
      <c r="M19" s="29"/>
      <c r="N19" s="29"/>
      <c r="O19" s="65" t="s">
        <v>657</v>
      </c>
      <c r="P19" s="70" t="s">
        <v>731</v>
      </c>
      <c r="Q19" s="24" t="s">
        <v>857</v>
      </c>
      <c r="R19" s="54" t="str">
        <f t="shared" si="0"/>
        <v>OK</v>
      </c>
      <c r="S19" s="29" t="s">
        <v>27</v>
      </c>
      <c r="T19" s="29" t="s">
        <v>32</v>
      </c>
      <c r="U19" s="29"/>
      <c r="V19" s="22"/>
      <c r="W19" s="45"/>
      <c r="X19" s="75"/>
      <c r="Y19" s="75"/>
      <c r="Z19" s="39">
        <f t="shared" si="7"/>
        <v>0</v>
      </c>
      <c r="AA19" s="39">
        <f t="shared" si="1"/>
        <v>1</v>
      </c>
      <c r="AB19" s="39">
        <f t="shared" si="8"/>
        <v>0</v>
      </c>
      <c r="AC19" s="39">
        <f t="shared" si="2"/>
        <v>0</v>
      </c>
      <c r="AD19" s="39">
        <f t="shared" si="3"/>
        <v>0</v>
      </c>
      <c r="AE19" s="39">
        <f t="shared" si="4"/>
        <v>0</v>
      </c>
      <c r="AF19" s="39">
        <f t="shared" si="5"/>
        <v>0</v>
      </c>
      <c r="AG19" s="39">
        <f t="shared" si="6"/>
        <v>0</v>
      </c>
    </row>
    <row r="20" spans="1:33" s="16" customFormat="1" ht="35.1" hidden="1" customHeight="1" x14ac:dyDescent="0.25">
      <c r="A20" s="61">
        <v>19</v>
      </c>
      <c r="B20" s="62" t="s">
        <v>120</v>
      </c>
      <c r="C20" s="61" t="s">
        <v>13</v>
      </c>
      <c r="D20" s="61" t="s">
        <v>297</v>
      </c>
      <c r="E20" s="61" t="s">
        <v>749</v>
      </c>
      <c r="F20" s="62" t="s">
        <v>120</v>
      </c>
      <c r="G20" s="62" t="s">
        <v>474</v>
      </c>
      <c r="H20" s="63" t="s">
        <v>522</v>
      </c>
      <c r="I20" s="29">
        <v>13.6</v>
      </c>
      <c r="J20" s="64">
        <v>1</v>
      </c>
      <c r="K20" s="64">
        <v>13.6</v>
      </c>
      <c r="L20" s="29">
        <v>10.3</v>
      </c>
      <c r="M20" s="29"/>
      <c r="N20" s="29"/>
      <c r="O20" s="65" t="s">
        <v>651</v>
      </c>
      <c r="P20" s="70" t="s">
        <v>730</v>
      </c>
      <c r="Q20" s="24" t="s">
        <v>857</v>
      </c>
      <c r="R20" s="54" t="str">
        <f t="shared" si="0"/>
        <v>OK</v>
      </c>
      <c r="S20" s="29" t="s">
        <v>27</v>
      </c>
      <c r="T20" s="29" t="s">
        <v>32</v>
      </c>
      <c r="U20" s="29"/>
      <c r="V20" s="43">
        <v>12357</v>
      </c>
      <c r="W20" s="45">
        <v>2</v>
      </c>
      <c r="X20" s="75"/>
      <c r="Y20" s="75"/>
      <c r="Z20" s="39">
        <f t="shared" si="7"/>
        <v>0</v>
      </c>
      <c r="AA20" s="39">
        <f t="shared" si="1"/>
        <v>1</v>
      </c>
      <c r="AB20" s="39">
        <f t="shared" si="8"/>
        <v>0</v>
      </c>
      <c r="AC20" s="39">
        <f t="shared" si="2"/>
        <v>0</v>
      </c>
      <c r="AD20" s="39">
        <f t="shared" si="3"/>
        <v>0</v>
      </c>
      <c r="AE20" s="39">
        <f t="shared" si="4"/>
        <v>0</v>
      </c>
      <c r="AF20" s="39">
        <f t="shared" si="5"/>
        <v>0</v>
      </c>
      <c r="AG20" s="39">
        <f t="shared" si="6"/>
        <v>0</v>
      </c>
    </row>
    <row r="21" spans="1:33" s="16" customFormat="1" ht="35.1" hidden="1" customHeight="1" x14ac:dyDescent="0.25">
      <c r="A21" s="61">
        <v>20</v>
      </c>
      <c r="B21" s="62" t="s">
        <v>131</v>
      </c>
      <c r="C21" s="61" t="s">
        <v>13</v>
      </c>
      <c r="D21" s="61" t="s">
        <v>309</v>
      </c>
      <c r="E21" s="61" t="s">
        <v>749</v>
      </c>
      <c r="F21" s="62" t="s">
        <v>131</v>
      </c>
      <c r="G21" s="62" t="s">
        <v>485</v>
      </c>
      <c r="H21" s="63" t="s">
        <v>522</v>
      </c>
      <c r="I21" s="29">
        <v>39</v>
      </c>
      <c r="J21" s="64">
        <v>2</v>
      </c>
      <c r="K21" s="64">
        <v>29.2</v>
      </c>
      <c r="L21" s="29">
        <v>12.4</v>
      </c>
      <c r="M21" s="29"/>
      <c r="N21" s="29"/>
      <c r="O21" s="65" t="s">
        <v>663</v>
      </c>
      <c r="P21" s="70" t="s">
        <v>731</v>
      </c>
      <c r="Q21" s="24" t="s">
        <v>857</v>
      </c>
      <c r="R21" s="54" t="str">
        <f t="shared" si="0"/>
        <v>OK</v>
      </c>
      <c r="S21" s="29" t="s">
        <v>27</v>
      </c>
      <c r="T21" s="29" t="s">
        <v>32</v>
      </c>
      <c r="U21" s="29"/>
      <c r="V21" s="22"/>
      <c r="W21" s="45"/>
      <c r="X21" s="75"/>
      <c r="Y21" s="75"/>
      <c r="Z21" s="39">
        <f t="shared" si="7"/>
        <v>0</v>
      </c>
      <c r="AA21" s="39">
        <f t="shared" si="1"/>
        <v>1</v>
      </c>
      <c r="AB21" s="39">
        <f t="shared" si="8"/>
        <v>0</v>
      </c>
      <c r="AC21" s="39">
        <f t="shared" si="2"/>
        <v>0</v>
      </c>
      <c r="AD21" s="39">
        <f t="shared" si="3"/>
        <v>0</v>
      </c>
      <c r="AE21" s="39">
        <f t="shared" si="4"/>
        <v>0</v>
      </c>
      <c r="AF21" s="39">
        <f t="shared" si="5"/>
        <v>0</v>
      </c>
      <c r="AG21" s="39">
        <f t="shared" si="6"/>
        <v>0</v>
      </c>
    </row>
    <row r="22" spans="1:33" s="16" customFormat="1" ht="35.1" hidden="1" customHeight="1" x14ac:dyDescent="0.25">
      <c r="A22" s="61">
        <v>21</v>
      </c>
      <c r="B22" s="62" t="s">
        <v>122</v>
      </c>
      <c r="C22" s="61" t="s">
        <v>13</v>
      </c>
      <c r="D22" s="61" t="s">
        <v>298</v>
      </c>
      <c r="E22" s="61" t="s">
        <v>749</v>
      </c>
      <c r="F22" s="62" t="s">
        <v>122</v>
      </c>
      <c r="G22" s="62" t="s">
        <v>475</v>
      </c>
      <c r="H22" s="63" t="s">
        <v>851</v>
      </c>
      <c r="I22" s="29">
        <v>5</v>
      </c>
      <c r="J22" s="64">
        <v>1</v>
      </c>
      <c r="K22" s="64">
        <v>4.6500000000000004</v>
      </c>
      <c r="L22" s="29">
        <v>8.1999999999999993</v>
      </c>
      <c r="M22" s="29"/>
      <c r="N22" s="29"/>
      <c r="O22" s="65" t="s">
        <v>653</v>
      </c>
      <c r="P22" s="70" t="s">
        <v>730</v>
      </c>
      <c r="Q22" s="24" t="s">
        <v>857</v>
      </c>
      <c r="R22" s="54" t="str">
        <f t="shared" si="0"/>
        <v>OK</v>
      </c>
      <c r="S22" s="29" t="s">
        <v>27</v>
      </c>
      <c r="T22" s="29" t="s">
        <v>32</v>
      </c>
      <c r="U22" s="29"/>
      <c r="V22" s="22"/>
      <c r="W22" s="45"/>
      <c r="X22" s="75"/>
      <c r="Y22" s="75"/>
      <c r="Z22" s="39">
        <f t="shared" si="7"/>
        <v>0</v>
      </c>
      <c r="AA22" s="39">
        <f t="shared" si="1"/>
        <v>1</v>
      </c>
      <c r="AB22" s="39">
        <f t="shared" si="8"/>
        <v>0</v>
      </c>
      <c r="AC22" s="39">
        <f t="shared" si="2"/>
        <v>0</v>
      </c>
      <c r="AD22" s="39">
        <f t="shared" si="3"/>
        <v>0</v>
      </c>
      <c r="AE22" s="39">
        <f t="shared" si="4"/>
        <v>0</v>
      </c>
      <c r="AF22" s="39">
        <f t="shared" si="5"/>
        <v>0</v>
      </c>
      <c r="AG22" s="39">
        <f t="shared" si="6"/>
        <v>0</v>
      </c>
    </row>
    <row r="23" spans="1:33" s="16" customFormat="1" ht="35.1" customHeight="1" x14ac:dyDescent="0.25">
      <c r="A23" s="61">
        <v>22</v>
      </c>
      <c r="B23" s="62" t="s">
        <v>132</v>
      </c>
      <c r="C23" s="61" t="s">
        <v>13</v>
      </c>
      <c r="D23" s="64" t="s">
        <v>310</v>
      </c>
      <c r="E23" s="61" t="s">
        <v>749</v>
      </c>
      <c r="F23" s="62" t="s">
        <v>486</v>
      </c>
      <c r="G23" s="62" t="s">
        <v>123</v>
      </c>
      <c r="H23" s="63" t="s">
        <v>851</v>
      </c>
      <c r="I23" s="29">
        <v>6</v>
      </c>
      <c r="J23" s="64">
        <v>1</v>
      </c>
      <c r="K23" s="64">
        <v>6</v>
      </c>
      <c r="L23" s="29">
        <v>6.6</v>
      </c>
      <c r="M23" s="29">
        <v>1928</v>
      </c>
      <c r="N23" s="29"/>
      <c r="O23" s="65" t="s">
        <v>867</v>
      </c>
      <c r="P23" s="70" t="s">
        <v>731</v>
      </c>
      <c r="Q23" s="24" t="s">
        <v>102</v>
      </c>
      <c r="R23" s="54" t="str">
        <f t="shared" si="0"/>
        <v>NARROW</v>
      </c>
      <c r="S23" s="29" t="s">
        <v>102</v>
      </c>
      <c r="T23" s="29" t="s">
        <v>32</v>
      </c>
      <c r="U23" s="29"/>
      <c r="V23" s="29"/>
      <c r="W23" s="46"/>
      <c r="X23" s="76"/>
      <c r="Y23" s="76"/>
      <c r="Z23" s="39">
        <f t="shared" si="7"/>
        <v>1</v>
      </c>
      <c r="AA23" s="39">
        <f t="shared" si="1"/>
        <v>1</v>
      </c>
      <c r="AB23" s="39">
        <f t="shared" si="8"/>
        <v>1</v>
      </c>
      <c r="AC23" s="39" t="str">
        <f t="shared" si="2"/>
        <v>A</v>
      </c>
      <c r="AD23" s="39" t="str">
        <f t="shared" si="3"/>
        <v>B</v>
      </c>
      <c r="AE23" s="39" t="str">
        <f t="shared" si="4"/>
        <v>C</v>
      </c>
      <c r="AF23" s="39" t="str">
        <f t="shared" si="5"/>
        <v>D</v>
      </c>
      <c r="AG23" s="39">
        <f t="shared" si="6"/>
        <v>0</v>
      </c>
    </row>
    <row r="24" spans="1:33" s="16" customFormat="1" ht="35.1" hidden="1" customHeight="1" x14ac:dyDescent="0.25">
      <c r="A24" s="61">
        <v>23</v>
      </c>
      <c r="B24" s="62" t="s">
        <v>123</v>
      </c>
      <c r="C24" s="61" t="s">
        <v>13</v>
      </c>
      <c r="D24" s="64" t="s">
        <v>299</v>
      </c>
      <c r="E24" s="61" t="s">
        <v>749</v>
      </c>
      <c r="F24" s="62" t="s">
        <v>123</v>
      </c>
      <c r="G24" s="62" t="s">
        <v>476</v>
      </c>
      <c r="H24" s="63" t="s">
        <v>522</v>
      </c>
      <c r="I24" s="29">
        <v>21</v>
      </c>
      <c r="J24" s="64">
        <v>3</v>
      </c>
      <c r="K24" s="64">
        <v>7</v>
      </c>
      <c r="L24" s="29">
        <v>7</v>
      </c>
      <c r="M24" s="29">
        <v>1928</v>
      </c>
      <c r="N24" s="29"/>
      <c r="O24" s="65" t="s">
        <v>654</v>
      </c>
      <c r="P24" s="70" t="s">
        <v>731</v>
      </c>
      <c r="Q24" s="24" t="s">
        <v>102</v>
      </c>
      <c r="R24" s="54" t="str">
        <f t="shared" si="0"/>
        <v>NARROW</v>
      </c>
      <c r="S24" s="29" t="s">
        <v>102</v>
      </c>
      <c r="T24" s="29" t="s">
        <v>33</v>
      </c>
      <c r="U24" s="29"/>
      <c r="V24" s="29"/>
      <c r="W24" s="46"/>
      <c r="X24" s="76"/>
      <c r="Y24" s="76"/>
      <c r="Z24" s="39">
        <f t="shared" si="7"/>
        <v>1</v>
      </c>
      <c r="AA24" s="39">
        <f t="shared" si="1"/>
        <v>0</v>
      </c>
      <c r="AB24" s="39">
        <f t="shared" si="8"/>
        <v>1</v>
      </c>
      <c r="AC24" s="39" t="str">
        <f t="shared" si="2"/>
        <v>A</v>
      </c>
      <c r="AD24" s="39">
        <f t="shared" si="3"/>
        <v>0</v>
      </c>
      <c r="AE24" s="39">
        <f t="shared" si="4"/>
        <v>0</v>
      </c>
      <c r="AF24" s="39">
        <f t="shared" si="5"/>
        <v>0</v>
      </c>
      <c r="AG24" s="39">
        <f t="shared" si="6"/>
        <v>0</v>
      </c>
    </row>
    <row r="25" spans="1:33" s="16" customFormat="1" ht="35.1" hidden="1" customHeight="1" x14ac:dyDescent="0.25">
      <c r="A25" s="61">
        <v>24</v>
      </c>
      <c r="B25" s="62" t="s">
        <v>133</v>
      </c>
      <c r="C25" s="61" t="s">
        <v>13</v>
      </c>
      <c r="D25" s="64" t="s">
        <v>311</v>
      </c>
      <c r="E25" s="61" t="s">
        <v>749</v>
      </c>
      <c r="F25" s="62" t="s">
        <v>476</v>
      </c>
      <c r="G25" s="62" t="s">
        <v>125</v>
      </c>
      <c r="H25" s="63" t="s">
        <v>522</v>
      </c>
      <c r="I25" s="29">
        <v>7</v>
      </c>
      <c r="J25" s="64">
        <v>1</v>
      </c>
      <c r="K25" s="64">
        <v>7</v>
      </c>
      <c r="L25" s="29">
        <v>6.9</v>
      </c>
      <c r="M25" s="29">
        <v>1928</v>
      </c>
      <c r="N25" s="29"/>
      <c r="O25" s="65" t="s">
        <v>868</v>
      </c>
      <c r="P25" s="70" t="s">
        <v>731</v>
      </c>
      <c r="Q25" s="24" t="s">
        <v>857</v>
      </c>
      <c r="R25" s="54" t="str">
        <f t="shared" si="0"/>
        <v>NARROW</v>
      </c>
      <c r="S25" s="29" t="s">
        <v>27</v>
      </c>
      <c r="T25" s="29" t="s">
        <v>32</v>
      </c>
      <c r="U25" s="29"/>
      <c r="V25" s="29"/>
      <c r="W25" s="46"/>
      <c r="X25" s="76"/>
      <c r="Y25" s="76"/>
      <c r="Z25" s="39">
        <f t="shared" si="7"/>
        <v>1</v>
      </c>
      <c r="AA25" s="39">
        <f t="shared" si="1"/>
        <v>1</v>
      </c>
      <c r="AB25" s="39">
        <f t="shared" si="8"/>
        <v>0</v>
      </c>
      <c r="AC25" s="39">
        <f t="shared" si="2"/>
        <v>0</v>
      </c>
      <c r="AD25" s="39" t="str">
        <f t="shared" si="3"/>
        <v>B</v>
      </c>
      <c r="AE25" s="39">
        <f t="shared" si="4"/>
        <v>0</v>
      </c>
      <c r="AF25" s="39">
        <f t="shared" si="5"/>
        <v>0</v>
      </c>
      <c r="AG25" s="39">
        <f t="shared" si="6"/>
        <v>0</v>
      </c>
    </row>
    <row r="26" spans="1:33" s="16" customFormat="1" ht="35.1" hidden="1" customHeight="1" x14ac:dyDescent="0.25">
      <c r="A26" s="61">
        <v>25</v>
      </c>
      <c r="B26" s="62" t="s">
        <v>125</v>
      </c>
      <c r="C26" s="61" t="s">
        <v>13</v>
      </c>
      <c r="D26" s="61" t="s">
        <v>301</v>
      </c>
      <c r="E26" s="61" t="s">
        <v>749</v>
      </c>
      <c r="F26" s="62" t="s">
        <v>125</v>
      </c>
      <c r="G26" s="62" t="s">
        <v>478</v>
      </c>
      <c r="H26" s="63" t="s">
        <v>522</v>
      </c>
      <c r="I26" s="29">
        <v>7</v>
      </c>
      <c r="J26" s="64">
        <v>1</v>
      </c>
      <c r="K26" s="64">
        <v>6.4</v>
      </c>
      <c r="L26" s="29">
        <v>6.9</v>
      </c>
      <c r="M26" s="29">
        <v>1928</v>
      </c>
      <c r="N26" s="29"/>
      <c r="O26" s="65" t="s">
        <v>656</v>
      </c>
      <c r="P26" s="70" t="s">
        <v>731</v>
      </c>
      <c r="Q26" s="24" t="s">
        <v>857</v>
      </c>
      <c r="R26" s="54" t="str">
        <f t="shared" si="0"/>
        <v>NARROW</v>
      </c>
      <c r="S26" s="29" t="s">
        <v>27</v>
      </c>
      <c r="T26" s="29" t="s">
        <v>33</v>
      </c>
      <c r="U26" s="29"/>
      <c r="V26" s="22"/>
      <c r="W26" s="45"/>
      <c r="X26" s="75"/>
      <c r="Y26" s="75"/>
      <c r="Z26" s="39">
        <f t="shared" si="7"/>
        <v>1</v>
      </c>
      <c r="AA26" s="39">
        <f t="shared" si="1"/>
        <v>0</v>
      </c>
      <c r="AB26" s="39">
        <f t="shared" si="8"/>
        <v>0</v>
      </c>
      <c r="AC26" s="39">
        <f t="shared" si="2"/>
        <v>0</v>
      </c>
      <c r="AD26" s="39">
        <f t="shared" si="3"/>
        <v>0</v>
      </c>
      <c r="AE26" s="39">
        <f t="shared" si="4"/>
        <v>0</v>
      </c>
      <c r="AF26" s="39">
        <f t="shared" si="5"/>
        <v>0</v>
      </c>
      <c r="AG26" s="39">
        <f t="shared" si="6"/>
        <v>0</v>
      </c>
    </row>
    <row r="27" spans="1:33" s="16" customFormat="1" ht="35.1" hidden="1" customHeight="1" x14ac:dyDescent="0.25">
      <c r="A27" s="61">
        <v>26</v>
      </c>
      <c r="B27" s="62" t="s">
        <v>126</v>
      </c>
      <c r="C27" s="61" t="s">
        <v>13</v>
      </c>
      <c r="D27" s="61" t="s">
        <v>302</v>
      </c>
      <c r="E27" s="61" t="s">
        <v>749</v>
      </c>
      <c r="F27" s="62" t="s">
        <v>479</v>
      </c>
      <c r="G27" s="62" t="s">
        <v>126</v>
      </c>
      <c r="H27" s="63" t="s">
        <v>522</v>
      </c>
      <c r="I27" s="29">
        <v>6.12</v>
      </c>
      <c r="J27" s="64">
        <v>1</v>
      </c>
      <c r="K27" s="64">
        <v>6.12</v>
      </c>
      <c r="L27" s="29">
        <v>7.2</v>
      </c>
      <c r="M27" s="29">
        <v>1928</v>
      </c>
      <c r="N27" s="29"/>
      <c r="O27" s="65" t="s">
        <v>656</v>
      </c>
      <c r="P27" s="70" t="s">
        <v>731</v>
      </c>
      <c r="Q27" s="24" t="s">
        <v>857</v>
      </c>
      <c r="R27" s="54" t="str">
        <f t="shared" si="0"/>
        <v>NARROW</v>
      </c>
      <c r="S27" s="29" t="s">
        <v>27</v>
      </c>
      <c r="T27" s="29" t="s">
        <v>33</v>
      </c>
      <c r="U27" s="29"/>
      <c r="V27" s="22"/>
      <c r="W27" s="45"/>
      <c r="X27" s="75"/>
      <c r="Y27" s="75"/>
      <c r="Z27" s="39">
        <f t="shared" si="7"/>
        <v>1</v>
      </c>
      <c r="AA27" s="39">
        <f t="shared" si="1"/>
        <v>0</v>
      </c>
      <c r="AB27" s="39">
        <f t="shared" si="8"/>
        <v>0</v>
      </c>
      <c r="AC27" s="39">
        <f t="shared" si="2"/>
        <v>0</v>
      </c>
      <c r="AD27" s="39">
        <f t="shared" si="3"/>
        <v>0</v>
      </c>
      <c r="AE27" s="39">
        <f t="shared" si="4"/>
        <v>0</v>
      </c>
      <c r="AF27" s="39">
        <f t="shared" si="5"/>
        <v>0</v>
      </c>
      <c r="AG27" s="39">
        <f t="shared" si="6"/>
        <v>0</v>
      </c>
    </row>
    <row r="28" spans="1:33" s="16" customFormat="1" ht="35.1" hidden="1" customHeight="1" x14ac:dyDescent="0.25">
      <c r="A28" s="61">
        <v>27</v>
      </c>
      <c r="B28" s="62" t="s">
        <v>869</v>
      </c>
      <c r="C28" s="61" t="s">
        <v>13</v>
      </c>
      <c r="D28" s="61" t="s">
        <v>312</v>
      </c>
      <c r="E28" s="61" t="s">
        <v>749</v>
      </c>
      <c r="F28" s="62" t="s">
        <v>128</v>
      </c>
      <c r="G28" s="62" t="s">
        <v>487</v>
      </c>
      <c r="H28" s="63" t="s">
        <v>522</v>
      </c>
      <c r="I28" s="29">
        <v>5.2</v>
      </c>
      <c r="J28" s="64">
        <v>2</v>
      </c>
      <c r="K28" s="64">
        <v>5.2</v>
      </c>
      <c r="L28" s="29">
        <v>8</v>
      </c>
      <c r="M28" s="29">
        <v>1928</v>
      </c>
      <c r="N28" s="29"/>
      <c r="O28" s="65" t="s">
        <v>664</v>
      </c>
      <c r="P28" s="70" t="s">
        <v>731</v>
      </c>
      <c r="Q28" s="24" t="s">
        <v>857</v>
      </c>
      <c r="R28" s="54" t="str">
        <f t="shared" si="0"/>
        <v>OK</v>
      </c>
      <c r="S28" s="29" t="s">
        <v>27</v>
      </c>
      <c r="T28" s="29" t="s">
        <v>32</v>
      </c>
      <c r="U28" s="29"/>
      <c r="V28" s="22"/>
      <c r="W28" s="45"/>
      <c r="X28" s="75"/>
      <c r="Y28" s="75"/>
      <c r="Z28" s="39">
        <f t="shared" si="7"/>
        <v>0</v>
      </c>
      <c r="AA28" s="39">
        <f t="shared" si="1"/>
        <v>1</v>
      </c>
      <c r="AB28" s="39">
        <f t="shared" si="8"/>
        <v>0</v>
      </c>
      <c r="AC28" s="39">
        <f t="shared" si="2"/>
        <v>0</v>
      </c>
      <c r="AD28" s="39">
        <f t="shared" si="3"/>
        <v>0</v>
      </c>
      <c r="AE28" s="39">
        <f t="shared" si="4"/>
        <v>0</v>
      </c>
      <c r="AF28" s="39">
        <f t="shared" si="5"/>
        <v>0</v>
      </c>
      <c r="AG28" s="39">
        <f t="shared" si="6"/>
        <v>0</v>
      </c>
    </row>
    <row r="29" spans="1:33" s="16" customFormat="1" ht="35.1" hidden="1" customHeight="1" x14ac:dyDescent="0.25">
      <c r="A29" s="61">
        <v>28</v>
      </c>
      <c r="B29" s="62" t="s">
        <v>869</v>
      </c>
      <c r="C29" s="61" t="s">
        <v>13</v>
      </c>
      <c r="D29" s="61" t="s">
        <v>304</v>
      </c>
      <c r="E29" s="61" t="s">
        <v>749</v>
      </c>
      <c r="F29" s="62" t="s">
        <v>128</v>
      </c>
      <c r="G29" s="62" t="s">
        <v>482</v>
      </c>
      <c r="H29" s="63" t="s">
        <v>522</v>
      </c>
      <c r="I29" s="29">
        <v>4.3</v>
      </c>
      <c r="J29" s="64">
        <v>1</v>
      </c>
      <c r="K29" s="64">
        <v>4.3</v>
      </c>
      <c r="L29" s="29">
        <v>7.9</v>
      </c>
      <c r="M29" s="29">
        <v>1928</v>
      </c>
      <c r="N29" s="29"/>
      <c r="O29" s="65" t="s">
        <v>658</v>
      </c>
      <c r="P29" s="70" t="s">
        <v>731</v>
      </c>
      <c r="Q29" s="24" t="s">
        <v>857</v>
      </c>
      <c r="R29" s="54" t="str">
        <f t="shared" si="0"/>
        <v>OK</v>
      </c>
      <c r="S29" s="29" t="s">
        <v>27</v>
      </c>
      <c r="T29" s="29" t="s">
        <v>33</v>
      </c>
      <c r="U29" s="29"/>
      <c r="V29" s="22"/>
      <c r="W29" s="45"/>
      <c r="X29" s="75"/>
      <c r="Y29" s="75"/>
      <c r="Z29" s="39">
        <f t="shared" si="7"/>
        <v>0</v>
      </c>
      <c r="AA29" s="39">
        <f t="shared" si="1"/>
        <v>0</v>
      </c>
      <c r="AB29" s="39">
        <f t="shared" si="8"/>
        <v>0</v>
      </c>
      <c r="AC29" s="39">
        <f t="shared" si="2"/>
        <v>0</v>
      </c>
      <c r="AD29" s="39">
        <f t="shared" si="3"/>
        <v>0</v>
      </c>
      <c r="AE29" s="39">
        <f t="shared" si="4"/>
        <v>0</v>
      </c>
      <c r="AF29" s="39">
        <f t="shared" si="5"/>
        <v>0</v>
      </c>
      <c r="AG29" s="39" t="str">
        <f t="shared" si="6"/>
        <v>E</v>
      </c>
    </row>
    <row r="30" spans="1:33" s="16" customFormat="1" ht="35.1" hidden="1" customHeight="1" x14ac:dyDescent="0.25">
      <c r="A30" s="61">
        <v>29</v>
      </c>
      <c r="B30" s="62" t="s">
        <v>129</v>
      </c>
      <c r="C30" s="61" t="s">
        <v>13</v>
      </c>
      <c r="D30" s="61" t="s">
        <v>305</v>
      </c>
      <c r="E30" s="61" t="s">
        <v>749</v>
      </c>
      <c r="F30" s="62" t="s">
        <v>129</v>
      </c>
      <c r="G30" s="62" t="s">
        <v>44</v>
      </c>
      <c r="H30" s="63" t="s">
        <v>522</v>
      </c>
      <c r="I30" s="29">
        <v>8.5</v>
      </c>
      <c r="J30" s="64">
        <v>2</v>
      </c>
      <c r="K30" s="64"/>
      <c r="L30" s="29">
        <v>7.5</v>
      </c>
      <c r="M30" s="29">
        <v>1928</v>
      </c>
      <c r="N30" s="29"/>
      <c r="O30" s="65" t="s">
        <v>659</v>
      </c>
      <c r="P30" s="70" t="s">
        <v>731</v>
      </c>
      <c r="Q30" s="24" t="s">
        <v>102</v>
      </c>
      <c r="R30" s="54" t="str">
        <f t="shared" si="0"/>
        <v>OK</v>
      </c>
      <c r="S30" s="29" t="s">
        <v>102</v>
      </c>
      <c r="T30" s="29" t="s">
        <v>33</v>
      </c>
      <c r="U30" s="29"/>
      <c r="V30" s="22"/>
      <c r="W30" s="45"/>
      <c r="X30" s="75"/>
      <c r="Y30" s="75"/>
      <c r="Z30" s="39">
        <f t="shared" si="7"/>
        <v>0</v>
      </c>
      <c r="AA30" s="39">
        <f t="shared" si="1"/>
        <v>0</v>
      </c>
      <c r="AB30" s="39">
        <f t="shared" si="8"/>
        <v>1</v>
      </c>
      <c r="AC30" s="39">
        <f t="shared" si="2"/>
        <v>0</v>
      </c>
      <c r="AD30" s="39">
        <f t="shared" si="3"/>
        <v>0</v>
      </c>
      <c r="AE30" s="39">
        <f t="shared" si="4"/>
        <v>0</v>
      </c>
      <c r="AF30" s="39">
        <f t="shared" si="5"/>
        <v>0</v>
      </c>
      <c r="AG30" s="39">
        <f t="shared" si="6"/>
        <v>0</v>
      </c>
    </row>
    <row r="31" spans="1:33" s="16" customFormat="1" ht="35.1" hidden="1" customHeight="1" x14ac:dyDescent="0.25">
      <c r="A31" s="61">
        <v>30</v>
      </c>
      <c r="B31" s="62" t="s">
        <v>44</v>
      </c>
      <c r="C31" s="61" t="s">
        <v>13</v>
      </c>
      <c r="D31" s="61" t="s">
        <v>306</v>
      </c>
      <c r="E31" s="61" t="s">
        <v>749</v>
      </c>
      <c r="F31" s="62" t="s">
        <v>129</v>
      </c>
      <c r="G31" s="62" t="s">
        <v>483</v>
      </c>
      <c r="H31" s="63" t="s">
        <v>522</v>
      </c>
      <c r="I31" s="29">
        <v>6.3</v>
      </c>
      <c r="J31" s="64">
        <v>1</v>
      </c>
      <c r="K31" s="64">
        <v>6.3</v>
      </c>
      <c r="L31" s="29">
        <v>6.55</v>
      </c>
      <c r="M31" s="29">
        <v>1928</v>
      </c>
      <c r="N31" s="29"/>
      <c r="O31" s="65" t="s">
        <v>660</v>
      </c>
      <c r="P31" s="70" t="s">
        <v>730</v>
      </c>
      <c r="Q31" s="24" t="s">
        <v>857</v>
      </c>
      <c r="R31" s="54" t="str">
        <f t="shared" si="0"/>
        <v>NARROW</v>
      </c>
      <c r="S31" s="29" t="s">
        <v>27</v>
      </c>
      <c r="T31" s="29" t="s">
        <v>33</v>
      </c>
      <c r="U31" s="29"/>
      <c r="V31" s="22"/>
      <c r="W31" s="45"/>
      <c r="X31" s="75"/>
      <c r="Y31" s="75"/>
      <c r="Z31" s="39">
        <f t="shared" si="7"/>
        <v>1</v>
      </c>
      <c r="AA31" s="39">
        <f t="shared" si="1"/>
        <v>0</v>
      </c>
      <c r="AB31" s="39">
        <f t="shared" si="8"/>
        <v>0</v>
      </c>
      <c r="AC31" s="39">
        <f t="shared" si="2"/>
        <v>0</v>
      </c>
      <c r="AD31" s="39">
        <f t="shared" si="3"/>
        <v>0</v>
      </c>
      <c r="AE31" s="39">
        <f t="shared" si="4"/>
        <v>0</v>
      </c>
      <c r="AF31" s="39">
        <f t="shared" si="5"/>
        <v>0</v>
      </c>
      <c r="AG31" s="39">
        <f t="shared" si="6"/>
        <v>0</v>
      </c>
    </row>
    <row r="32" spans="1:33" s="16" customFormat="1" ht="35.1" hidden="1" customHeight="1" x14ac:dyDescent="0.25">
      <c r="A32" s="61">
        <v>31</v>
      </c>
      <c r="B32" s="62" t="s">
        <v>130</v>
      </c>
      <c r="C32" s="61" t="s">
        <v>13</v>
      </c>
      <c r="D32" s="61" t="s">
        <v>307</v>
      </c>
      <c r="E32" s="61" t="s">
        <v>749</v>
      </c>
      <c r="F32" s="62" t="s">
        <v>484</v>
      </c>
      <c r="G32" s="62" t="s">
        <v>135</v>
      </c>
      <c r="H32" s="63" t="s">
        <v>522</v>
      </c>
      <c r="I32" s="29">
        <v>10.6</v>
      </c>
      <c r="J32" s="64">
        <v>2</v>
      </c>
      <c r="K32" s="64"/>
      <c r="L32" s="29">
        <v>9.4</v>
      </c>
      <c r="M32" s="29"/>
      <c r="N32" s="29"/>
      <c r="O32" s="65" t="s">
        <v>661</v>
      </c>
      <c r="P32" s="70" t="s">
        <v>731</v>
      </c>
      <c r="Q32" s="24" t="s">
        <v>857</v>
      </c>
      <c r="R32" s="54" t="str">
        <f t="shared" si="0"/>
        <v>OK</v>
      </c>
      <c r="S32" s="29" t="s">
        <v>27</v>
      </c>
      <c r="T32" s="29" t="s">
        <v>32</v>
      </c>
      <c r="U32" s="29"/>
      <c r="V32" s="22"/>
      <c r="W32" s="45"/>
      <c r="X32" s="75"/>
      <c r="Y32" s="75"/>
      <c r="Z32" s="39">
        <f t="shared" si="7"/>
        <v>0</v>
      </c>
      <c r="AA32" s="39">
        <f t="shared" si="1"/>
        <v>1</v>
      </c>
      <c r="AB32" s="39">
        <f t="shared" si="8"/>
        <v>0</v>
      </c>
      <c r="AC32" s="39">
        <f t="shared" si="2"/>
        <v>0</v>
      </c>
      <c r="AD32" s="39">
        <f t="shared" si="3"/>
        <v>0</v>
      </c>
      <c r="AE32" s="39">
        <f t="shared" si="4"/>
        <v>0</v>
      </c>
      <c r="AF32" s="39">
        <f t="shared" si="5"/>
        <v>0</v>
      </c>
      <c r="AG32" s="39">
        <f t="shared" si="6"/>
        <v>0</v>
      </c>
    </row>
    <row r="33" spans="1:35" s="16" customFormat="1" ht="35.1" hidden="1" customHeight="1" x14ac:dyDescent="0.25">
      <c r="A33" s="61">
        <v>32</v>
      </c>
      <c r="B33" s="62" t="s">
        <v>45</v>
      </c>
      <c r="C33" s="61" t="s">
        <v>13</v>
      </c>
      <c r="D33" s="61" t="s">
        <v>308</v>
      </c>
      <c r="E33" s="61" t="s">
        <v>749</v>
      </c>
      <c r="F33" s="62" t="s">
        <v>484</v>
      </c>
      <c r="G33" s="62" t="s">
        <v>135</v>
      </c>
      <c r="H33" s="63" t="s">
        <v>522</v>
      </c>
      <c r="I33" s="29">
        <v>6.15</v>
      </c>
      <c r="J33" s="64">
        <v>2</v>
      </c>
      <c r="K33" s="64">
        <v>2.9</v>
      </c>
      <c r="L33" s="29">
        <v>6.15</v>
      </c>
      <c r="M33" s="29">
        <v>1956</v>
      </c>
      <c r="N33" s="29"/>
      <c r="O33" s="65" t="s">
        <v>662</v>
      </c>
      <c r="P33" s="70" t="s">
        <v>730</v>
      </c>
      <c r="Q33" s="24" t="s">
        <v>857</v>
      </c>
      <c r="R33" s="54" t="str">
        <f t="shared" si="0"/>
        <v>NARROW</v>
      </c>
      <c r="S33" s="29" t="s">
        <v>27</v>
      </c>
      <c r="T33" s="29" t="s">
        <v>33</v>
      </c>
      <c r="U33" s="29"/>
      <c r="V33" s="22"/>
      <c r="W33" s="45"/>
      <c r="X33" s="75"/>
      <c r="Y33" s="75"/>
      <c r="Z33" s="39">
        <f t="shared" si="7"/>
        <v>1</v>
      </c>
      <c r="AA33" s="39">
        <f t="shared" si="1"/>
        <v>0</v>
      </c>
      <c r="AB33" s="39">
        <f t="shared" si="8"/>
        <v>0</v>
      </c>
      <c r="AC33" s="39">
        <f t="shared" si="2"/>
        <v>0</v>
      </c>
      <c r="AD33" s="39">
        <f t="shared" si="3"/>
        <v>0</v>
      </c>
      <c r="AE33" s="39">
        <f t="shared" si="4"/>
        <v>0</v>
      </c>
      <c r="AF33" s="39">
        <f t="shared" si="5"/>
        <v>0</v>
      </c>
      <c r="AG33" s="39">
        <f t="shared" si="6"/>
        <v>0</v>
      </c>
    </row>
    <row r="34" spans="1:35" s="16" customFormat="1" ht="35.1" hidden="1" customHeight="1" x14ac:dyDescent="0.25">
      <c r="A34" s="61">
        <v>33</v>
      </c>
      <c r="B34" s="62" t="s">
        <v>134</v>
      </c>
      <c r="C34" s="61" t="s">
        <v>13</v>
      </c>
      <c r="D34" s="24" t="s">
        <v>313</v>
      </c>
      <c r="E34" s="61" t="s">
        <v>749</v>
      </c>
      <c r="F34" s="62" t="s">
        <v>488</v>
      </c>
      <c r="G34" s="62" t="s">
        <v>134</v>
      </c>
      <c r="H34" s="63" t="s">
        <v>522</v>
      </c>
      <c r="I34" s="29">
        <v>7.5</v>
      </c>
      <c r="J34" s="64">
        <v>1</v>
      </c>
      <c r="K34" s="64">
        <v>7.5</v>
      </c>
      <c r="L34" s="29">
        <v>6.85</v>
      </c>
      <c r="M34" s="29">
        <v>1956</v>
      </c>
      <c r="N34" s="29"/>
      <c r="O34" s="65" t="s">
        <v>665</v>
      </c>
      <c r="P34" s="70" t="s">
        <v>731</v>
      </c>
      <c r="Q34" s="24" t="s">
        <v>857</v>
      </c>
      <c r="R34" s="54" t="str">
        <f t="shared" si="0"/>
        <v>NARROW</v>
      </c>
      <c r="S34" s="29" t="s">
        <v>27</v>
      </c>
      <c r="T34" s="29" t="s">
        <v>32</v>
      </c>
      <c r="U34" s="29"/>
      <c r="V34" s="24"/>
      <c r="W34" s="47"/>
      <c r="X34" s="77"/>
      <c r="Y34" s="77"/>
      <c r="Z34" s="39">
        <f t="shared" si="7"/>
        <v>1</v>
      </c>
      <c r="AA34" s="39">
        <f t="shared" si="1"/>
        <v>1</v>
      </c>
      <c r="AB34" s="39">
        <f t="shared" si="8"/>
        <v>0</v>
      </c>
      <c r="AC34" s="39">
        <f t="shared" si="2"/>
        <v>0</v>
      </c>
      <c r="AD34" s="39" t="str">
        <f t="shared" si="3"/>
        <v>B</v>
      </c>
      <c r="AE34" s="39">
        <f t="shared" si="4"/>
        <v>0</v>
      </c>
      <c r="AF34" s="39">
        <f t="shared" si="5"/>
        <v>0</v>
      </c>
      <c r="AG34" s="39">
        <f t="shared" si="6"/>
        <v>0</v>
      </c>
    </row>
    <row r="35" spans="1:35" s="16" customFormat="1" ht="35.1" customHeight="1" x14ac:dyDescent="0.25">
      <c r="A35" s="61">
        <v>34</v>
      </c>
      <c r="B35" s="62" t="s">
        <v>135</v>
      </c>
      <c r="C35" s="61" t="s">
        <v>13</v>
      </c>
      <c r="D35" s="61" t="s">
        <v>314</v>
      </c>
      <c r="E35" s="61" t="s">
        <v>749</v>
      </c>
      <c r="F35" s="62" t="s">
        <v>135</v>
      </c>
      <c r="G35" s="62" t="s">
        <v>16</v>
      </c>
      <c r="H35" s="63" t="s">
        <v>851</v>
      </c>
      <c r="I35" s="29">
        <v>7.3</v>
      </c>
      <c r="J35" s="64">
        <v>1</v>
      </c>
      <c r="K35" s="64">
        <v>7.3</v>
      </c>
      <c r="L35" s="29">
        <v>7</v>
      </c>
      <c r="M35" s="29">
        <v>1928</v>
      </c>
      <c r="N35" s="29"/>
      <c r="O35" s="65" t="s">
        <v>666</v>
      </c>
      <c r="P35" s="70" t="s">
        <v>731</v>
      </c>
      <c r="Q35" s="24" t="s">
        <v>102</v>
      </c>
      <c r="R35" s="54" t="str">
        <f t="shared" si="0"/>
        <v>NARROW</v>
      </c>
      <c r="S35" s="29" t="s">
        <v>102</v>
      </c>
      <c r="T35" s="29" t="s">
        <v>32</v>
      </c>
      <c r="U35" s="29"/>
      <c r="V35" s="43">
        <v>4715</v>
      </c>
      <c r="W35" s="45">
        <v>11</v>
      </c>
      <c r="X35" s="75"/>
      <c r="Y35" s="75"/>
      <c r="Z35" s="39">
        <f t="shared" si="7"/>
        <v>1</v>
      </c>
      <c r="AA35" s="39">
        <f t="shared" si="1"/>
        <v>1</v>
      </c>
      <c r="AB35" s="39">
        <f t="shared" si="8"/>
        <v>1</v>
      </c>
      <c r="AC35" s="39" t="str">
        <f t="shared" si="2"/>
        <v>A</v>
      </c>
      <c r="AD35" s="39" t="str">
        <f t="shared" si="3"/>
        <v>B</v>
      </c>
      <c r="AE35" s="39" t="str">
        <f t="shared" si="4"/>
        <v>C</v>
      </c>
      <c r="AF35" s="39" t="str">
        <f t="shared" si="5"/>
        <v>D</v>
      </c>
      <c r="AG35" s="39">
        <f t="shared" si="6"/>
        <v>0</v>
      </c>
    </row>
    <row r="36" spans="1:35" s="16" customFormat="1" ht="35.1" customHeight="1" x14ac:dyDescent="0.25">
      <c r="A36" s="61">
        <v>35</v>
      </c>
      <c r="B36" s="66" t="s">
        <v>231</v>
      </c>
      <c r="C36" s="67" t="s">
        <v>13</v>
      </c>
      <c r="D36" s="67" t="s">
        <v>405</v>
      </c>
      <c r="E36" s="68" t="s">
        <v>14</v>
      </c>
      <c r="F36" s="66" t="s">
        <v>231</v>
      </c>
      <c r="G36" s="66" t="s">
        <v>232</v>
      </c>
      <c r="H36" s="69" t="s">
        <v>522</v>
      </c>
      <c r="I36" s="30">
        <v>17.350000000000001</v>
      </c>
      <c r="J36" s="67">
        <v>3</v>
      </c>
      <c r="K36" s="67">
        <v>6.2</v>
      </c>
      <c r="L36" s="30">
        <v>3.25</v>
      </c>
      <c r="M36" s="30">
        <v>1980</v>
      </c>
      <c r="N36" s="30"/>
      <c r="O36" s="28" t="s">
        <v>870</v>
      </c>
      <c r="P36" s="53" t="s">
        <v>733</v>
      </c>
      <c r="Q36" s="24" t="s">
        <v>102</v>
      </c>
      <c r="R36" s="54" t="str">
        <f t="shared" si="0"/>
        <v>NARROW</v>
      </c>
      <c r="S36" s="29" t="s">
        <v>102</v>
      </c>
      <c r="T36" s="29" t="s">
        <v>32</v>
      </c>
      <c r="U36" s="29"/>
      <c r="V36" s="30"/>
      <c r="W36" s="48"/>
      <c r="X36" s="78"/>
      <c r="Y36" s="78"/>
      <c r="Z36" s="39">
        <f t="shared" si="7"/>
        <v>1</v>
      </c>
      <c r="AA36" s="39">
        <f t="shared" si="1"/>
        <v>1</v>
      </c>
      <c r="AB36" s="39">
        <f t="shared" si="8"/>
        <v>1</v>
      </c>
      <c r="AC36" s="39" t="str">
        <f t="shared" si="2"/>
        <v>A</v>
      </c>
      <c r="AD36" s="39" t="str">
        <f t="shared" si="3"/>
        <v>B</v>
      </c>
      <c r="AE36" s="39" t="str">
        <f t="shared" si="4"/>
        <v>C</v>
      </c>
      <c r="AF36" s="39" t="str">
        <f t="shared" si="5"/>
        <v>D</v>
      </c>
      <c r="AG36" s="39">
        <f t="shared" si="6"/>
        <v>0</v>
      </c>
    </row>
    <row r="37" spans="1:35" s="16" customFormat="1" ht="35.1" customHeight="1" x14ac:dyDescent="0.25">
      <c r="A37" s="61">
        <v>36</v>
      </c>
      <c r="B37" s="66" t="s">
        <v>232</v>
      </c>
      <c r="C37" s="67" t="s">
        <v>13</v>
      </c>
      <c r="D37" s="67" t="s">
        <v>406</v>
      </c>
      <c r="E37" s="68" t="s">
        <v>14</v>
      </c>
      <c r="F37" s="66" t="s">
        <v>232</v>
      </c>
      <c r="G37" s="66" t="s">
        <v>591</v>
      </c>
      <c r="H37" s="69" t="s">
        <v>522</v>
      </c>
      <c r="I37" s="30">
        <v>16.899999999999999</v>
      </c>
      <c r="J37" s="67">
        <v>3</v>
      </c>
      <c r="K37" s="67">
        <v>6.2</v>
      </c>
      <c r="L37" s="30">
        <v>3.55</v>
      </c>
      <c r="M37" s="30">
        <v>1952</v>
      </c>
      <c r="N37" s="30"/>
      <c r="O37" s="28" t="s">
        <v>859</v>
      </c>
      <c r="P37" s="53" t="s">
        <v>733</v>
      </c>
      <c r="Q37" s="24" t="s">
        <v>102</v>
      </c>
      <c r="R37" s="54" t="str">
        <f t="shared" si="0"/>
        <v>NARROW</v>
      </c>
      <c r="S37" s="29" t="s">
        <v>102</v>
      </c>
      <c r="T37" s="29" t="s">
        <v>32</v>
      </c>
      <c r="U37" s="29"/>
      <c r="V37" s="30"/>
      <c r="W37" s="48"/>
      <c r="X37" s="78"/>
      <c r="Y37" s="78"/>
      <c r="Z37" s="39">
        <f t="shared" si="7"/>
        <v>1</v>
      </c>
      <c r="AA37" s="39">
        <f t="shared" si="1"/>
        <v>1</v>
      </c>
      <c r="AB37" s="39">
        <f t="shared" si="8"/>
        <v>1</v>
      </c>
      <c r="AC37" s="39" t="str">
        <f t="shared" si="2"/>
        <v>A</v>
      </c>
      <c r="AD37" s="39" t="str">
        <f t="shared" si="3"/>
        <v>B</v>
      </c>
      <c r="AE37" s="39" t="str">
        <f t="shared" si="4"/>
        <v>C</v>
      </c>
      <c r="AF37" s="39" t="str">
        <f t="shared" si="5"/>
        <v>D</v>
      </c>
      <c r="AG37" s="39">
        <f t="shared" si="6"/>
        <v>0</v>
      </c>
    </row>
    <row r="38" spans="1:35" s="16" customFormat="1" ht="35.1" hidden="1" customHeight="1" x14ac:dyDescent="0.25">
      <c r="A38" s="61">
        <v>37</v>
      </c>
      <c r="B38" s="66" t="s">
        <v>136</v>
      </c>
      <c r="C38" s="67" t="s">
        <v>13</v>
      </c>
      <c r="D38" s="67" t="s">
        <v>315</v>
      </c>
      <c r="E38" s="68" t="s">
        <v>14</v>
      </c>
      <c r="F38" s="66" t="s">
        <v>35</v>
      </c>
      <c r="G38" s="66" t="s">
        <v>751</v>
      </c>
      <c r="H38" s="69" t="s">
        <v>522</v>
      </c>
      <c r="I38" s="49" t="s">
        <v>489</v>
      </c>
      <c r="J38" s="67">
        <v>1</v>
      </c>
      <c r="K38" s="67">
        <v>11</v>
      </c>
      <c r="L38" s="30">
        <v>9.8000000000000007</v>
      </c>
      <c r="M38" s="30">
        <v>2011</v>
      </c>
      <c r="N38" s="30"/>
      <c r="O38" s="65" t="s">
        <v>667</v>
      </c>
      <c r="P38" s="70" t="s">
        <v>731</v>
      </c>
      <c r="Q38" s="24" t="s">
        <v>27</v>
      </c>
      <c r="R38" s="54" t="str">
        <f t="shared" si="0"/>
        <v>OK</v>
      </c>
      <c r="S38" s="29" t="s">
        <v>27</v>
      </c>
      <c r="T38" s="29" t="s">
        <v>32</v>
      </c>
      <c r="U38" s="29"/>
      <c r="V38" s="43">
        <v>3818</v>
      </c>
      <c r="W38" s="48">
        <v>6</v>
      </c>
      <c r="X38" s="78"/>
      <c r="Y38" s="78"/>
      <c r="Z38" s="39">
        <f t="shared" si="7"/>
        <v>0</v>
      </c>
      <c r="AA38" s="39">
        <f t="shared" si="1"/>
        <v>1</v>
      </c>
      <c r="AB38" s="39">
        <f t="shared" si="8"/>
        <v>0</v>
      </c>
      <c r="AC38" s="39">
        <f t="shared" si="2"/>
        <v>0</v>
      </c>
      <c r="AD38" s="39">
        <f t="shared" si="3"/>
        <v>0</v>
      </c>
      <c r="AE38" s="39">
        <f t="shared" si="4"/>
        <v>0</v>
      </c>
      <c r="AF38" s="39">
        <f t="shared" si="5"/>
        <v>0</v>
      </c>
      <c r="AG38" s="39">
        <f t="shared" si="6"/>
        <v>0</v>
      </c>
    </row>
    <row r="39" spans="1:35" s="16" customFormat="1" ht="35.1" customHeight="1" x14ac:dyDescent="0.25">
      <c r="A39" s="61">
        <v>38</v>
      </c>
      <c r="B39" s="66" t="s">
        <v>103</v>
      </c>
      <c r="C39" s="67" t="s">
        <v>13</v>
      </c>
      <c r="D39" s="67" t="s">
        <v>279</v>
      </c>
      <c r="E39" s="68" t="s">
        <v>14</v>
      </c>
      <c r="F39" s="66" t="s">
        <v>103</v>
      </c>
      <c r="G39" s="66" t="s">
        <v>457</v>
      </c>
      <c r="H39" s="69" t="s">
        <v>40</v>
      </c>
      <c r="I39" s="30">
        <v>18.5</v>
      </c>
      <c r="J39" s="67">
        <v>2</v>
      </c>
      <c r="K39" s="67">
        <v>9.5500000000000007</v>
      </c>
      <c r="L39" s="30">
        <v>5.2</v>
      </c>
      <c r="M39" s="29"/>
      <c r="N39" s="29"/>
      <c r="O39" s="65" t="s">
        <v>752</v>
      </c>
      <c r="P39" s="70" t="s">
        <v>753</v>
      </c>
      <c r="Q39" s="24" t="s">
        <v>102</v>
      </c>
      <c r="R39" s="54" t="str">
        <f t="shared" si="0"/>
        <v>NARROW</v>
      </c>
      <c r="S39" s="29" t="s">
        <v>102</v>
      </c>
      <c r="T39" s="29" t="s">
        <v>32</v>
      </c>
      <c r="U39" s="29"/>
      <c r="V39" s="43">
        <v>3818</v>
      </c>
      <c r="W39" s="48">
        <v>6</v>
      </c>
      <c r="X39" s="78"/>
      <c r="Y39" s="78"/>
      <c r="Z39" s="39">
        <f t="shared" si="7"/>
        <v>1</v>
      </c>
      <c r="AA39" s="39">
        <f t="shared" si="1"/>
        <v>1</v>
      </c>
      <c r="AB39" s="39">
        <f t="shared" si="8"/>
        <v>1</v>
      </c>
      <c r="AC39" s="39" t="str">
        <f t="shared" si="2"/>
        <v>A</v>
      </c>
      <c r="AD39" s="39" t="str">
        <f t="shared" si="3"/>
        <v>B</v>
      </c>
      <c r="AE39" s="39" t="str">
        <f t="shared" si="4"/>
        <v>C</v>
      </c>
      <c r="AF39" s="39" t="str">
        <f t="shared" si="5"/>
        <v>D</v>
      </c>
      <c r="AG39" s="39">
        <f t="shared" si="6"/>
        <v>0</v>
      </c>
      <c r="AI39" s="16">
        <f>I39</f>
        <v>18.5</v>
      </c>
    </row>
    <row r="40" spans="1:35" s="16" customFormat="1" ht="35.1" hidden="1" customHeight="1" x14ac:dyDescent="0.25">
      <c r="A40" s="61">
        <v>39</v>
      </c>
      <c r="B40" s="66" t="s">
        <v>137</v>
      </c>
      <c r="C40" s="67" t="s">
        <v>13</v>
      </c>
      <c r="D40" s="67" t="s">
        <v>316</v>
      </c>
      <c r="E40" s="68" t="s">
        <v>14</v>
      </c>
      <c r="F40" s="66" t="s">
        <v>490</v>
      </c>
      <c r="G40" s="66" t="s">
        <v>491</v>
      </c>
      <c r="H40" s="69" t="s">
        <v>522</v>
      </c>
      <c r="I40" s="30">
        <v>12</v>
      </c>
      <c r="J40" s="67">
        <v>1</v>
      </c>
      <c r="K40" s="67">
        <v>4</v>
      </c>
      <c r="L40" s="30">
        <v>13</v>
      </c>
      <c r="M40" s="29"/>
      <c r="N40" s="29"/>
      <c r="O40" s="65" t="s">
        <v>668</v>
      </c>
      <c r="P40" s="70" t="s">
        <v>731</v>
      </c>
      <c r="Q40" s="24" t="s">
        <v>857</v>
      </c>
      <c r="R40" s="54" t="str">
        <f t="shared" si="0"/>
        <v>OK</v>
      </c>
      <c r="S40" s="29" t="s">
        <v>27</v>
      </c>
      <c r="T40" s="29" t="s">
        <v>32</v>
      </c>
      <c r="U40" s="29"/>
      <c r="V40" s="43">
        <v>3818</v>
      </c>
      <c r="W40" s="48">
        <v>6</v>
      </c>
      <c r="X40" s="78"/>
      <c r="Y40" s="78"/>
      <c r="Z40" s="39">
        <f t="shared" si="7"/>
        <v>0</v>
      </c>
      <c r="AA40" s="39">
        <f t="shared" si="1"/>
        <v>1</v>
      </c>
      <c r="AB40" s="39">
        <f t="shared" si="8"/>
        <v>0</v>
      </c>
      <c r="AC40" s="39">
        <f t="shared" si="2"/>
        <v>0</v>
      </c>
      <c r="AD40" s="39">
        <f t="shared" si="3"/>
        <v>0</v>
      </c>
      <c r="AE40" s="39">
        <f t="shared" si="4"/>
        <v>0</v>
      </c>
      <c r="AF40" s="39">
        <f t="shared" si="5"/>
        <v>0</v>
      </c>
      <c r="AG40" s="39">
        <f t="shared" si="6"/>
        <v>0</v>
      </c>
    </row>
    <row r="41" spans="1:35" s="16" customFormat="1" ht="35.1" customHeight="1" x14ac:dyDescent="0.25">
      <c r="A41" s="61">
        <v>40</v>
      </c>
      <c r="B41" s="66" t="s">
        <v>104</v>
      </c>
      <c r="C41" s="67" t="s">
        <v>13</v>
      </c>
      <c r="D41" s="67" t="s">
        <v>280</v>
      </c>
      <c r="E41" s="68" t="s">
        <v>14</v>
      </c>
      <c r="F41" s="66" t="s">
        <v>458</v>
      </c>
      <c r="G41" s="66" t="s">
        <v>459</v>
      </c>
      <c r="H41" s="69" t="s">
        <v>40</v>
      </c>
      <c r="I41" s="30">
        <v>12.4</v>
      </c>
      <c r="J41" s="67">
        <v>1</v>
      </c>
      <c r="K41" s="67">
        <v>12.4</v>
      </c>
      <c r="L41" s="30">
        <v>5.13</v>
      </c>
      <c r="M41" s="29"/>
      <c r="N41" s="29"/>
      <c r="O41" s="65" t="s">
        <v>638</v>
      </c>
      <c r="P41" s="70" t="s">
        <v>753</v>
      </c>
      <c r="Q41" s="24" t="s">
        <v>102</v>
      </c>
      <c r="R41" s="54" t="str">
        <f t="shared" si="0"/>
        <v>NARROW</v>
      </c>
      <c r="S41" s="29" t="s">
        <v>102</v>
      </c>
      <c r="T41" s="29" t="s">
        <v>32</v>
      </c>
      <c r="U41" s="29"/>
      <c r="V41" s="30"/>
      <c r="W41" s="48"/>
      <c r="X41" s="78"/>
      <c r="Y41" s="78"/>
      <c r="Z41" s="39">
        <f t="shared" si="7"/>
        <v>1</v>
      </c>
      <c r="AA41" s="39">
        <f t="shared" si="1"/>
        <v>1</v>
      </c>
      <c r="AB41" s="39">
        <f t="shared" si="8"/>
        <v>1</v>
      </c>
      <c r="AC41" s="39" t="str">
        <f t="shared" si="2"/>
        <v>A</v>
      </c>
      <c r="AD41" s="39" t="str">
        <f t="shared" si="3"/>
        <v>B</v>
      </c>
      <c r="AE41" s="39" t="str">
        <f t="shared" si="4"/>
        <v>C</v>
      </c>
      <c r="AF41" s="39" t="str">
        <f t="shared" si="5"/>
        <v>D</v>
      </c>
      <c r="AG41" s="39">
        <f t="shared" si="6"/>
        <v>0</v>
      </c>
      <c r="AI41" s="16">
        <f>I41</f>
        <v>12.4</v>
      </c>
    </row>
    <row r="42" spans="1:35" s="16" customFormat="1" ht="35.1" hidden="1" customHeight="1" x14ac:dyDescent="0.25">
      <c r="A42" s="61">
        <v>41</v>
      </c>
      <c r="B42" s="66" t="s">
        <v>105</v>
      </c>
      <c r="C42" s="67" t="s">
        <v>13</v>
      </c>
      <c r="D42" s="67" t="s">
        <v>281</v>
      </c>
      <c r="E42" s="68" t="s">
        <v>14</v>
      </c>
      <c r="F42" s="66" t="s">
        <v>460</v>
      </c>
      <c r="G42" s="66" t="s">
        <v>34</v>
      </c>
      <c r="H42" s="69" t="s">
        <v>40</v>
      </c>
      <c r="I42" s="30">
        <v>18.100000000000001</v>
      </c>
      <c r="J42" s="67">
        <v>1</v>
      </c>
      <c r="K42" s="67">
        <v>18.100000000000001</v>
      </c>
      <c r="L42" s="30">
        <v>9.8000000000000007</v>
      </c>
      <c r="M42" s="29"/>
      <c r="N42" s="29"/>
      <c r="O42" s="65" t="s">
        <v>639</v>
      </c>
      <c r="P42" s="70" t="s">
        <v>753</v>
      </c>
      <c r="Q42" s="24" t="s">
        <v>102</v>
      </c>
      <c r="R42" s="54" t="str">
        <f t="shared" si="0"/>
        <v>OK</v>
      </c>
      <c r="S42" s="29" t="s">
        <v>102</v>
      </c>
      <c r="T42" s="29" t="s">
        <v>32</v>
      </c>
      <c r="U42" s="29"/>
      <c r="V42" s="30"/>
      <c r="W42" s="48"/>
      <c r="X42" s="78"/>
      <c r="Y42" s="78"/>
      <c r="Z42" s="39">
        <f t="shared" si="7"/>
        <v>0</v>
      </c>
      <c r="AA42" s="39">
        <f t="shared" si="1"/>
        <v>1</v>
      </c>
      <c r="AB42" s="39">
        <f t="shared" si="8"/>
        <v>1</v>
      </c>
      <c r="AC42" s="39">
        <f t="shared" si="2"/>
        <v>0</v>
      </c>
      <c r="AD42" s="39">
        <f t="shared" si="3"/>
        <v>0</v>
      </c>
      <c r="AE42" s="39" t="str">
        <f t="shared" si="4"/>
        <v>C</v>
      </c>
      <c r="AF42" s="39">
        <f t="shared" si="5"/>
        <v>0</v>
      </c>
      <c r="AG42" s="39">
        <f t="shared" si="6"/>
        <v>0</v>
      </c>
      <c r="AI42" s="16">
        <f>I42</f>
        <v>18.100000000000001</v>
      </c>
    </row>
    <row r="43" spans="1:35" s="16" customFormat="1" ht="35.1" hidden="1" customHeight="1" x14ac:dyDescent="0.25">
      <c r="A43" s="61">
        <v>42</v>
      </c>
      <c r="B43" s="66" t="s">
        <v>36</v>
      </c>
      <c r="C43" s="67" t="s">
        <v>13</v>
      </c>
      <c r="D43" s="67" t="s">
        <v>317</v>
      </c>
      <c r="E43" s="68" t="s">
        <v>14</v>
      </c>
      <c r="F43" s="66" t="s">
        <v>492</v>
      </c>
      <c r="G43" s="66" t="s">
        <v>493</v>
      </c>
      <c r="H43" s="69" t="s">
        <v>851</v>
      </c>
      <c r="I43" s="30">
        <v>99.2</v>
      </c>
      <c r="J43" s="67">
        <v>3</v>
      </c>
      <c r="K43" s="67">
        <v>37.799999999999997</v>
      </c>
      <c r="L43" s="30">
        <v>11.7</v>
      </c>
      <c r="M43" s="29"/>
      <c r="N43" s="29"/>
      <c r="O43" s="65" t="s">
        <v>669</v>
      </c>
      <c r="P43" s="70" t="s">
        <v>731</v>
      </c>
      <c r="Q43" s="24" t="s">
        <v>102</v>
      </c>
      <c r="R43" s="54" t="str">
        <f t="shared" si="0"/>
        <v>OK</v>
      </c>
      <c r="S43" s="29" t="s">
        <v>102</v>
      </c>
      <c r="T43" s="29" t="s">
        <v>32</v>
      </c>
      <c r="U43" s="29"/>
      <c r="V43" s="30"/>
      <c r="W43" s="48"/>
      <c r="X43" s="78"/>
      <c r="Y43" s="78"/>
      <c r="Z43" s="39">
        <f t="shared" si="7"/>
        <v>0</v>
      </c>
      <c r="AA43" s="39">
        <f t="shared" si="1"/>
        <v>1</v>
      </c>
      <c r="AB43" s="39">
        <f t="shared" si="8"/>
        <v>1</v>
      </c>
      <c r="AC43" s="39">
        <f t="shared" si="2"/>
        <v>0</v>
      </c>
      <c r="AD43" s="39">
        <f t="shared" si="3"/>
        <v>0</v>
      </c>
      <c r="AE43" s="39" t="str">
        <f t="shared" si="4"/>
        <v>C</v>
      </c>
      <c r="AF43" s="39">
        <f t="shared" si="5"/>
        <v>0</v>
      </c>
      <c r="AG43" s="39">
        <f t="shared" si="6"/>
        <v>0</v>
      </c>
    </row>
    <row r="44" spans="1:35" ht="35.1" customHeight="1" x14ac:dyDescent="0.25">
      <c r="A44" s="61">
        <v>43</v>
      </c>
      <c r="B44" s="66" t="s">
        <v>106</v>
      </c>
      <c r="C44" s="67" t="s">
        <v>13</v>
      </c>
      <c r="D44" s="67" t="s">
        <v>282</v>
      </c>
      <c r="E44" s="68" t="s">
        <v>14</v>
      </c>
      <c r="F44" s="66" t="s">
        <v>461</v>
      </c>
      <c r="G44" s="66" t="s">
        <v>34</v>
      </c>
      <c r="H44" s="69" t="s">
        <v>851</v>
      </c>
      <c r="I44" s="30">
        <v>18.5</v>
      </c>
      <c r="J44" s="67">
        <v>2</v>
      </c>
      <c r="K44" s="67">
        <v>9.25</v>
      </c>
      <c r="L44" s="30">
        <v>6.03</v>
      </c>
      <c r="M44" s="29"/>
      <c r="N44" s="29"/>
      <c r="O44" s="65" t="s">
        <v>640</v>
      </c>
      <c r="P44" s="70" t="s">
        <v>753</v>
      </c>
      <c r="Q44" s="24" t="s">
        <v>102</v>
      </c>
      <c r="R44" s="54" t="str">
        <f t="shared" si="0"/>
        <v>NARROW</v>
      </c>
      <c r="S44" s="29" t="s">
        <v>102</v>
      </c>
      <c r="T44" s="29" t="s">
        <v>32</v>
      </c>
      <c r="U44" s="29"/>
      <c r="V44" s="30"/>
      <c r="W44" s="48"/>
      <c r="X44" s="78"/>
      <c r="Y44" s="78"/>
      <c r="Z44" s="39">
        <f t="shared" si="7"/>
        <v>1</v>
      </c>
      <c r="AA44" s="39">
        <f t="shared" si="1"/>
        <v>1</v>
      </c>
      <c r="AB44" s="39">
        <f t="shared" si="8"/>
        <v>1</v>
      </c>
      <c r="AC44" s="39" t="str">
        <f t="shared" si="2"/>
        <v>A</v>
      </c>
      <c r="AD44" s="39" t="str">
        <f t="shared" si="3"/>
        <v>B</v>
      </c>
      <c r="AE44" s="39" t="str">
        <f t="shared" si="4"/>
        <v>C</v>
      </c>
      <c r="AF44" s="39" t="str">
        <f t="shared" si="5"/>
        <v>D</v>
      </c>
      <c r="AG44" s="39">
        <f t="shared" si="6"/>
        <v>0</v>
      </c>
    </row>
    <row r="45" spans="1:35" ht="35.1" hidden="1" customHeight="1" x14ac:dyDescent="0.25">
      <c r="A45" s="61">
        <v>44</v>
      </c>
      <c r="B45" s="66" t="s">
        <v>106</v>
      </c>
      <c r="C45" s="67" t="s">
        <v>13</v>
      </c>
      <c r="D45" s="67" t="s">
        <v>320</v>
      </c>
      <c r="E45" s="68" t="s">
        <v>14</v>
      </c>
      <c r="F45" s="66" t="s">
        <v>458</v>
      </c>
      <c r="G45" s="66" t="s">
        <v>497</v>
      </c>
      <c r="H45" s="69" t="s">
        <v>522</v>
      </c>
      <c r="I45" s="30">
        <v>21</v>
      </c>
      <c r="J45" s="67">
        <v>2</v>
      </c>
      <c r="K45" s="67">
        <v>10.5</v>
      </c>
      <c r="L45" s="30">
        <v>9</v>
      </c>
      <c r="M45" s="30"/>
      <c r="N45" s="30"/>
      <c r="O45" s="65" t="s">
        <v>671</v>
      </c>
      <c r="P45" s="70" t="s">
        <v>730</v>
      </c>
      <c r="Q45" s="24" t="s">
        <v>857</v>
      </c>
      <c r="R45" s="54" t="str">
        <f t="shared" si="0"/>
        <v>OK</v>
      </c>
      <c r="S45" s="29" t="s">
        <v>27</v>
      </c>
      <c r="T45" s="29" t="s">
        <v>33</v>
      </c>
      <c r="U45" s="29"/>
      <c r="V45" s="30"/>
      <c r="W45" s="48"/>
      <c r="X45" s="78"/>
      <c r="Y45" s="78"/>
      <c r="Z45" s="39">
        <f t="shared" si="7"/>
        <v>0</v>
      </c>
      <c r="AA45" s="39">
        <f t="shared" si="1"/>
        <v>0</v>
      </c>
      <c r="AB45" s="39">
        <f t="shared" si="8"/>
        <v>0</v>
      </c>
      <c r="AC45" s="39">
        <f t="shared" si="2"/>
        <v>0</v>
      </c>
      <c r="AD45" s="39">
        <f t="shared" si="3"/>
        <v>0</v>
      </c>
      <c r="AE45" s="39">
        <f t="shared" si="4"/>
        <v>0</v>
      </c>
      <c r="AF45" s="39">
        <f t="shared" si="5"/>
        <v>0</v>
      </c>
      <c r="AG45" s="39" t="str">
        <f t="shared" si="6"/>
        <v>E</v>
      </c>
    </row>
    <row r="46" spans="1:35" ht="35.1" hidden="1" customHeight="1" x14ac:dyDescent="0.25">
      <c r="A46" s="61">
        <v>45</v>
      </c>
      <c r="B46" s="66" t="s">
        <v>138</v>
      </c>
      <c r="C46" s="67" t="s">
        <v>13</v>
      </c>
      <c r="D46" s="67" t="s">
        <v>318</v>
      </c>
      <c r="E46" s="68" t="s">
        <v>14</v>
      </c>
      <c r="F46" s="66" t="s">
        <v>494</v>
      </c>
      <c r="G46" s="66" t="s">
        <v>494</v>
      </c>
      <c r="H46" s="69" t="s">
        <v>522</v>
      </c>
      <c r="I46" s="30">
        <v>7.4</v>
      </c>
      <c r="J46" s="67">
        <v>1</v>
      </c>
      <c r="K46" s="67">
        <v>7.4</v>
      </c>
      <c r="L46" s="30">
        <v>6.9</v>
      </c>
      <c r="M46" s="30"/>
      <c r="N46" s="30"/>
      <c r="O46" s="65" t="s">
        <v>670</v>
      </c>
      <c r="P46" s="70" t="s">
        <v>731</v>
      </c>
      <c r="Q46" s="24" t="s">
        <v>857</v>
      </c>
      <c r="R46" s="54" t="str">
        <f t="shared" si="0"/>
        <v>NARROW</v>
      </c>
      <c r="S46" s="29" t="s">
        <v>27</v>
      </c>
      <c r="T46" s="29" t="s">
        <v>32</v>
      </c>
      <c r="U46" s="29"/>
      <c r="V46" s="43">
        <v>2932</v>
      </c>
      <c r="W46" s="48">
        <v>2</v>
      </c>
      <c r="X46" s="78"/>
      <c r="Y46" s="78"/>
      <c r="Z46" s="39">
        <f t="shared" si="7"/>
        <v>1</v>
      </c>
      <c r="AA46" s="39">
        <f t="shared" si="1"/>
        <v>1</v>
      </c>
      <c r="AB46" s="39">
        <f t="shared" si="8"/>
        <v>0</v>
      </c>
      <c r="AC46" s="39">
        <f t="shared" si="2"/>
        <v>0</v>
      </c>
      <c r="AD46" s="39" t="str">
        <f t="shared" si="3"/>
        <v>B</v>
      </c>
      <c r="AE46" s="39">
        <f t="shared" si="4"/>
        <v>0</v>
      </c>
      <c r="AF46" s="39">
        <f t="shared" si="5"/>
        <v>0</v>
      </c>
      <c r="AG46" s="39">
        <f t="shared" si="6"/>
        <v>0</v>
      </c>
    </row>
    <row r="47" spans="1:35" ht="35.1" hidden="1" customHeight="1" x14ac:dyDescent="0.25">
      <c r="A47" s="61">
        <v>46</v>
      </c>
      <c r="B47" s="66" t="s">
        <v>141</v>
      </c>
      <c r="C47" s="67" t="s">
        <v>13</v>
      </c>
      <c r="D47" s="67" t="s">
        <v>322</v>
      </c>
      <c r="E47" s="68" t="s">
        <v>14</v>
      </c>
      <c r="F47" s="66" t="s">
        <v>141</v>
      </c>
      <c r="G47" s="66" t="s">
        <v>498</v>
      </c>
      <c r="H47" s="69" t="s">
        <v>522</v>
      </c>
      <c r="I47" s="30">
        <v>21</v>
      </c>
      <c r="J47" s="67">
        <v>1</v>
      </c>
      <c r="K47" s="67">
        <v>21</v>
      </c>
      <c r="L47" s="30">
        <v>13.5</v>
      </c>
      <c r="M47" s="30">
        <v>2014</v>
      </c>
      <c r="N47" s="30"/>
      <c r="O47" s="65" t="s">
        <v>672</v>
      </c>
      <c r="P47" s="70" t="s">
        <v>730</v>
      </c>
      <c r="Q47" s="24" t="s">
        <v>27</v>
      </c>
      <c r="R47" s="54" t="str">
        <f t="shared" si="0"/>
        <v>OK</v>
      </c>
      <c r="S47" s="29" t="s">
        <v>27</v>
      </c>
      <c r="T47" s="29" t="s">
        <v>33</v>
      </c>
      <c r="U47" s="29"/>
      <c r="V47" s="43"/>
      <c r="W47" s="48"/>
      <c r="X47" s="78"/>
      <c r="Y47" s="78"/>
      <c r="Z47" s="39">
        <f t="shared" si="7"/>
        <v>0</v>
      </c>
      <c r="AA47" s="39">
        <f t="shared" si="1"/>
        <v>0</v>
      </c>
      <c r="AB47" s="39">
        <f t="shared" si="8"/>
        <v>0</v>
      </c>
      <c r="AC47" s="39">
        <f t="shared" si="2"/>
        <v>0</v>
      </c>
      <c r="AD47" s="39">
        <f t="shared" si="3"/>
        <v>0</v>
      </c>
      <c r="AE47" s="39">
        <f t="shared" si="4"/>
        <v>0</v>
      </c>
      <c r="AF47" s="39">
        <f t="shared" si="5"/>
        <v>0</v>
      </c>
      <c r="AG47" s="39" t="str">
        <f t="shared" si="6"/>
        <v>E</v>
      </c>
    </row>
    <row r="48" spans="1:35" ht="35.1" hidden="1" customHeight="1" x14ac:dyDescent="0.25">
      <c r="A48" s="61">
        <v>47</v>
      </c>
      <c r="B48" s="66" t="s">
        <v>142</v>
      </c>
      <c r="C48" s="67" t="s">
        <v>13</v>
      </c>
      <c r="D48" s="67" t="s">
        <v>323</v>
      </c>
      <c r="E48" s="68" t="s">
        <v>14</v>
      </c>
      <c r="F48" s="66" t="s">
        <v>142</v>
      </c>
      <c r="G48" s="66" t="s">
        <v>499</v>
      </c>
      <c r="H48" s="69" t="s">
        <v>851</v>
      </c>
      <c r="I48" s="30">
        <v>44</v>
      </c>
      <c r="J48" s="67">
        <v>3</v>
      </c>
      <c r="K48" s="67">
        <v>14</v>
      </c>
      <c r="L48" s="30">
        <v>4.5999999999999996</v>
      </c>
      <c r="M48" s="29"/>
      <c r="N48" s="29"/>
      <c r="O48" s="65" t="s">
        <v>673</v>
      </c>
      <c r="P48" s="70" t="s">
        <v>753</v>
      </c>
      <c r="Q48" s="24" t="s">
        <v>102</v>
      </c>
      <c r="R48" s="54" t="str">
        <f t="shared" si="0"/>
        <v>NARROW</v>
      </c>
      <c r="S48" s="29" t="s">
        <v>102</v>
      </c>
      <c r="T48" s="29" t="s">
        <v>33</v>
      </c>
      <c r="U48" s="29"/>
      <c r="V48" s="30"/>
      <c r="W48" s="48"/>
      <c r="X48" s="78"/>
      <c r="Y48" s="78"/>
      <c r="Z48" s="39">
        <f t="shared" si="7"/>
        <v>1</v>
      </c>
      <c r="AA48" s="39">
        <f t="shared" si="1"/>
        <v>0</v>
      </c>
      <c r="AB48" s="39">
        <f t="shared" si="8"/>
        <v>1</v>
      </c>
      <c r="AC48" s="39" t="str">
        <f t="shared" si="2"/>
        <v>A</v>
      </c>
      <c r="AD48" s="39">
        <f t="shared" si="3"/>
        <v>0</v>
      </c>
      <c r="AE48" s="39">
        <f t="shared" si="4"/>
        <v>0</v>
      </c>
      <c r="AF48" s="39">
        <f t="shared" si="5"/>
        <v>0</v>
      </c>
      <c r="AG48" s="39">
        <f t="shared" si="6"/>
        <v>0</v>
      </c>
    </row>
    <row r="49" spans="1:35" ht="35.1" hidden="1" customHeight="1" x14ac:dyDescent="0.25">
      <c r="A49" s="61">
        <v>48</v>
      </c>
      <c r="B49" s="66" t="s">
        <v>143</v>
      </c>
      <c r="C49" s="67" t="s">
        <v>13</v>
      </c>
      <c r="D49" s="67" t="s">
        <v>324</v>
      </c>
      <c r="E49" s="68" t="s">
        <v>14</v>
      </c>
      <c r="F49" s="66" t="s">
        <v>143</v>
      </c>
      <c r="G49" s="66" t="s">
        <v>500</v>
      </c>
      <c r="H49" s="69" t="s">
        <v>851</v>
      </c>
      <c r="I49" s="30">
        <v>33.6</v>
      </c>
      <c r="J49" s="67">
        <v>1</v>
      </c>
      <c r="K49" s="67">
        <v>33.6</v>
      </c>
      <c r="L49" s="30">
        <v>5.3</v>
      </c>
      <c r="M49" s="29"/>
      <c r="N49" s="29"/>
      <c r="O49" s="65" t="s">
        <v>674</v>
      </c>
      <c r="P49" s="70" t="s">
        <v>753</v>
      </c>
      <c r="Q49" s="24" t="s">
        <v>102</v>
      </c>
      <c r="R49" s="54" t="str">
        <f t="shared" si="0"/>
        <v>NARROW</v>
      </c>
      <c r="S49" s="29" t="s">
        <v>102</v>
      </c>
      <c r="T49" s="29" t="s">
        <v>33</v>
      </c>
      <c r="U49" s="29"/>
      <c r="V49" s="30"/>
      <c r="W49" s="48"/>
      <c r="X49" s="78"/>
      <c r="Y49" s="78"/>
      <c r="Z49" s="39">
        <f t="shared" si="7"/>
        <v>1</v>
      </c>
      <c r="AA49" s="39">
        <f t="shared" si="1"/>
        <v>0</v>
      </c>
      <c r="AB49" s="39">
        <f t="shared" si="8"/>
        <v>1</v>
      </c>
      <c r="AC49" s="39" t="str">
        <f t="shared" si="2"/>
        <v>A</v>
      </c>
      <c r="AD49" s="39">
        <f t="shared" si="3"/>
        <v>0</v>
      </c>
      <c r="AE49" s="39">
        <f t="shared" si="4"/>
        <v>0</v>
      </c>
      <c r="AF49" s="39">
        <f t="shared" si="5"/>
        <v>0</v>
      </c>
      <c r="AG49" s="39">
        <f t="shared" si="6"/>
        <v>0</v>
      </c>
    </row>
    <row r="50" spans="1:35" ht="35.1" hidden="1" customHeight="1" x14ac:dyDescent="0.25">
      <c r="A50" s="61">
        <v>49</v>
      </c>
      <c r="B50" s="66" t="s">
        <v>36</v>
      </c>
      <c r="C50" s="67" t="s">
        <v>13</v>
      </c>
      <c r="D50" s="67" t="s">
        <v>325</v>
      </c>
      <c r="E50" s="68" t="s">
        <v>14</v>
      </c>
      <c r="F50" s="66" t="s">
        <v>871</v>
      </c>
      <c r="G50" s="66" t="s">
        <v>871</v>
      </c>
      <c r="H50" s="69" t="s">
        <v>851</v>
      </c>
      <c r="I50" s="30">
        <v>77.3</v>
      </c>
      <c r="J50" s="67">
        <v>3</v>
      </c>
      <c r="K50" s="67">
        <v>31.8</v>
      </c>
      <c r="L50" s="30">
        <v>10.199999999999999</v>
      </c>
      <c r="M50" s="30"/>
      <c r="N50" s="30"/>
      <c r="O50" s="65" t="s">
        <v>860</v>
      </c>
      <c r="P50" s="70" t="s">
        <v>731</v>
      </c>
      <c r="Q50" s="24" t="s">
        <v>102</v>
      </c>
      <c r="R50" s="54" t="str">
        <f t="shared" si="0"/>
        <v>OK</v>
      </c>
      <c r="S50" s="29" t="s">
        <v>102</v>
      </c>
      <c r="T50" s="29" t="s">
        <v>32</v>
      </c>
      <c r="U50" s="29"/>
      <c r="V50" s="30"/>
      <c r="W50" s="48"/>
      <c r="X50" s="78"/>
      <c r="Y50" s="78"/>
      <c r="Z50" s="39">
        <f t="shared" si="7"/>
        <v>0</v>
      </c>
      <c r="AA50" s="39">
        <f t="shared" si="1"/>
        <v>1</v>
      </c>
      <c r="AB50" s="39">
        <f t="shared" si="8"/>
        <v>1</v>
      </c>
      <c r="AC50" s="39">
        <f t="shared" si="2"/>
        <v>0</v>
      </c>
      <c r="AD50" s="39">
        <f t="shared" si="3"/>
        <v>0</v>
      </c>
      <c r="AE50" s="39" t="str">
        <f t="shared" si="4"/>
        <v>C</v>
      </c>
      <c r="AF50" s="39">
        <f t="shared" si="5"/>
        <v>0</v>
      </c>
      <c r="AG50" s="39">
        <f t="shared" si="6"/>
        <v>0</v>
      </c>
    </row>
    <row r="51" spans="1:35" ht="35.1" hidden="1" customHeight="1" x14ac:dyDescent="0.25">
      <c r="A51" s="61">
        <v>50</v>
      </c>
      <c r="B51" s="66" t="s">
        <v>144</v>
      </c>
      <c r="C51" s="67" t="s">
        <v>13</v>
      </c>
      <c r="D51" s="67" t="s">
        <v>326</v>
      </c>
      <c r="E51" s="68" t="s">
        <v>14</v>
      </c>
      <c r="F51" s="66" t="s">
        <v>465</v>
      </c>
      <c r="G51" s="66" t="s">
        <v>501</v>
      </c>
      <c r="H51" s="69" t="s">
        <v>853</v>
      </c>
      <c r="I51" s="30">
        <v>21</v>
      </c>
      <c r="J51" s="67">
        <v>1</v>
      </c>
      <c r="K51" s="67">
        <v>21</v>
      </c>
      <c r="L51" s="30">
        <v>5</v>
      </c>
      <c r="M51" s="29"/>
      <c r="N51" s="29"/>
      <c r="O51" s="65" t="s">
        <v>675</v>
      </c>
      <c r="P51" s="70" t="s">
        <v>753</v>
      </c>
      <c r="Q51" s="24" t="s">
        <v>102</v>
      </c>
      <c r="R51" s="54" t="str">
        <f t="shared" si="0"/>
        <v>NARROW</v>
      </c>
      <c r="S51" s="29" t="s">
        <v>102</v>
      </c>
      <c r="T51" s="29" t="s">
        <v>33</v>
      </c>
      <c r="U51" s="29"/>
      <c r="V51" s="30"/>
      <c r="W51" s="48"/>
      <c r="X51" s="78"/>
      <c r="Y51" s="78"/>
      <c r="Z51" s="39">
        <f t="shared" si="7"/>
        <v>1</v>
      </c>
      <c r="AA51" s="39">
        <f t="shared" si="1"/>
        <v>0</v>
      </c>
      <c r="AB51" s="39">
        <f t="shared" si="8"/>
        <v>1</v>
      </c>
      <c r="AC51" s="39" t="str">
        <f t="shared" si="2"/>
        <v>A</v>
      </c>
      <c r="AD51" s="39">
        <f t="shared" si="3"/>
        <v>0</v>
      </c>
      <c r="AE51" s="39">
        <f t="shared" si="4"/>
        <v>0</v>
      </c>
      <c r="AF51" s="39">
        <f t="shared" si="5"/>
        <v>0</v>
      </c>
      <c r="AG51" s="39">
        <f t="shared" si="6"/>
        <v>0</v>
      </c>
      <c r="AI51" s="1">
        <f>I51</f>
        <v>21</v>
      </c>
    </row>
    <row r="52" spans="1:35" ht="35.1" hidden="1" customHeight="1" x14ac:dyDescent="0.25">
      <c r="A52" s="61">
        <v>51</v>
      </c>
      <c r="B52" s="66" t="s">
        <v>107</v>
      </c>
      <c r="C52" s="67" t="s">
        <v>13</v>
      </c>
      <c r="D52" s="67" t="s">
        <v>283</v>
      </c>
      <c r="E52" s="68" t="s">
        <v>14</v>
      </c>
      <c r="F52" s="66" t="s">
        <v>462</v>
      </c>
      <c r="G52" s="66" t="s">
        <v>463</v>
      </c>
      <c r="H52" s="69" t="s">
        <v>853</v>
      </c>
      <c r="I52" s="30">
        <v>46</v>
      </c>
      <c r="J52" s="67">
        <v>1</v>
      </c>
      <c r="K52" s="67">
        <v>46</v>
      </c>
      <c r="L52" s="30">
        <v>6.2</v>
      </c>
      <c r="M52" s="29"/>
      <c r="N52" s="29"/>
      <c r="O52" s="65" t="s">
        <v>754</v>
      </c>
      <c r="P52" s="70" t="s">
        <v>753</v>
      </c>
      <c r="Q52" s="24" t="s">
        <v>857</v>
      </c>
      <c r="R52" s="54" t="str">
        <f t="shared" si="0"/>
        <v>NARROW</v>
      </c>
      <c r="S52" s="29" t="s">
        <v>27</v>
      </c>
      <c r="T52" s="29" t="s">
        <v>32</v>
      </c>
      <c r="U52" s="29"/>
      <c r="V52" s="30"/>
      <c r="W52" s="48"/>
      <c r="X52" s="78"/>
      <c r="Y52" s="78"/>
      <c r="Z52" s="39">
        <f t="shared" si="7"/>
        <v>1</v>
      </c>
      <c r="AA52" s="39">
        <f t="shared" si="1"/>
        <v>1</v>
      </c>
      <c r="AB52" s="39">
        <f t="shared" si="8"/>
        <v>0</v>
      </c>
      <c r="AC52" s="39">
        <f t="shared" si="2"/>
        <v>0</v>
      </c>
      <c r="AD52" s="39" t="str">
        <f t="shared" si="3"/>
        <v>B</v>
      </c>
      <c r="AE52" s="39">
        <f t="shared" si="4"/>
        <v>0</v>
      </c>
      <c r="AF52" s="39">
        <f t="shared" si="5"/>
        <v>0</v>
      </c>
      <c r="AG52" s="39">
        <f t="shared" si="6"/>
        <v>0</v>
      </c>
      <c r="AI52" s="1">
        <f>I52</f>
        <v>46</v>
      </c>
    </row>
    <row r="53" spans="1:35" s="5" customFormat="1" ht="35.1" customHeight="1" x14ac:dyDescent="0.25">
      <c r="A53" s="61">
        <v>52</v>
      </c>
      <c r="B53" s="66" t="s">
        <v>52</v>
      </c>
      <c r="C53" s="67" t="s">
        <v>13</v>
      </c>
      <c r="D53" s="67" t="s">
        <v>284</v>
      </c>
      <c r="E53" s="68" t="s">
        <v>14</v>
      </c>
      <c r="F53" s="66" t="s">
        <v>464</v>
      </c>
      <c r="G53" s="66" t="s">
        <v>465</v>
      </c>
      <c r="H53" s="69" t="s">
        <v>853</v>
      </c>
      <c r="I53" s="30">
        <v>83</v>
      </c>
      <c r="J53" s="67">
        <v>4</v>
      </c>
      <c r="K53" s="67">
        <v>27.5</v>
      </c>
      <c r="L53" s="30">
        <v>6</v>
      </c>
      <c r="M53" s="30"/>
      <c r="N53" s="30"/>
      <c r="O53" s="65" t="s">
        <v>641</v>
      </c>
      <c r="P53" s="70" t="s">
        <v>753</v>
      </c>
      <c r="Q53" s="24" t="s">
        <v>102</v>
      </c>
      <c r="R53" s="54" t="str">
        <f t="shared" si="0"/>
        <v>NARROW</v>
      </c>
      <c r="S53" s="29" t="s">
        <v>102</v>
      </c>
      <c r="T53" s="29" t="s">
        <v>32</v>
      </c>
      <c r="U53" s="29"/>
      <c r="V53" s="30"/>
      <c r="W53" s="48"/>
      <c r="X53" s="78"/>
      <c r="Y53" s="78"/>
      <c r="Z53" s="39">
        <f t="shared" si="7"/>
        <v>1</v>
      </c>
      <c r="AA53" s="39">
        <f t="shared" si="1"/>
        <v>1</v>
      </c>
      <c r="AB53" s="39">
        <f t="shared" si="8"/>
        <v>1</v>
      </c>
      <c r="AC53" s="39" t="str">
        <f t="shared" si="2"/>
        <v>A</v>
      </c>
      <c r="AD53" s="39" t="str">
        <f t="shared" si="3"/>
        <v>B</v>
      </c>
      <c r="AE53" s="39" t="str">
        <f t="shared" si="4"/>
        <v>C</v>
      </c>
      <c r="AF53" s="39" t="str">
        <f t="shared" si="5"/>
        <v>D</v>
      </c>
      <c r="AG53" s="39">
        <f t="shared" si="6"/>
        <v>0</v>
      </c>
      <c r="AI53" s="5">
        <f>I53</f>
        <v>83</v>
      </c>
    </row>
    <row r="54" spans="1:35" ht="35.1" hidden="1" customHeight="1" x14ac:dyDescent="0.25">
      <c r="A54" s="61">
        <v>53</v>
      </c>
      <c r="B54" s="66" t="s">
        <v>146</v>
      </c>
      <c r="C54" s="67" t="s">
        <v>13</v>
      </c>
      <c r="D54" s="67" t="s">
        <v>329</v>
      </c>
      <c r="E54" s="68" t="s">
        <v>14</v>
      </c>
      <c r="F54" s="66" t="s">
        <v>506</v>
      </c>
      <c r="G54" s="66" t="s">
        <v>507</v>
      </c>
      <c r="H54" s="69" t="s">
        <v>522</v>
      </c>
      <c r="I54" s="30">
        <v>7.5</v>
      </c>
      <c r="J54" s="67">
        <v>1</v>
      </c>
      <c r="K54" s="67">
        <v>7.5</v>
      </c>
      <c r="L54" s="30">
        <v>14</v>
      </c>
      <c r="M54" s="30"/>
      <c r="N54" s="30"/>
      <c r="O54" s="65" t="s">
        <v>677</v>
      </c>
      <c r="P54" s="70" t="s">
        <v>730</v>
      </c>
      <c r="Q54" s="24" t="s">
        <v>27</v>
      </c>
      <c r="R54" s="54" t="str">
        <f t="shared" si="0"/>
        <v>OK</v>
      </c>
      <c r="S54" s="29" t="s">
        <v>27</v>
      </c>
      <c r="T54" s="29" t="s">
        <v>33</v>
      </c>
      <c r="U54" s="29"/>
      <c r="V54" s="43">
        <v>10741</v>
      </c>
      <c r="W54" s="48">
        <v>6</v>
      </c>
      <c r="X54" s="78"/>
      <c r="Y54" s="78"/>
      <c r="Z54" s="39">
        <f t="shared" si="7"/>
        <v>0</v>
      </c>
      <c r="AA54" s="39">
        <f t="shared" si="1"/>
        <v>0</v>
      </c>
      <c r="AB54" s="39">
        <f t="shared" si="8"/>
        <v>0</v>
      </c>
      <c r="AC54" s="39">
        <f t="shared" si="2"/>
        <v>0</v>
      </c>
      <c r="AD54" s="39">
        <f t="shared" si="3"/>
        <v>0</v>
      </c>
      <c r="AE54" s="39">
        <f t="shared" si="4"/>
        <v>0</v>
      </c>
      <c r="AF54" s="39">
        <f t="shared" si="5"/>
        <v>0</v>
      </c>
      <c r="AG54" s="39" t="str">
        <f t="shared" si="6"/>
        <v>E</v>
      </c>
    </row>
    <row r="55" spans="1:35" ht="35.1" hidden="1" customHeight="1" x14ac:dyDescent="0.25">
      <c r="A55" s="61">
        <v>54</v>
      </c>
      <c r="B55" s="66" t="s">
        <v>147</v>
      </c>
      <c r="C55" s="67" t="s">
        <v>13</v>
      </c>
      <c r="D55" s="67" t="s">
        <v>330</v>
      </c>
      <c r="E55" s="68" t="s">
        <v>14</v>
      </c>
      <c r="F55" s="66" t="s">
        <v>147</v>
      </c>
      <c r="G55" s="66" t="s">
        <v>147</v>
      </c>
      <c r="H55" s="69" t="s">
        <v>522</v>
      </c>
      <c r="I55" s="30">
        <v>68.8</v>
      </c>
      <c r="J55" s="67">
        <v>3</v>
      </c>
      <c r="K55" s="67">
        <v>25.6</v>
      </c>
      <c r="L55" s="30">
        <v>11.3</v>
      </c>
      <c r="M55" s="30">
        <v>1997</v>
      </c>
      <c r="N55" s="30"/>
      <c r="O55" s="65" t="s">
        <v>872</v>
      </c>
      <c r="P55" s="70" t="s">
        <v>730</v>
      </c>
      <c r="Q55" s="24" t="s">
        <v>857</v>
      </c>
      <c r="R55" s="54" t="str">
        <f t="shared" si="0"/>
        <v>OK</v>
      </c>
      <c r="S55" s="29" t="s">
        <v>27</v>
      </c>
      <c r="T55" s="29" t="s">
        <v>32</v>
      </c>
      <c r="U55" s="29"/>
      <c r="V55" s="43">
        <v>10741</v>
      </c>
      <c r="W55" s="48">
        <v>6</v>
      </c>
      <c r="X55" s="78"/>
      <c r="Y55" s="78"/>
      <c r="Z55" s="39">
        <f t="shared" si="7"/>
        <v>0</v>
      </c>
      <c r="AA55" s="39">
        <f t="shared" si="1"/>
        <v>1</v>
      </c>
      <c r="AB55" s="39">
        <f t="shared" si="8"/>
        <v>0</v>
      </c>
      <c r="AC55" s="39">
        <f t="shared" si="2"/>
        <v>0</v>
      </c>
      <c r="AD55" s="39">
        <f t="shared" si="3"/>
        <v>0</v>
      </c>
      <c r="AE55" s="39">
        <f t="shared" si="4"/>
        <v>0</v>
      </c>
      <c r="AF55" s="39">
        <f t="shared" si="5"/>
        <v>0</v>
      </c>
      <c r="AG55" s="39">
        <f t="shared" si="6"/>
        <v>0</v>
      </c>
    </row>
    <row r="56" spans="1:35" ht="35.1" hidden="1" customHeight="1" x14ac:dyDescent="0.25">
      <c r="A56" s="61">
        <v>55</v>
      </c>
      <c r="B56" s="66" t="s">
        <v>148</v>
      </c>
      <c r="C56" s="67" t="s">
        <v>13</v>
      </c>
      <c r="D56" s="68" t="s">
        <v>331</v>
      </c>
      <c r="E56" s="68" t="s">
        <v>14</v>
      </c>
      <c r="F56" s="66" t="s">
        <v>148</v>
      </c>
      <c r="G56" s="66" t="s">
        <v>508</v>
      </c>
      <c r="H56" s="69" t="s">
        <v>522</v>
      </c>
      <c r="I56" s="30">
        <v>160</v>
      </c>
      <c r="J56" s="67">
        <v>6</v>
      </c>
      <c r="K56" s="67">
        <v>27</v>
      </c>
      <c r="L56" s="30">
        <v>10.199999999999999</v>
      </c>
      <c r="M56" s="29"/>
      <c r="N56" s="29"/>
      <c r="O56" s="65" t="s">
        <v>21</v>
      </c>
      <c r="P56" s="70" t="s">
        <v>730</v>
      </c>
      <c r="Q56" s="24" t="s">
        <v>27</v>
      </c>
      <c r="R56" s="54" t="str">
        <f t="shared" si="0"/>
        <v>OK</v>
      </c>
      <c r="S56" s="29" t="s">
        <v>27</v>
      </c>
      <c r="T56" s="29" t="s">
        <v>33</v>
      </c>
      <c r="U56" s="29"/>
      <c r="V56" s="36"/>
      <c r="W56" s="50"/>
      <c r="X56" s="79"/>
      <c r="Y56" s="79"/>
      <c r="Z56" s="39">
        <f t="shared" si="7"/>
        <v>0</v>
      </c>
      <c r="AA56" s="39">
        <f t="shared" si="1"/>
        <v>0</v>
      </c>
      <c r="AB56" s="39">
        <f t="shared" si="8"/>
        <v>0</v>
      </c>
      <c r="AC56" s="39">
        <f t="shared" si="2"/>
        <v>0</v>
      </c>
      <c r="AD56" s="39">
        <f t="shared" si="3"/>
        <v>0</v>
      </c>
      <c r="AE56" s="39">
        <f t="shared" si="4"/>
        <v>0</v>
      </c>
      <c r="AF56" s="39">
        <f t="shared" si="5"/>
        <v>0</v>
      </c>
      <c r="AG56" s="39" t="str">
        <f t="shared" si="6"/>
        <v>E</v>
      </c>
    </row>
    <row r="57" spans="1:35" ht="35.1" hidden="1" customHeight="1" x14ac:dyDescent="0.25">
      <c r="A57" s="61">
        <v>56</v>
      </c>
      <c r="B57" s="66" t="s">
        <v>149</v>
      </c>
      <c r="C57" s="67" t="s">
        <v>13</v>
      </c>
      <c r="D57" s="67" t="s">
        <v>332</v>
      </c>
      <c r="E57" s="68" t="s">
        <v>14</v>
      </c>
      <c r="F57" s="66" t="s">
        <v>149</v>
      </c>
      <c r="G57" s="66" t="s">
        <v>509</v>
      </c>
      <c r="H57" s="69" t="s">
        <v>15</v>
      </c>
      <c r="I57" s="30">
        <v>24</v>
      </c>
      <c r="J57" s="67">
        <v>1</v>
      </c>
      <c r="K57" s="67">
        <v>24</v>
      </c>
      <c r="L57" s="30">
        <v>9.9</v>
      </c>
      <c r="M57" s="29"/>
      <c r="N57" s="29"/>
      <c r="O57" s="65" t="s">
        <v>678</v>
      </c>
      <c r="P57" s="70" t="s">
        <v>730</v>
      </c>
      <c r="Q57" s="24" t="s">
        <v>102</v>
      </c>
      <c r="R57" s="54" t="str">
        <f t="shared" si="0"/>
        <v>OK</v>
      </c>
      <c r="S57" s="29" t="s">
        <v>102</v>
      </c>
      <c r="T57" s="29" t="s">
        <v>33</v>
      </c>
      <c r="U57" s="29"/>
      <c r="V57" s="30"/>
      <c r="W57" s="48"/>
      <c r="X57" s="78"/>
      <c r="Y57" s="78"/>
      <c r="Z57" s="39">
        <f t="shared" si="7"/>
        <v>0</v>
      </c>
      <c r="AA57" s="39">
        <f t="shared" si="1"/>
        <v>0</v>
      </c>
      <c r="AB57" s="39">
        <f t="shared" si="8"/>
        <v>1</v>
      </c>
      <c r="AC57" s="39">
        <f t="shared" si="2"/>
        <v>0</v>
      </c>
      <c r="AD57" s="39">
        <f t="shared" si="3"/>
        <v>0</v>
      </c>
      <c r="AE57" s="39">
        <f t="shared" si="4"/>
        <v>0</v>
      </c>
      <c r="AF57" s="39">
        <f t="shared" si="5"/>
        <v>0</v>
      </c>
      <c r="AG57" s="39">
        <f t="shared" si="6"/>
        <v>0</v>
      </c>
    </row>
    <row r="58" spans="1:35" ht="35.1" hidden="1" customHeight="1" x14ac:dyDescent="0.25">
      <c r="A58" s="61">
        <v>57</v>
      </c>
      <c r="B58" s="66" t="s">
        <v>150</v>
      </c>
      <c r="C58" s="67" t="s">
        <v>13</v>
      </c>
      <c r="D58" s="67" t="s">
        <v>333</v>
      </c>
      <c r="E58" s="68" t="s">
        <v>14</v>
      </c>
      <c r="F58" s="66" t="s">
        <v>510</v>
      </c>
      <c r="G58" s="66" t="s">
        <v>511</v>
      </c>
      <c r="H58" s="69" t="s">
        <v>522</v>
      </c>
      <c r="I58" s="30">
        <v>16.5</v>
      </c>
      <c r="J58" s="67">
        <v>1</v>
      </c>
      <c r="K58" s="67">
        <v>16.5</v>
      </c>
      <c r="L58" s="30">
        <v>11.3</v>
      </c>
      <c r="M58" s="30"/>
      <c r="N58" s="30"/>
      <c r="O58" s="65" t="s">
        <v>21</v>
      </c>
      <c r="P58" s="70" t="s">
        <v>730</v>
      </c>
      <c r="Q58" s="24" t="s">
        <v>27</v>
      </c>
      <c r="R58" s="54" t="str">
        <f t="shared" si="0"/>
        <v>OK</v>
      </c>
      <c r="S58" s="29" t="s">
        <v>27</v>
      </c>
      <c r="T58" s="29" t="s">
        <v>33</v>
      </c>
      <c r="U58" s="29"/>
      <c r="V58" s="30"/>
      <c r="W58" s="48"/>
      <c r="X58" s="78"/>
      <c r="Y58" s="78"/>
      <c r="Z58" s="39">
        <f t="shared" si="7"/>
        <v>0</v>
      </c>
      <c r="AA58" s="39">
        <f t="shared" si="1"/>
        <v>0</v>
      </c>
      <c r="AB58" s="39">
        <f t="shared" si="8"/>
        <v>0</v>
      </c>
      <c r="AC58" s="39">
        <f t="shared" si="2"/>
        <v>0</v>
      </c>
      <c r="AD58" s="39">
        <f t="shared" si="3"/>
        <v>0</v>
      </c>
      <c r="AE58" s="39">
        <f t="shared" si="4"/>
        <v>0</v>
      </c>
      <c r="AF58" s="39">
        <f t="shared" si="5"/>
        <v>0</v>
      </c>
      <c r="AG58" s="39" t="str">
        <f t="shared" si="6"/>
        <v>E</v>
      </c>
    </row>
    <row r="59" spans="1:35" ht="35.1" hidden="1" customHeight="1" x14ac:dyDescent="0.25">
      <c r="A59" s="61">
        <v>58</v>
      </c>
      <c r="B59" s="66" t="s">
        <v>139</v>
      </c>
      <c r="C59" s="67" t="s">
        <v>13</v>
      </c>
      <c r="D59" s="67" t="s">
        <v>319</v>
      </c>
      <c r="E59" s="68" t="s">
        <v>14</v>
      </c>
      <c r="F59" s="66" t="s">
        <v>495</v>
      </c>
      <c r="G59" s="66" t="s">
        <v>496</v>
      </c>
      <c r="H59" s="69" t="s">
        <v>522</v>
      </c>
      <c r="I59" s="30">
        <v>18.5</v>
      </c>
      <c r="J59" s="67">
        <v>1</v>
      </c>
      <c r="K59" s="67">
        <v>12.4</v>
      </c>
      <c r="L59" s="30">
        <v>6.8</v>
      </c>
      <c r="M59" s="29"/>
      <c r="N59" s="29"/>
      <c r="O59" s="65" t="s">
        <v>873</v>
      </c>
      <c r="P59" s="70" t="s">
        <v>731</v>
      </c>
      <c r="Q59" s="24" t="s">
        <v>857</v>
      </c>
      <c r="R59" s="54" t="str">
        <f t="shared" si="0"/>
        <v>NARROW</v>
      </c>
      <c r="S59" s="29" t="s">
        <v>27</v>
      </c>
      <c r="T59" s="29" t="s">
        <v>32</v>
      </c>
      <c r="U59" s="29"/>
      <c r="V59" s="30"/>
      <c r="W59" s="48"/>
      <c r="X59" s="78"/>
      <c r="Y59" s="78"/>
      <c r="Z59" s="39">
        <f t="shared" si="7"/>
        <v>1</v>
      </c>
      <c r="AA59" s="39">
        <f t="shared" si="1"/>
        <v>1</v>
      </c>
      <c r="AB59" s="39">
        <f t="shared" si="8"/>
        <v>0</v>
      </c>
      <c r="AC59" s="39">
        <f t="shared" si="2"/>
        <v>0</v>
      </c>
      <c r="AD59" s="39" t="str">
        <f t="shared" si="3"/>
        <v>B</v>
      </c>
      <c r="AE59" s="39">
        <f t="shared" si="4"/>
        <v>0</v>
      </c>
      <c r="AF59" s="39">
        <f t="shared" si="5"/>
        <v>0</v>
      </c>
      <c r="AG59" s="39">
        <f t="shared" si="6"/>
        <v>0</v>
      </c>
    </row>
    <row r="60" spans="1:35" ht="35.1" customHeight="1" x14ac:dyDescent="0.25">
      <c r="A60" s="61">
        <v>59</v>
      </c>
      <c r="B60" s="66" t="s">
        <v>108</v>
      </c>
      <c r="C60" s="67" t="s">
        <v>13</v>
      </c>
      <c r="D60" s="67" t="s">
        <v>285</v>
      </c>
      <c r="E60" s="68" t="s">
        <v>14</v>
      </c>
      <c r="F60" s="66" t="s">
        <v>187</v>
      </c>
      <c r="G60" s="66" t="s">
        <v>466</v>
      </c>
      <c r="H60" s="69" t="s">
        <v>40</v>
      </c>
      <c r="I60" s="30">
        <v>27.8</v>
      </c>
      <c r="J60" s="67">
        <v>1</v>
      </c>
      <c r="K60" s="67">
        <v>27.8</v>
      </c>
      <c r="L60" s="30">
        <v>6.5</v>
      </c>
      <c r="M60" s="29"/>
      <c r="N60" s="29"/>
      <c r="O60" s="65" t="s">
        <v>642</v>
      </c>
      <c r="P60" s="70" t="s">
        <v>753</v>
      </c>
      <c r="Q60" s="24" t="s">
        <v>102</v>
      </c>
      <c r="R60" s="54" t="str">
        <f t="shared" si="0"/>
        <v>NARROW</v>
      </c>
      <c r="S60" s="29" t="s">
        <v>102</v>
      </c>
      <c r="T60" s="29" t="s">
        <v>32</v>
      </c>
      <c r="U60" s="29"/>
      <c r="V60" s="30"/>
      <c r="W60" s="48"/>
      <c r="X60" s="78"/>
      <c r="Y60" s="78"/>
      <c r="Z60" s="39">
        <f t="shared" si="7"/>
        <v>1</v>
      </c>
      <c r="AA60" s="39">
        <f t="shared" si="1"/>
        <v>1</v>
      </c>
      <c r="AB60" s="39">
        <f t="shared" si="8"/>
        <v>1</v>
      </c>
      <c r="AC60" s="39" t="str">
        <f t="shared" si="2"/>
        <v>A</v>
      </c>
      <c r="AD60" s="39" t="str">
        <f t="shared" si="3"/>
        <v>B</v>
      </c>
      <c r="AE60" s="39" t="str">
        <f t="shared" si="4"/>
        <v>C</v>
      </c>
      <c r="AF60" s="39" t="str">
        <f t="shared" si="5"/>
        <v>D</v>
      </c>
      <c r="AG60" s="39">
        <f t="shared" si="6"/>
        <v>0</v>
      </c>
      <c r="AI60" s="1">
        <f>I60</f>
        <v>27.8</v>
      </c>
    </row>
    <row r="61" spans="1:35" ht="35.1" hidden="1" customHeight="1" x14ac:dyDescent="0.25">
      <c r="A61" s="61">
        <v>60</v>
      </c>
      <c r="B61" s="66" t="s">
        <v>140</v>
      </c>
      <c r="C61" s="67" t="s">
        <v>13</v>
      </c>
      <c r="D61" s="67" t="s">
        <v>321</v>
      </c>
      <c r="E61" s="68" t="s">
        <v>14</v>
      </c>
      <c r="F61" s="66" t="s">
        <v>140</v>
      </c>
      <c r="G61" s="66" t="s">
        <v>140</v>
      </c>
      <c r="H61" s="69" t="s">
        <v>522</v>
      </c>
      <c r="I61" s="30">
        <v>36</v>
      </c>
      <c r="J61" s="67">
        <v>3</v>
      </c>
      <c r="K61" s="67">
        <v>12</v>
      </c>
      <c r="L61" s="30">
        <v>12</v>
      </c>
      <c r="M61" s="30"/>
      <c r="N61" s="30"/>
      <c r="O61" s="65" t="s">
        <v>874</v>
      </c>
      <c r="P61" s="70" t="s">
        <v>731</v>
      </c>
      <c r="Q61" s="24" t="s">
        <v>857</v>
      </c>
      <c r="R61" s="54" t="str">
        <f t="shared" si="0"/>
        <v>OK</v>
      </c>
      <c r="S61" s="29" t="s">
        <v>27</v>
      </c>
      <c r="T61" s="29" t="s">
        <v>32</v>
      </c>
      <c r="U61" s="29"/>
      <c r="V61" s="43">
        <v>4401</v>
      </c>
      <c r="W61" s="48">
        <v>11</v>
      </c>
      <c r="X61" s="78"/>
      <c r="Y61" s="78"/>
      <c r="Z61" s="39">
        <f t="shared" si="7"/>
        <v>0</v>
      </c>
      <c r="AA61" s="39">
        <f t="shared" si="1"/>
        <v>1</v>
      </c>
      <c r="AB61" s="39">
        <f t="shared" si="8"/>
        <v>0</v>
      </c>
      <c r="AC61" s="39">
        <f t="shared" si="2"/>
        <v>0</v>
      </c>
      <c r="AD61" s="39">
        <f t="shared" si="3"/>
        <v>0</v>
      </c>
      <c r="AE61" s="39">
        <f t="shared" si="4"/>
        <v>0</v>
      </c>
      <c r="AF61" s="39">
        <f t="shared" si="5"/>
        <v>0</v>
      </c>
      <c r="AG61" s="39">
        <f t="shared" si="6"/>
        <v>0</v>
      </c>
    </row>
    <row r="62" spans="1:35" ht="35.1" hidden="1" customHeight="1" x14ac:dyDescent="0.25">
      <c r="A62" s="61">
        <v>61</v>
      </c>
      <c r="B62" s="66" t="s">
        <v>145</v>
      </c>
      <c r="C62" s="67" t="s">
        <v>13</v>
      </c>
      <c r="D62" s="67" t="s">
        <v>327</v>
      </c>
      <c r="E62" s="68" t="s">
        <v>14</v>
      </c>
      <c r="F62" s="66" t="s">
        <v>502</v>
      </c>
      <c r="G62" s="66" t="s">
        <v>503</v>
      </c>
      <c r="H62" s="69" t="s">
        <v>15</v>
      </c>
      <c r="I62" s="30">
        <v>50</v>
      </c>
      <c r="J62" s="67">
        <v>1</v>
      </c>
      <c r="K62" s="67">
        <v>50</v>
      </c>
      <c r="L62" s="30">
        <v>12.05</v>
      </c>
      <c r="M62" s="30"/>
      <c r="N62" s="30"/>
      <c r="O62" s="65" t="s">
        <v>676</v>
      </c>
      <c r="P62" s="70" t="s">
        <v>731</v>
      </c>
      <c r="Q62" s="24" t="s">
        <v>857</v>
      </c>
      <c r="R62" s="54" t="str">
        <f t="shared" si="0"/>
        <v>OK</v>
      </c>
      <c r="S62" s="29" t="s">
        <v>27</v>
      </c>
      <c r="T62" s="29" t="s">
        <v>32</v>
      </c>
      <c r="U62" s="29"/>
      <c r="V62" s="30"/>
      <c r="W62" s="48"/>
      <c r="X62" s="78"/>
      <c r="Y62" s="78"/>
      <c r="Z62" s="39">
        <f t="shared" si="7"/>
        <v>0</v>
      </c>
      <c r="AA62" s="39">
        <f t="shared" si="1"/>
        <v>1</v>
      </c>
      <c r="AB62" s="39">
        <f t="shared" si="8"/>
        <v>0</v>
      </c>
      <c r="AC62" s="39">
        <f t="shared" si="2"/>
        <v>0</v>
      </c>
      <c r="AD62" s="39">
        <f t="shared" si="3"/>
        <v>0</v>
      </c>
      <c r="AE62" s="39">
        <f t="shared" si="4"/>
        <v>0</v>
      </c>
      <c r="AF62" s="39">
        <f t="shared" si="5"/>
        <v>0</v>
      </c>
      <c r="AG62" s="39">
        <f t="shared" si="6"/>
        <v>0</v>
      </c>
    </row>
    <row r="63" spans="1:35" ht="54" hidden="1" customHeight="1" x14ac:dyDescent="0.25">
      <c r="A63" s="61">
        <v>62</v>
      </c>
      <c r="B63" s="66" t="s">
        <v>155</v>
      </c>
      <c r="C63" s="67" t="s">
        <v>13</v>
      </c>
      <c r="D63" s="67" t="s">
        <v>338</v>
      </c>
      <c r="E63" s="68" t="s">
        <v>14</v>
      </c>
      <c r="F63" s="66" t="s">
        <v>48</v>
      </c>
      <c r="G63" s="66" t="s">
        <v>516</v>
      </c>
      <c r="H63" s="69" t="s">
        <v>522</v>
      </c>
      <c r="I63" s="30">
        <v>20</v>
      </c>
      <c r="J63" s="67">
        <v>1</v>
      </c>
      <c r="K63" s="67"/>
      <c r="L63" s="30">
        <v>12.2</v>
      </c>
      <c r="M63" s="30">
        <v>2015</v>
      </c>
      <c r="N63" s="30"/>
      <c r="O63" s="65" t="s">
        <v>681</v>
      </c>
      <c r="P63" s="70" t="s">
        <v>730</v>
      </c>
      <c r="Q63" s="24" t="s">
        <v>857</v>
      </c>
      <c r="R63" s="54" t="str">
        <f t="shared" si="0"/>
        <v>OK</v>
      </c>
      <c r="S63" s="29" t="s">
        <v>27</v>
      </c>
      <c r="T63" s="29" t="s">
        <v>32</v>
      </c>
      <c r="U63" s="29"/>
      <c r="V63" s="30"/>
      <c r="W63" s="48"/>
      <c r="X63" s="78"/>
      <c r="Y63" s="78"/>
      <c r="Z63" s="39">
        <f t="shared" si="7"/>
        <v>0</v>
      </c>
      <c r="AA63" s="39">
        <f t="shared" si="1"/>
        <v>1</v>
      </c>
      <c r="AB63" s="39">
        <f t="shared" si="8"/>
        <v>0</v>
      </c>
      <c r="AC63" s="39">
        <f t="shared" si="2"/>
        <v>0</v>
      </c>
      <c r="AD63" s="39">
        <f t="shared" si="3"/>
        <v>0</v>
      </c>
      <c r="AE63" s="39">
        <f t="shared" si="4"/>
        <v>0</v>
      </c>
      <c r="AF63" s="39">
        <f t="shared" si="5"/>
        <v>0</v>
      </c>
      <c r="AG63" s="39">
        <f t="shared" si="6"/>
        <v>0</v>
      </c>
    </row>
    <row r="64" spans="1:35" ht="35.1" customHeight="1" x14ac:dyDescent="0.25">
      <c r="A64" s="61">
        <v>63</v>
      </c>
      <c r="B64" s="66" t="s">
        <v>52</v>
      </c>
      <c r="C64" s="67" t="s">
        <v>13</v>
      </c>
      <c r="D64" s="67" t="s">
        <v>328</v>
      </c>
      <c r="E64" s="68" t="s">
        <v>14</v>
      </c>
      <c r="F64" s="66" t="s">
        <v>504</v>
      </c>
      <c r="G64" s="66" t="s">
        <v>505</v>
      </c>
      <c r="H64" s="69" t="s">
        <v>522</v>
      </c>
      <c r="I64" s="30">
        <v>56.9</v>
      </c>
      <c r="J64" s="67">
        <v>5</v>
      </c>
      <c r="K64" s="67">
        <v>12.45</v>
      </c>
      <c r="L64" s="30">
        <v>5.95</v>
      </c>
      <c r="M64" s="29"/>
      <c r="N64" s="29"/>
      <c r="O64" s="65" t="s">
        <v>862</v>
      </c>
      <c r="P64" s="70" t="s">
        <v>731</v>
      </c>
      <c r="Q64" s="24" t="s">
        <v>102</v>
      </c>
      <c r="R64" s="54" t="str">
        <f t="shared" si="0"/>
        <v>NARROW</v>
      </c>
      <c r="S64" s="29" t="s">
        <v>102</v>
      </c>
      <c r="T64" s="29" t="s">
        <v>32</v>
      </c>
      <c r="U64" s="29"/>
      <c r="V64" s="43">
        <v>5149</v>
      </c>
      <c r="W64" s="48">
        <v>4</v>
      </c>
      <c r="X64" s="78"/>
      <c r="Y64" s="78"/>
      <c r="Z64" s="39">
        <f t="shared" si="7"/>
        <v>1</v>
      </c>
      <c r="AA64" s="39">
        <f t="shared" si="1"/>
        <v>1</v>
      </c>
      <c r="AB64" s="39">
        <f t="shared" si="8"/>
        <v>1</v>
      </c>
      <c r="AC64" s="39" t="str">
        <f t="shared" si="2"/>
        <v>A</v>
      </c>
      <c r="AD64" s="39" t="str">
        <f t="shared" si="3"/>
        <v>B</v>
      </c>
      <c r="AE64" s="39" t="str">
        <f t="shared" si="4"/>
        <v>C</v>
      </c>
      <c r="AF64" s="39" t="str">
        <f t="shared" si="5"/>
        <v>D</v>
      </c>
      <c r="AG64" s="39">
        <f t="shared" si="6"/>
        <v>0</v>
      </c>
    </row>
    <row r="65" spans="1:35" ht="35.1" hidden="1" customHeight="1" x14ac:dyDescent="0.25">
      <c r="A65" s="61">
        <v>64</v>
      </c>
      <c r="B65" s="66" t="s">
        <v>157</v>
      </c>
      <c r="C65" s="67" t="s">
        <v>13</v>
      </c>
      <c r="D65" s="67" t="s">
        <v>340</v>
      </c>
      <c r="E65" s="68" t="s">
        <v>14</v>
      </c>
      <c r="F65" s="66" t="s">
        <v>157</v>
      </c>
      <c r="G65" s="66" t="s">
        <v>519</v>
      </c>
      <c r="H65" s="69" t="s">
        <v>40</v>
      </c>
      <c r="I65" s="30">
        <v>24.75</v>
      </c>
      <c r="J65" s="67">
        <v>1</v>
      </c>
      <c r="K65" s="67">
        <v>24.75</v>
      </c>
      <c r="L65" s="30">
        <v>6.5</v>
      </c>
      <c r="M65" s="29"/>
      <c r="N65" s="29"/>
      <c r="O65" s="65" t="s">
        <v>683</v>
      </c>
      <c r="P65" s="70" t="s">
        <v>730</v>
      </c>
      <c r="Q65" s="24" t="s">
        <v>857</v>
      </c>
      <c r="R65" s="54" t="str">
        <f t="shared" si="0"/>
        <v>NARROW</v>
      </c>
      <c r="S65" s="29" t="s">
        <v>102</v>
      </c>
      <c r="T65" s="29" t="s">
        <v>33</v>
      </c>
      <c r="U65" s="29"/>
      <c r="V65" s="30"/>
      <c r="W65" s="48"/>
      <c r="X65" s="78"/>
      <c r="Y65" s="78"/>
      <c r="Z65" s="39">
        <f t="shared" si="7"/>
        <v>1</v>
      </c>
      <c r="AA65" s="39">
        <f t="shared" si="1"/>
        <v>0</v>
      </c>
      <c r="AB65" s="39">
        <f t="shared" si="8"/>
        <v>1</v>
      </c>
      <c r="AC65" s="39" t="str">
        <f t="shared" si="2"/>
        <v>A</v>
      </c>
      <c r="AD65" s="39">
        <f t="shared" si="3"/>
        <v>0</v>
      </c>
      <c r="AE65" s="39">
        <f t="shared" si="4"/>
        <v>0</v>
      </c>
      <c r="AF65" s="39">
        <f t="shared" si="5"/>
        <v>0</v>
      </c>
      <c r="AG65" s="39">
        <f t="shared" si="6"/>
        <v>0</v>
      </c>
      <c r="AI65" s="1">
        <f>I65</f>
        <v>24.75</v>
      </c>
    </row>
    <row r="66" spans="1:35" ht="35.1" hidden="1" customHeight="1" x14ac:dyDescent="0.25">
      <c r="A66" s="61">
        <v>65</v>
      </c>
      <c r="B66" s="66" t="s">
        <v>158</v>
      </c>
      <c r="C66" s="67" t="s">
        <v>13</v>
      </c>
      <c r="D66" s="67" t="s">
        <v>341</v>
      </c>
      <c r="E66" s="68" t="s">
        <v>14</v>
      </c>
      <c r="F66" s="66" t="s">
        <v>520</v>
      </c>
      <c r="G66" s="66" t="s">
        <v>158</v>
      </c>
      <c r="H66" s="69" t="s">
        <v>522</v>
      </c>
      <c r="I66" s="30">
        <v>24</v>
      </c>
      <c r="J66" s="67">
        <v>2</v>
      </c>
      <c r="K66" s="67">
        <v>12</v>
      </c>
      <c r="L66" s="30">
        <v>10.6</v>
      </c>
      <c r="M66" s="30"/>
      <c r="N66" s="30"/>
      <c r="O66" s="65" t="s">
        <v>684</v>
      </c>
      <c r="P66" s="70" t="s">
        <v>730</v>
      </c>
      <c r="Q66" s="24" t="s">
        <v>857</v>
      </c>
      <c r="R66" s="54" t="str">
        <f t="shared" ref="R66:R129" si="9">IF(L66&lt;7.3,"NARROW","OK")</f>
        <v>OK</v>
      </c>
      <c r="S66" s="29" t="s">
        <v>27</v>
      </c>
      <c r="T66" s="29" t="s">
        <v>32</v>
      </c>
      <c r="U66" s="29"/>
      <c r="V66" s="30"/>
      <c r="W66" s="48"/>
      <c r="X66" s="78"/>
      <c r="Y66" s="78"/>
      <c r="Z66" s="39">
        <f t="shared" si="7"/>
        <v>0</v>
      </c>
      <c r="AA66" s="39">
        <f t="shared" ref="AA66:AA129" si="10">IF(T66= "UNSAFE",1,0)</f>
        <v>1</v>
      </c>
      <c r="AB66" s="39">
        <f t="shared" si="8"/>
        <v>0</v>
      </c>
      <c r="AC66" s="39">
        <f t="shared" ref="AC66:AC78" si="11">IF(Z66+AB66=2,"A",0)</f>
        <v>0</v>
      </c>
      <c r="AD66" s="39">
        <f t="shared" ref="AD66:AD129" si="12">IF(Z66+AA66=2,"B",0)</f>
        <v>0</v>
      </c>
      <c r="AE66" s="39">
        <f t="shared" ref="AE66:AE129" si="13">IF(AB66+AA66=2,"C",0)</f>
        <v>0</v>
      </c>
      <c r="AF66" s="39">
        <f t="shared" ref="AF66:AF129" si="14">IF(Z66+AB66+AA66=3,"D",0)</f>
        <v>0</v>
      </c>
      <c r="AG66" s="39">
        <f t="shared" ref="AG66:AG129" si="15">IF(Z66+AB66+AA66=0,"E",0)</f>
        <v>0</v>
      </c>
    </row>
    <row r="67" spans="1:35" ht="35.1" customHeight="1" x14ac:dyDescent="0.25">
      <c r="A67" s="61">
        <v>66</v>
      </c>
      <c r="B67" s="66" t="s">
        <v>109</v>
      </c>
      <c r="C67" s="67" t="s">
        <v>13</v>
      </c>
      <c r="D67" s="67" t="s">
        <v>286</v>
      </c>
      <c r="E67" s="68" t="s">
        <v>14</v>
      </c>
      <c r="F67" s="66" t="s">
        <v>109</v>
      </c>
      <c r="G67" s="66" t="s">
        <v>139</v>
      </c>
      <c r="H67" s="69" t="s">
        <v>40</v>
      </c>
      <c r="I67" s="30">
        <v>31</v>
      </c>
      <c r="J67" s="67">
        <v>1</v>
      </c>
      <c r="K67" s="67">
        <v>31</v>
      </c>
      <c r="L67" s="30">
        <v>6.53</v>
      </c>
      <c r="M67" s="30">
        <v>1997</v>
      </c>
      <c r="N67" s="30"/>
      <c r="O67" s="65" t="s">
        <v>643</v>
      </c>
      <c r="P67" s="70" t="s">
        <v>753</v>
      </c>
      <c r="Q67" s="24" t="s">
        <v>857</v>
      </c>
      <c r="R67" s="54" t="str">
        <f t="shared" si="9"/>
        <v>NARROW</v>
      </c>
      <c r="S67" s="29" t="s">
        <v>102</v>
      </c>
      <c r="T67" s="29" t="s">
        <v>32</v>
      </c>
      <c r="U67" s="29"/>
      <c r="V67" s="30"/>
      <c r="W67" s="48"/>
      <c r="X67" s="78"/>
      <c r="Y67" s="78"/>
      <c r="Z67" s="39">
        <f t="shared" ref="Z67:Z130" si="16">IF(R67="NARROW",1,0)</f>
        <v>1</v>
      </c>
      <c r="AA67" s="39">
        <f t="shared" si="10"/>
        <v>1</v>
      </c>
      <c r="AB67" s="39">
        <f t="shared" ref="AB67:AB130" si="17">IF(S67= "POOR",1,0)</f>
        <v>1</v>
      </c>
      <c r="AC67" s="39" t="str">
        <f t="shared" si="11"/>
        <v>A</v>
      </c>
      <c r="AD67" s="39" t="str">
        <f t="shared" si="12"/>
        <v>B</v>
      </c>
      <c r="AE67" s="39" t="str">
        <f t="shared" si="13"/>
        <v>C</v>
      </c>
      <c r="AF67" s="39" t="str">
        <f t="shared" si="14"/>
        <v>D</v>
      </c>
      <c r="AG67" s="39">
        <f t="shared" si="15"/>
        <v>0</v>
      </c>
      <c r="AI67" s="1">
        <f>I67</f>
        <v>31</v>
      </c>
    </row>
    <row r="68" spans="1:35" ht="35.1" hidden="1" customHeight="1" x14ac:dyDescent="0.25">
      <c r="A68" s="61">
        <v>67</v>
      </c>
      <c r="B68" s="66" t="s">
        <v>151</v>
      </c>
      <c r="C68" s="67" t="s">
        <v>13</v>
      </c>
      <c r="D68" s="67" t="s">
        <v>343</v>
      </c>
      <c r="E68" s="68" t="s">
        <v>14</v>
      </c>
      <c r="F68" s="66" t="s">
        <v>523</v>
      </c>
      <c r="G68" s="66" t="s">
        <v>524</v>
      </c>
      <c r="H68" s="69" t="s">
        <v>522</v>
      </c>
      <c r="I68" s="30">
        <v>38.6</v>
      </c>
      <c r="J68" s="67">
        <v>2</v>
      </c>
      <c r="K68" s="67"/>
      <c r="L68" s="30">
        <v>6.7</v>
      </c>
      <c r="M68" s="29"/>
      <c r="N68" s="29"/>
      <c r="O68" s="65" t="s">
        <v>21</v>
      </c>
      <c r="P68" s="70" t="s">
        <v>730</v>
      </c>
      <c r="Q68" s="24" t="s">
        <v>27</v>
      </c>
      <c r="R68" s="54" t="str">
        <f t="shared" si="9"/>
        <v>NARROW</v>
      </c>
      <c r="S68" s="29" t="s">
        <v>27</v>
      </c>
      <c r="T68" s="29" t="s">
        <v>33</v>
      </c>
      <c r="U68" s="29"/>
      <c r="V68" s="30"/>
      <c r="W68" s="48"/>
      <c r="X68" s="78"/>
      <c r="Y68" s="78"/>
      <c r="Z68" s="39">
        <f t="shared" si="16"/>
        <v>1</v>
      </c>
      <c r="AA68" s="39">
        <f t="shared" si="10"/>
        <v>0</v>
      </c>
      <c r="AB68" s="39">
        <f t="shared" si="17"/>
        <v>0</v>
      </c>
      <c r="AC68" s="39">
        <f t="shared" si="11"/>
        <v>0</v>
      </c>
      <c r="AD68" s="39">
        <f t="shared" si="12"/>
        <v>0</v>
      </c>
      <c r="AE68" s="39">
        <f t="shared" si="13"/>
        <v>0</v>
      </c>
      <c r="AF68" s="39">
        <f t="shared" si="14"/>
        <v>0</v>
      </c>
      <c r="AG68" s="39">
        <f t="shared" si="15"/>
        <v>0</v>
      </c>
    </row>
    <row r="69" spans="1:35" ht="35.1" customHeight="1" x14ac:dyDescent="0.25">
      <c r="A69" s="61">
        <v>68</v>
      </c>
      <c r="B69" s="66" t="s">
        <v>151</v>
      </c>
      <c r="C69" s="67" t="s">
        <v>13</v>
      </c>
      <c r="D69" s="68" t="s">
        <v>334</v>
      </c>
      <c r="E69" s="68" t="s">
        <v>14</v>
      </c>
      <c r="F69" s="66" t="s">
        <v>43</v>
      </c>
      <c r="G69" s="66" t="s">
        <v>512</v>
      </c>
      <c r="H69" s="69" t="s">
        <v>522</v>
      </c>
      <c r="I69" s="30">
        <v>50</v>
      </c>
      <c r="J69" s="67">
        <v>1</v>
      </c>
      <c r="K69" s="67">
        <v>20</v>
      </c>
      <c r="L69" s="30">
        <v>6.7</v>
      </c>
      <c r="M69" s="30"/>
      <c r="N69" s="30"/>
      <c r="O69" s="65" t="s">
        <v>875</v>
      </c>
      <c r="P69" s="70" t="s">
        <v>731</v>
      </c>
      <c r="Q69" s="24" t="s">
        <v>102</v>
      </c>
      <c r="R69" s="54" t="str">
        <f t="shared" si="9"/>
        <v>NARROW</v>
      </c>
      <c r="S69" s="29" t="s">
        <v>102</v>
      </c>
      <c r="T69" s="29" t="s">
        <v>32</v>
      </c>
      <c r="U69" s="29"/>
      <c r="V69" s="36"/>
      <c r="W69" s="50"/>
      <c r="X69" s="79"/>
      <c r="Y69" s="79"/>
      <c r="Z69" s="39">
        <f t="shared" si="16"/>
        <v>1</v>
      </c>
      <c r="AA69" s="39">
        <f t="shared" si="10"/>
        <v>1</v>
      </c>
      <c r="AB69" s="39">
        <f t="shared" si="17"/>
        <v>1</v>
      </c>
      <c r="AC69" s="39" t="str">
        <f t="shared" si="11"/>
        <v>A</v>
      </c>
      <c r="AD69" s="39" t="str">
        <f t="shared" si="12"/>
        <v>B</v>
      </c>
      <c r="AE69" s="39" t="str">
        <f t="shared" si="13"/>
        <v>C</v>
      </c>
      <c r="AF69" s="39" t="str">
        <f t="shared" si="14"/>
        <v>D</v>
      </c>
      <c r="AG69" s="39">
        <f t="shared" si="15"/>
        <v>0</v>
      </c>
    </row>
    <row r="70" spans="1:35" ht="35.1" hidden="1" customHeight="1" x14ac:dyDescent="0.25">
      <c r="A70" s="61">
        <v>69</v>
      </c>
      <c r="B70" s="66" t="s">
        <v>152</v>
      </c>
      <c r="C70" s="67" t="s">
        <v>13</v>
      </c>
      <c r="D70" s="67" t="s">
        <v>335</v>
      </c>
      <c r="E70" s="68" t="s">
        <v>14</v>
      </c>
      <c r="F70" s="66" t="s">
        <v>152</v>
      </c>
      <c r="G70" s="66" t="s">
        <v>152</v>
      </c>
      <c r="H70" s="69" t="s">
        <v>522</v>
      </c>
      <c r="I70" s="30">
        <v>28</v>
      </c>
      <c r="J70" s="67">
        <v>3</v>
      </c>
      <c r="K70" s="67"/>
      <c r="L70" s="30">
        <v>6.8</v>
      </c>
      <c r="M70" s="29"/>
      <c r="N70" s="29"/>
      <c r="O70" s="65" t="s">
        <v>679</v>
      </c>
      <c r="P70" s="70" t="s">
        <v>731</v>
      </c>
      <c r="Q70" s="24" t="s">
        <v>857</v>
      </c>
      <c r="R70" s="54" t="str">
        <f t="shared" si="9"/>
        <v>NARROW</v>
      </c>
      <c r="S70" s="29" t="s">
        <v>27</v>
      </c>
      <c r="T70" s="29" t="s">
        <v>32</v>
      </c>
      <c r="U70" s="29"/>
      <c r="V70" s="30"/>
      <c r="W70" s="48"/>
      <c r="X70" s="78"/>
      <c r="Y70" s="78"/>
      <c r="Z70" s="39">
        <f t="shared" si="16"/>
        <v>1</v>
      </c>
      <c r="AA70" s="39">
        <f t="shared" si="10"/>
        <v>1</v>
      </c>
      <c r="AB70" s="39">
        <f t="shared" si="17"/>
        <v>0</v>
      </c>
      <c r="AC70" s="39">
        <f t="shared" si="11"/>
        <v>0</v>
      </c>
      <c r="AD70" s="39" t="str">
        <f t="shared" si="12"/>
        <v>B</v>
      </c>
      <c r="AE70" s="39">
        <f t="shared" si="13"/>
        <v>0</v>
      </c>
      <c r="AF70" s="39">
        <f t="shared" si="14"/>
        <v>0</v>
      </c>
      <c r="AG70" s="39">
        <f t="shared" si="15"/>
        <v>0</v>
      </c>
    </row>
    <row r="71" spans="1:35" ht="35.1" hidden="1" customHeight="1" x14ac:dyDescent="0.25">
      <c r="A71" s="61">
        <v>70</v>
      </c>
      <c r="B71" s="66" t="s">
        <v>162</v>
      </c>
      <c r="C71" s="67" t="s">
        <v>13</v>
      </c>
      <c r="D71" s="67" t="s">
        <v>346</v>
      </c>
      <c r="E71" s="68" t="s">
        <v>14</v>
      </c>
      <c r="F71" s="66" t="s">
        <v>526</v>
      </c>
      <c r="G71" s="66" t="s">
        <v>513</v>
      </c>
      <c r="H71" s="69" t="s">
        <v>853</v>
      </c>
      <c r="I71" s="30">
        <v>25</v>
      </c>
      <c r="J71" s="67">
        <v>1</v>
      </c>
      <c r="K71" s="67">
        <v>25</v>
      </c>
      <c r="L71" s="30">
        <v>6.5</v>
      </c>
      <c r="M71" s="29"/>
      <c r="N71" s="29"/>
      <c r="O71" s="65" t="s">
        <v>687</v>
      </c>
      <c r="P71" s="70" t="s">
        <v>730</v>
      </c>
      <c r="Q71" s="24" t="s">
        <v>857</v>
      </c>
      <c r="R71" s="54" t="str">
        <f t="shared" si="9"/>
        <v>NARROW</v>
      </c>
      <c r="S71" s="29" t="s">
        <v>27</v>
      </c>
      <c r="T71" s="29" t="s">
        <v>33</v>
      </c>
      <c r="U71" s="29"/>
      <c r="V71" s="30"/>
      <c r="W71" s="48"/>
      <c r="X71" s="78"/>
      <c r="Y71" s="78"/>
      <c r="Z71" s="39">
        <f t="shared" si="16"/>
        <v>1</v>
      </c>
      <c r="AA71" s="39">
        <f t="shared" si="10"/>
        <v>0</v>
      </c>
      <c r="AB71" s="39">
        <f t="shared" si="17"/>
        <v>0</v>
      </c>
      <c r="AC71" s="39">
        <f t="shared" si="11"/>
        <v>0</v>
      </c>
      <c r="AD71" s="39">
        <f t="shared" si="12"/>
        <v>0</v>
      </c>
      <c r="AE71" s="39">
        <f t="shared" si="13"/>
        <v>0</v>
      </c>
      <c r="AF71" s="39">
        <f t="shared" si="14"/>
        <v>0</v>
      </c>
      <c r="AG71" s="39">
        <f t="shared" si="15"/>
        <v>0</v>
      </c>
      <c r="AI71" s="1">
        <f>I71</f>
        <v>25</v>
      </c>
    </row>
    <row r="72" spans="1:35" ht="35.1" hidden="1" customHeight="1" x14ac:dyDescent="0.25">
      <c r="A72" s="61">
        <v>71</v>
      </c>
      <c r="B72" s="66" t="s">
        <v>153</v>
      </c>
      <c r="C72" s="67" t="s">
        <v>13</v>
      </c>
      <c r="D72" s="67" t="s">
        <v>336</v>
      </c>
      <c r="E72" s="68" t="s">
        <v>14</v>
      </c>
      <c r="F72" s="66" t="s">
        <v>153</v>
      </c>
      <c r="G72" s="66" t="s">
        <v>513</v>
      </c>
      <c r="H72" s="69" t="s">
        <v>522</v>
      </c>
      <c r="I72" s="30">
        <v>25</v>
      </c>
      <c r="J72" s="67">
        <v>1</v>
      </c>
      <c r="K72" s="67">
        <v>25</v>
      </c>
      <c r="L72" s="30">
        <v>9.8000000000000007</v>
      </c>
      <c r="M72" s="30"/>
      <c r="N72" s="30"/>
      <c r="O72" s="65" t="s">
        <v>680</v>
      </c>
      <c r="P72" s="70" t="s">
        <v>731</v>
      </c>
      <c r="Q72" s="24" t="s">
        <v>857</v>
      </c>
      <c r="R72" s="54" t="str">
        <f t="shared" si="9"/>
        <v>OK</v>
      </c>
      <c r="S72" s="29" t="s">
        <v>27</v>
      </c>
      <c r="T72" s="29" t="s">
        <v>32</v>
      </c>
      <c r="U72" s="29"/>
      <c r="V72" s="30"/>
      <c r="W72" s="48"/>
      <c r="X72" s="78"/>
      <c r="Y72" s="78"/>
      <c r="Z72" s="39">
        <f t="shared" si="16"/>
        <v>0</v>
      </c>
      <c r="AA72" s="39">
        <f t="shared" si="10"/>
        <v>1</v>
      </c>
      <c r="AB72" s="39">
        <f t="shared" si="17"/>
        <v>0</v>
      </c>
      <c r="AC72" s="39">
        <f t="shared" si="11"/>
        <v>0</v>
      </c>
      <c r="AD72" s="39">
        <f t="shared" si="12"/>
        <v>0</v>
      </c>
      <c r="AE72" s="39">
        <f t="shared" si="13"/>
        <v>0</v>
      </c>
      <c r="AF72" s="39">
        <f t="shared" si="14"/>
        <v>0</v>
      </c>
      <c r="AG72" s="39">
        <f t="shared" si="15"/>
        <v>0</v>
      </c>
    </row>
    <row r="73" spans="1:35" ht="35.1" hidden="1" customHeight="1" x14ac:dyDescent="0.25">
      <c r="A73" s="61">
        <v>72</v>
      </c>
      <c r="B73" s="66" t="s">
        <v>164</v>
      </c>
      <c r="C73" s="67" t="s">
        <v>13</v>
      </c>
      <c r="D73" s="67" t="s">
        <v>348</v>
      </c>
      <c r="E73" s="68" t="s">
        <v>14</v>
      </c>
      <c r="F73" s="66" t="s">
        <v>528</v>
      </c>
      <c r="G73" s="66" t="s">
        <v>529</v>
      </c>
      <c r="H73" s="69" t="s">
        <v>851</v>
      </c>
      <c r="I73" s="30">
        <v>21.7</v>
      </c>
      <c r="J73" s="67">
        <v>1</v>
      </c>
      <c r="K73" s="67">
        <v>21.7</v>
      </c>
      <c r="L73" s="30">
        <v>6.53</v>
      </c>
      <c r="M73" s="29"/>
      <c r="N73" s="29"/>
      <c r="O73" s="65" t="s">
        <v>687</v>
      </c>
      <c r="P73" s="70" t="s">
        <v>730</v>
      </c>
      <c r="Q73" s="24" t="s">
        <v>857</v>
      </c>
      <c r="R73" s="54" t="str">
        <f t="shared" si="9"/>
        <v>NARROW</v>
      </c>
      <c r="S73" s="29" t="s">
        <v>27</v>
      </c>
      <c r="T73" s="29" t="s">
        <v>33</v>
      </c>
      <c r="U73" s="29"/>
      <c r="V73" s="30"/>
      <c r="W73" s="48"/>
      <c r="X73" s="78"/>
      <c r="Y73" s="78"/>
      <c r="Z73" s="39">
        <f t="shared" si="16"/>
        <v>1</v>
      </c>
      <c r="AA73" s="39">
        <f t="shared" si="10"/>
        <v>0</v>
      </c>
      <c r="AB73" s="39">
        <f t="shared" si="17"/>
        <v>0</v>
      </c>
      <c r="AC73" s="39">
        <f t="shared" si="11"/>
        <v>0</v>
      </c>
      <c r="AD73" s="39">
        <f t="shared" si="12"/>
        <v>0</v>
      </c>
      <c r="AE73" s="39">
        <f t="shared" si="13"/>
        <v>0</v>
      </c>
      <c r="AF73" s="39">
        <f t="shared" si="14"/>
        <v>0</v>
      </c>
      <c r="AG73" s="39">
        <f t="shared" si="15"/>
        <v>0</v>
      </c>
    </row>
    <row r="74" spans="1:35" ht="35.1" hidden="1" customHeight="1" x14ac:dyDescent="0.25">
      <c r="A74" s="61">
        <v>73</v>
      </c>
      <c r="B74" s="62" t="s">
        <v>154</v>
      </c>
      <c r="C74" s="64" t="s">
        <v>13</v>
      </c>
      <c r="D74" s="64" t="s">
        <v>337</v>
      </c>
      <c r="E74" s="61" t="s">
        <v>30</v>
      </c>
      <c r="F74" s="62" t="s">
        <v>514</v>
      </c>
      <c r="G74" s="62" t="s">
        <v>515</v>
      </c>
      <c r="H74" s="63" t="s">
        <v>522</v>
      </c>
      <c r="I74" s="29">
        <v>264.39999999999998</v>
      </c>
      <c r="J74" s="64">
        <v>7</v>
      </c>
      <c r="K74" s="64"/>
      <c r="L74" s="29">
        <v>11.3</v>
      </c>
      <c r="M74" s="29"/>
      <c r="N74" s="29"/>
      <c r="O74" s="28" t="s">
        <v>876</v>
      </c>
      <c r="P74" s="80" t="s">
        <v>731</v>
      </c>
      <c r="Q74" s="24" t="s">
        <v>102</v>
      </c>
      <c r="R74" s="54" t="str">
        <f t="shared" si="9"/>
        <v>OK</v>
      </c>
      <c r="S74" s="29" t="s">
        <v>102</v>
      </c>
      <c r="T74" s="29" t="s">
        <v>32</v>
      </c>
      <c r="U74" s="29"/>
      <c r="V74" s="43">
        <v>8148</v>
      </c>
      <c r="W74" s="46">
        <v>5</v>
      </c>
      <c r="X74" s="76"/>
      <c r="Y74" s="76"/>
      <c r="Z74" s="39">
        <f t="shared" si="16"/>
        <v>0</v>
      </c>
      <c r="AA74" s="39">
        <f t="shared" si="10"/>
        <v>1</v>
      </c>
      <c r="AB74" s="39">
        <f t="shared" si="17"/>
        <v>1</v>
      </c>
      <c r="AC74" s="39">
        <f t="shared" si="11"/>
        <v>0</v>
      </c>
      <c r="AD74" s="39">
        <f t="shared" si="12"/>
        <v>0</v>
      </c>
      <c r="AE74" s="39" t="str">
        <f t="shared" si="13"/>
        <v>C</v>
      </c>
      <c r="AF74" s="39">
        <f t="shared" si="14"/>
        <v>0</v>
      </c>
      <c r="AG74" s="39">
        <f t="shared" si="15"/>
        <v>0</v>
      </c>
    </row>
    <row r="75" spans="1:35" ht="35.1" hidden="1" customHeight="1" x14ac:dyDescent="0.25">
      <c r="A75" s="61">
        <v>74</v>
      </c>
      <c r="B75" s="62" t="s">
        <v>156</v>
      </c>
      <c r="C75" s="64" t="s">
        <v>13</v>
      </c>
      <c r="D75" s="64" t="s">
        <v>339</v>
      </c>
      <c r="E75" s="61" t="s">
        <v>30</v>
      </c>
      <c r="F75" s="62" t="s">
        <v>517</v>
      </c>
      <c r="G75" s="62" t="s">
        <v>518</v>
      </c>
      <c r="H75" s="63" t="s">
        <v>15</v>
      </c>
      <c r="I75" s="29">
        <v>36</v>
      </c>
      <c r="J75" s="64">
        <v>1</v>
      </c>
      <c r="K75" s="64"/>
      <c r="L75" s="29">
        <v>8.1999999999999993</v>
      </c>
      <c r="M75" s="30"/>
      <c r="N75" s="30"/>
      <c r="O75" s="28" t="s">
        <v>682</v>
      </c>
      <c r="P75" s="81" t="s">
        <v>731</v>
      </c>
      <c r="Q75" s="24" t="s">
        <v>102</v>
      </c>
      <c r="R75" s="54" t="str">
        <f t="shared" si="9"/>
        <v>OK</v>
      </c>
      <c r="S75" s="29" t="s">
        <v>102</v>
      </c>
      <c r="T75" s="29" t="s">
        <v>32</v>
      </c>
      <c r="U75" s="29"/>
      <c r="V75" s="43">
        <v>2305</v>
      </c>
      <c r="W75" s="46">
        <v>7</v>
      </c>
      <c r="X75" s="76"/>
      <c r="Y75" s="76"/>
      <c r="Z75" s="39">
        <f t="shared" si="16"/>
        <v>0</v>
      </c>
      <c r="AA75" s="39">
        <f t="shared" si="10"/>
        <v>1</v>
      </c>
      <c r="AB75" s="39">
        <f t="shared" si="17"/>
        <v>1</v>
      </c>
      <c r="AC75" s="39">
        <f t="shared" si="11"/>
        <v>0</v>
      </c>
      <c r="AD75" s="39">
        <f t="shared" si="12"/>
        <v>0</v>
      </c>
      <c r="AE75" s="39" t="str">
        <f t="shared" si="13"/>
        <v>C</v>
      </c>
      <c r="AF75" s="39">
        <f t="shared" si="14"/>
        <v>0</v>
      </c>
      <c r="AG75" s="39">
        <f t="shared" si="15"/>
        <v>0</v>
      </c>
    </row>
    <row r="76" spans="1:35" ht="35.1" hidden="1" customHeight="1" x14ac:dyDescent="0.25">
      <c r="A76" s="61">
        <v>75</v>
      </c>
      <c r="B76" s="62" t="s">
        <v>167</v>
      </c>
      <c r="C76" s="64" t="s">
        <v>13</v>
      </c>
      <c r="D76" s="64" t="s">
        <v>350</v>
      </c>
      <c r="E76" s="61" t="s">
        <v>30</v>
      </c>
      <c r="F76" s="62" t="s">
        <v>531</v>
      </c>
      <c r="G76" s="62" t="s">
        <v>532</v>
      </c>
      <c r="H76" s="63" t="s">
        <v>522</v>
      </c>
      <c r="I76" s="25">
        <v>11.3</v>
      </c>
      <c r="J76" s="64">
        <v>3</v>
      </c>
      <c r="K76" s="64"/>
      <c r="L76" s="29">
        <v>11.7</v>
      </c>
      <c r="M76" s="29"/>
      <c r="N76" s="29"/>
      <c r="O76" s="65" t="s">
        <v>21</v>
      </c>
      <c r="P76" s="82" t="s">
        <v>730</v>
      </c>
      <c r="Q76" s="24" t="s">
        <v>27</v>
      </c>
      <c r="R76" s="54" t="str">
        <f t="shared" si="9"/>
        <v>OK</v>
      </c>
      <c r="S76" s="29" t="s">
        <v>27</v>
      </c>
      <c r="T76" s="29" t="s">
        <v>33</v>
      </c>
      <c r="U76" s="29"/>
      <c r="V76" s="29"/>
      <c r="W76" s="46"/>
      <c r="X76" s="76"/>
      <c r="Y76" s="76"/>
      <c r="Z76" s="39">
        <f t="shared" si="16"/>
        <v>0</v>
      </c>
      <c r="AA76" s="39">
        <f t="shared" si="10"/>
        <v>0</v>
      </c>
      <c r="AB76" s="39">
        <f t="shared" si="17"/>
        <v>0</v>
      </c>
      <c r="AC76" s="39">
        <f t="shared" si="11"/>
        <v>0</v>
      </c>
      <c r="AD76" s="39">
        <f t="shared" si="12"/>
        <v>0</v>
      </c>
      <c r="AE76" s="39">
        <f t="shared" si="13"/>
        <v>0</v>
      </c>
      <c r="AF76" s="39">
        <f t="shared" si="14"/>
        <v>0</v>
      </c>
      <c r="AG76" s="39" t="str">
        <f t="shared" si="15"/>
        <v>E</v>
      </c>
    </row>
    <row r="77" spans="1:35" ht="35.1" hidden="1" customHeight="1" x14ac:dyDescent="0.25">
      <c r="A77" s="61">
        <v>76</v>
      </c>
      <c r="B77" s="62" t="s">
        <v>168</v>
      </c>
      <c r="C77" s="64" t="s">
        <v>13</v>
      </c>
      <c r="D77" s="64" t="s">
        <v>350</v>
      </c>
      <c r="E77" s="61" t="s">
        <v>30</v>
      </c>
      <c r="F77" s="62" t="s">
        <v>533</v>
      </c>
      <c r="G77" s="62" t="s">
        <v>534</v>
      </c>
      <c r="H77" s="63" t="s">
        <v>522</v>
      </c>
      <c r="I77" s="29">
        <v>10.4</v>
      </c>
      <c r="J77" s="64">
        <v>3</v>
      </c>
      <c r="K77" s="64"/>
      <c r="L77" s="29">
        <v>9.5</v>
      </c>
      <c r="M77" s="29"/>
      <c r="N77" s="29"/>
      <c r="O77" s="65" t="s">
        <v>690</v>
      </c>
      <c r="P77" s="82" t="s">
        <v>730</v>
      </c>
      <c r="Q77" s="24" t="s">
        <v>27</v>
      </c>
      <c r="R77" s="54" t="str">
        <f t="shared" si="9"/>
        <v>OK</v>
      </c>
      <c r="S77" s="29" t="s">
        <v>27</v>
      </c>
      <c r="T77" s="29" t="s">
        <v>33</v>
      </c>
      <c r="U77" s="29"/>
      <c r="V77" s="29"/>
      <c r="W77" s="46"/>
      <c r="X77" s="76"/>
      <c r="Y77" s="76"/>
      <c r="Z77" s="39">
        <f t="shared" si="16"/>
        <v>0</v>
      </c>
      <c r="AA77" s="39">
        <f t="shared" si="10"/>
        <v>0</v>
      </c>
      <c r="AB77" s="39">
        <f t="shared" si="17"/>
        <v>0</v>
      </c>
      <c r="AC77" s="39">
        <f t="shared" si="11"/>
        <v>0</v>
      </c>
      <c r="AD77" s="39">
        <f t="shared" si="12"/>
        <v>0</v>
      </c>
      <c r="AE77" s="39">
        <f t="shared" si="13"/>
        <v>0</v>
      </c>
      <c r="AF77" s="39">
        <f t="shared" si="14"/>
        <v>0</v>
      </c>
      <c r="AG77" s="39" t="str">
        <f t="shared" si="15"/>
        <v>E</v>
      </c>
    </row>
    <row r="78" spans="1:35" ht="35.1" hidden="1" customHeight="1" x14ac:dyDescent="0.25">
      <c r="A78" s="61">
        <v>77</v>
      </c>
      <c r="B78" s="62" t="s">
        <v>169</v>
      </c>
      <c r="C78" s="64" t="s">
        <v>13</v>
      </c>
      <c r="D78" s="64" t="s">
        <v>350</v>
      </c>
      <c r="E78" s="61" t="s">
        <v>30</v>
      </c>
      <c r="F78" s="62" t="s">
        <v>535</v>
      </c>
      <c r="G78" s="62" t="s">
        <v>536</v>
      </c>
      <c r="H78" s="63" t="s">
        <v>522</v>
      </c>
      <c r="I78" s="29">
        <v>12</v>
      </c>
      <c r="J78" s="64">
        <v>4</v>
      </c>
      <c r="K78" s="64">
        <v>5.6</v>
      </c>
      <c r="L78" s="29">
        <v>13.5</v>
      </c>
      <c r="M78" s="30"/>
      <c r="N78" s="30"/>
      <c r="O78" s="65" t="s">
        <v>21</v>
      </c>
      <c r="P78" s="82" t="s">
        <v>730</v>
      </c>
      <c r="Q78" s="24" t="s">
        <v>27</v>
      </c>
      <c r="R78" s="54" t="str">
        <f t="shared" si="9"/>
        <v>OK</v>
      </c>
      <c r="S78" s="29" t="s">
        <v>27</v>
      </c>
      <c r="T78" s="29" t="s">
        <v>33</v>
      </c>
      <c r="U78" s="29"/>
      <c r="V78" s="29"/>
      <c r="W78" s="46"/>
      <c r="X78" s="76"/>
      <c r="Y78" s="76"/>
      <c r="Z78" s="39">
        <f t="shared" si="16"/>
        <v>0</v>
      </c>
      <c r="AA78" s="39">
        <f t="shared" si="10"/>
        <v>0</v>
      </c>
      <c r="AB78" s="39">
        <f t="shared" si="17"/>
        <v>0</v>
      </c>
      <c r="AC78" s="39">
        <f t="shared" si="11"/>
        <v>0</v>
      </c>
      <c r="AD78" s="39">
        <f t="shared" si="12"/>
        <v>0</v>
      </c>
      <c r="AE78" s="39">
        <f t="shared" si="13"/>
        <v>0</v>
      </c>
      <c r="AF78" s="39">
        <f t="shared" si="14"/>
        <v>0</v>
      </c>
      <c r="AG78" s="39" t="str">
        <f t="shared" si="15"/>
        <v>E</v>
      </c>
    </row>
    <row r="79" spans="1:35" ht="35.1" hidden="1" customHeight="1" x14ac:dyDescent="0.25">
      <c r="A79" s="61">
        <v>78</v>
      </c>
      <c r="B79" s="62" t="s">
        <v>170</v>
      </c>
      <c r="C79" s="64" t="s">
        <v>13</v>
      </c>
      <c r="D79" s="64" t="s">
        <v>350</v>
      </c>
      <c r="E79" s="61" t="s">
        <v>30</v>
      </c>
      <c r="F79" s="62" t="s">
        <v>537</v>
      </c>
      <c r="G79" s="62" t="s">
        <v>538</v>
      </c>
      <c r="H79" s="63" t="s">
        <v>522</v>
      </c>
      <c r="I79" s="29">
        <v>23.1</v>
      </c>
      <c r="J79" s="64">
        <v>6</v>
      </c>
      <c r="K79" s="64"/>
      <c r="L79" s="29">
        <v>12.5</v>
      </c>
      <c r="M79" s="29"/>
      <c r="N79" s="29"/>
      <c r="O79" s="65" t="s">
        <v>67</v>
      </c>
      <c r="P79" s="82" t="s">
        <v>730</v>
      </c>
      <c r="Q79" s="24" t="s">
        <v>857</v>
      </c>
      <c r="R79" s="54" t="str">
        <f t="shared" si="9"/>
        <v>OK</v>
      </c>
      <c r="S79" s="29" t="s">
        <v>27</v>
      </c>
      <c r="T79" s="29" t="s">
        <v>33</v>
      </c>
      <c r="U79" s="29"/>
      <c r="V79" s="29"/>
      <c r="W79" s="46"/>
      <c r="X79" s="76"/>
      <c r="Y79" s="76"/>
      <c r="Z79" s="39">
        <f t="shared" si="16"/>
        <v>0</v>
      </c>
      <c r="AA79" s="39">
        <f t="shared" si="10"/>
        <v>0</v>
      </c>
      <c r="AB79" s="39">
        <f t="shared" si="17"/>
        <v>0</v>
      </c>
      <c r="AC79" s="39"/>
      <c r="AD79" s="39">
        <f t="shared" si="12"/>
        <v>0</v>
      </c>
      <c r="AE79" s="39">
        <f t="shared" si="13"/>
        <v>0</v>
      </c>
      <c r="AF79" s="39">
        <f t="shared" si="14"/>
        <v>0</v>
      </c>
      <c r="AG79" s="39" t="str">
        <f t="shared" si="15"/>
        <v>E</v>
      </c>
    </row>
    <row r="80" spans="1:35" ht="35.1" hidden="1" customHeight="1" x14ac:dyDescent="0.25">
      <c r="A80" s="61">
        <v>79</v>
      </c>
      <c r="B80" s="62" t="s">
        <v>171</v>
      </c>
      <c r="C80" s="64" t="s">
        <v>13</v>
      </c>
      <c r="D80" s="64" t="s">
        <v>351</v>
      </c>
      <c r="E80" s="61" t="s">
        <v>30</v>
      </c>
      <c r="F80" s="62" t="s">
        <v>539</v>
      </c>
      <c r="G80" s="62" t="s">
        <v>540</v>
      </c>
      <c r="H80" s="63" t="s">
        <v>522</v>
      </c>
      <c r="I80" s="29">
        <v>20.100000000000001</v>
      </c>
      <c r="J80" s="64">
        <v>5</v>
      </c>
      <c r="K80" s="64">
        <v>3.5</v>
      </c>
      <c r="L80" s="29">
        <v>12.2</v>
      </c>
      <c r="M80" s="29"/>
      <c r="N80" s="29"/>
      <c r="O80" s="65" t="s">
        <v>672</v>
      </c>
      <c r="P80" s="82" t="s">
        <v>730</v>
      </c>
      <c r="Q80" s="24" t="s">
        <v>27</v>
      </c>
      <c r="R80" s="54" t="str">
        <f t="shared" si="9"/>
        <v>OK</v>
      </c>
      <c r="S80" s="29" t="s">
        <v>27</v>
      </c>
      <c r="T80" s="29" t="s">
        <v>33</v>
      </c>
      <c r="U80" s="29"/>
      <c r="V80" s="29"/>
      <c r="W80" s="46"/>
      <c r="X80" s="76"/>
      <c r="Y80" s="76"/>
      <c r="Z80" s="39">
        <f t="shared" si="16"/>
        <v>0</v>
      </c>
      <c r="AA80" s="39">
        <f t="shared" si="10"/>
        <v>0</v>
      </c>
      <c r="AB80" s="39">
        <f t="shared" si="17"/>
        <v>0</v>
      </c>
      <c r="AC80" s="39">
        <f t="shared" ref="AC80:AC143" si="18">IF(Z80+AB80=2,"A",0)</f>
        <v>0</v>
      </c>
      <c r="AD80" s="39">
        <f t="shared" si="12"/>
        <v>0</v>
      </c>
      <c r="AE80" s="39">
        <f t="shared" si="13"/>
        <v>0</v>
      </c>
      <c r="AF80" s="39">
        <f t="shared" si="14"/>
        <v>0</v>
      </c>
      <c r="AG80" s="39" t="str">
        <f t="shared" si="15"/>
        <v>E</v>
      </c>
    </row>
    <row r="81" spans="1:35" ht="35.1" hidden="1" customHeight="1" x14ac:dyDescent="0.25">
      <c r="A81" s="61">
        <v>80</v>
      </c>
      <c r="B81" s="66" t="s">
        <v>276</v>
      </c>
      <c r="C81" s="64" t="s">
        <v>13</v>
      </c>
      <c r="D81" s="64" t="s">
        <v>351</v>
      </c>
      <c r="E81" s="61" t="s">
        <v>30</v>
      </c>
      <c r="F81" s="62" t="s">
        <v>31</v>
      </c>
      <c r="G81" s="62" t="s">
        <v>637</v>
      </c>
      <c r="H81" s="63" t="s">
        <v>522</v>
      </c>
      <c r="I81" s="29">
        <v>59.2</v>
      </c>
      <c r="J81" s="64">
        <v>2</v>
      </c>
      <c r="K81" s="64">
        <v>30.2</v>
      </c>
      <c r="L81" s="29">
        <v>19.5</v>
      </c>
      <c r="M81" s="30"/>
      <c r="N81" s="30"/>
      <c r="O81" s="65" t="s">
        <v>877</v>
      </c>
      <c r="P81" s="82" t="s">
        <v>734</v>
      </c>
      <c r="Q81" s="24" t="s">
        <v>102</v>
      </c>
      <c r="R81" s="54" t="str">
        <f t="shared" si="9"/>
        <v>OK</v>
      </c>
      <c r="S81" s="29" t="s">
        <v>102</v>
      </c>
      <c r="T81" s="29" t="s">
        <v>32</v>
      </c>
      <c r="U81" s="29"/>
      <c r="V81" s="29"/>
      <c r="W81" s="46"/>
      <c r="X81" s="76"/>
      <c r="Y81" s="76"/>
      <c r="Z81" s="39">
        <f t="shared" si="16"/>
        <v>0</v>
      </c>
      <c r="AA81" s="39">
        <f t="shared" si="10"/>
        <v>1</v>
      </c>
      <c r="AB81" s="39">
        <f t="shared" si="17"/>
        <v>1</v>
      </c>
      <c r="AC81" s="39">
        <f t="shared" si="18"/>
        <v>0</v>
      </c>
      <c r="AD81" s="39">
        <f t="shared" si="12"/>
        <v>0</v>
      </c>
      <c r="AE81" s="39" t="str">
        <f t="shared" si="13"/>
        <v>C</v>
      </c>
      <c r="AF81" s="39">
        <f t="shared" si="14"/>
        <v>0</v>
      </c>
      <c r="AG81" s="39">
        <f t="shared" si="15"/>
        <v>0</v>
      </c>
    </row>
    <row r="82" spans="1:35" s="5" customFormat="1" ht="35.1" hidden="1" customHeight="1" x14ac:dyDescent="0.25">
      <c r="A82" s="61">
        <v>81</v>
      </c>
      <c r="B82" s="62" t="s">
        <v>173</v>
      </c>
      <c r="C82" s="61" t="s">
        <v>13</v>
      </c>
      <c r="D82" s="27" t="s">
        <v>352</v>
      </c>
      <c r="E82" s="61" t="s">
        <v>42</v>
      </c>
      <c r="F82" s="62" t="s">
        <v>173</v>
      </c>
      <c r="G82" s="62" t="s">
        <v>541</v>
      </c>
      <c r="H82" s="63" t="s">
        <v>854</v>
      </c>
      <c r="I82" s="29">
        <v>11</v>
      </c>
      <c r="J82" s="64">
        <v>1</v>
      </c>
      <c r="K82" s="64">
        <v>11</v>
      </c>
      <c r="L82" s="29">
        <v>9.6999999999999993</v>
      </c>
      <c r="M82" s="29"/>
      <c r="N82" s="29"/>
      <c r="O82" s="28" t="s">
        <v>21</v>
      </c>
      <c r="P82" s="53" t="s">
        <v>730</v>
      </c>
      <c r="Q82" s="24" t="s">
        <v>27</v>
      </c>
      <c r="R82" s="54" t="str">
        <f t="shared" si="9"/>
        <v>OK</v>
      </c>
      <c r="S82" s="29" t="s">
        <v>27</v>
      </c>
      <c r="T82" s="29" t="s">
        <v>33</v>
      </c>
      <c r="U82" s="29"/>
      <c r="V82" s="43">
        <v>2005</v>
      </c>
      <c r="W82" s="44">
        <v>4</v>
      </c>
      <c r="X82" s="74"/>
      <c r="Y82" s="74"/>
      <c r="Z82" s="39">
        <f t="shared" si="16"/>
        <v>0</v>
      </c>
      <c r="AA82" s="39">
        <f t="shared" si="10"/>
        <v>0</v>
      </c>
      <c r="AB82" s="39">
        <f t="shared" si="17"/>
        <v>0</v>
      </c>
      <c r="AC82" s="39">
        <f t="shared" si="18"/>
        <v>0</v>
      </c>
      <c r="AD82" s="39">
        <f t="shared" si="12"/>
        <v>0</v>
      </c>
      <c r="AE82" s="39">
        <f t="shared" si="13"/>
        <v>0</v>
      </c>
      <c r="AF82" s="39">
        <f t="shared" si="14"/>
        <v>0</v>
      </c>
      <c r="AG82" s="39" t="str">
        <f t="shared" si="15"/>
        <v>E</v>
      </c>
    </row>
    <row r="83" spans="1:35" s="5" customFormat="1" ht="35.1" hidden="1" customHeight="1" x14ac:dyDescent="0.25">
      <c r="A83" s="61">
        <v>82</v>
      </c>
      <c r="B83" s="62" t="s">
        <v>174</v>
      </c>
      <c r="C83" s="61" t="s">
        <v>13</v>
      </c>
      <c r="D83" s="27" t="s">
        <v>353</v>
      </c>
      <c r="E83" s="61" t="s">
        <v>42</v>
      </c>
      <c r="F83" s="62" t="s">
        <v>542</v>
      </c>
      <c r="G83" s="62" t="s">
        <v>543</v>
      </c>
      <c r="H83" s="63" t="s">
        <v>522</v>
      </c>
      <c r="I83" s="29">
        <v>10.6</v>
      </c>
      <c r="J83" s="64">
        <v>1</v>
      </c>
      <c r="K83" s="64">
        <v>10.6</v>
      </c>
      <c r="L83" s="29">
        <v>6</v>
      </c>
      <c r="M83" s="29"/>
      <c r="N83" s="29"/>
      <c r="O83" s="28" t="s">
        <v>68</v>
      </c>
      <c r="P83" s="53" t="s">
        <v>730</v>
      </c>
      <c r="Q83" s="24" t="s">
        <v>857</v>
      </c>
      <c r="R83" s="54" t="str">
        <f t="shared" si="9"/>
        <v>NARROW</v>
      </c>
      <c r="S83" s="29" t="s">
        <v>27</v>
      </c>
      <c r="T83" s="29" t="s">
        <v>33</v>
      </c>
      <c r="U83" s="29"/>
      <c r="V83" s="27"/>
      <c r="W83" s="44"/>
      <c r="X83" s="74"/>
      <c r="Y83" s="74"/>
      <c r="Z83" s="39">
        <f t="shared" si="16"/>
        <v>1</v>
      </c>
      <c r="AA83" s="39">
        <f t="shared" si="10"/>
        <v>0</v>
      </c>
      <c r="AB83" s="39">
        <f t="shared" si="17"/>
        <v>0</v>
      </c>
      <c r="AC83" s="39">
        <f t="shared" si="18"/>
        <v>0</v>
      </c>
      <c r="AD83" s="39">
        <f t="shared" si="12"/>
        <v>0</v>
      </c>
      <c r="AE83" s="39">
        <f t="shared" si="13"/>
        <v>0</v>
      </c>
      <c r="AF83" s="39">
        <f t="shared" si="14"/>
        <v>0</v>
      </c>
      <c r="AG83" s="39">
        <f t="shared" si="15"/>
        <v>0</v>
      </c>
    </row>
    <row r="84" spans="1:35" ht="35.1" hidden="1" customHeight="1" x14ac:dyDescent="0.25">
      <c r="A84" s="61">
        <v>83</v>
      </c>
      <c r="B84" s="62" t="s">
        <v>274</v>
      </c>
      <c r="C84" s="61" t="s">
        <v>13</v>
      </c>
      <c r="D84" s="61" t="s">
        <v>399</v>
      </c>
      <c r="E84" s="61" t="s">
        <v>42</v>
      </c>
      <c r="F84" s="62" t="s">
        <v>551</v>
      </c>
      <c r="G84" s="62" t="s">
        <v>548</v>
      </c>
      <c r="H84" s="63" t="s">
        <v>522</v>
      </c>
      <c r="I84" s="29">
        <v>20</v>
      </c>
      <c r="J84" s="64">
        <v>5</v>
      </c>
      <c r="K84" s="64"/>
      <c r="L84" s="29">
        <v>8.6999999999999993</v>
      </c>
      <c r="M84" s="29">
        <v>1955</v>
      </c>
      <c r="N84" s="29"/>
      <c r="O84" s="28" t="s">
        <v>725</v>
      </c>
      <c r="P84" s="53" t="s">
        <v>730</v>
      </c>
      <c r="Q84" s="24" t="s">
        <v>857</v>
      </c>
      <c r="R84" s="54" t="str">
        <f t="shared" si="9"/>
        <v>OK</v>
      </c>
      <c r="S84" s="29" t="s">
        <v>27</v>
      </c>
      <c r="T84" s="29" t="s">
        <v>32</v>
      </c>
      <c r="U84" s="29"/>
      <c r="V84" s="43">
        <v>2999</v>
      </c>
      <c r="W84" s="45">
        <v>2</v>
      </c>
      <c r="X84" s="75"/>
      <c r="Y84" s="75"/>
      <c r="Z84" s="39">
        <f t="shared" si="16"/>
        <v>0</v>
      </c>
      <c r="AA84" s="39">
        <f t="shared" si="10"/>
        <v>1</v>
      </c>
      <c r="AB84" s="39">
        <f t="shared" si="17"/>
        <v>0</v>
      </c>
      <c r="AC84" s="39">
        <f t="shared" si="18"/>
        <v>0</v>
      </c>
      <c r="AD84" s="39">
        <f t="shared" si="12"/>
        <v>0</v>
      </c>
      <c r="AE84" s="39">
        <f t="shared" si="13"/>
        <v>0</v>
      </c>
      <c r="AF84" s="39">
        <f t="shared" si="14"/>
        <v>0</v>
      </c>
      <c r="AG84" s="39">
        <f t="shared" si="15"/>
        <v>0</v>
      </c>
    </row>
    <row r="85" spans="1:35" ht="35.1" customHeight="1" x14ac:dyDescent="0.25">
      <c r="A85" s="61">
        <v>84</v>
      </c>
      <c r="B85" s="62" t="s">
        <v>227</v>
      </c>
      <c r="C85" s="61" t="s">
        <v>13</v>
      </c>
      <c r="D85" s="61" t="s">
        <v>399</v>
      </c>
      <c r="E85" s="61" t="s">
        <v>42</v>
      </c>
      <c r="F85" s="62" t="s">
        <v>227</v>
      </c>
      <c r="G85" s="62" t="s">
        <v>548</v>
      </c>
      <c r="H85" s="63" t="s">
        <v>522</v>
      </c>
      <c r="I85" s="29">
        <v>17</v>
      </c>
      <c r="J85" s="64">
        <v>2</v>
      </c>
      <c r="K85" s="64">
        <v>8.3000000000000007</v>
      </c>
      <c r="L85" s="29">
        <v>6.9</v>
      </c>
      <c r="M85" s="29"/>
      <c r="N85" s="29"/>
      <c r="O85" s="65" t="s">
        <v>878</v>
      </c>
      <c r="P85" s="70" t="s">
        <v>732</v>
      </c>
      <c r="Q85" s="24" t="s">
        <v>102</v>
      </c>
      <c r="R85" s="54" t="str">
        <f t="shared" si="9"/>
        <v>NARROW</v>
      </c>
      <c r="S85" s="29" t="s">
        <v>102</v>
      </c>
      <c r="T85" s="29" t="s">
        <v>32</v>
      </c>
      <c r="U85" s="29"/>
      <c r="V85" s="43">
        <v>1599</v>
      </c>
      <c r="W85" s="45">
        <v>2</v>
      </c>
      <c r="X85" s="75"/>
      <c r="Y85" s="75"/>
      <c r="Z85" s="39">
        <f t="shared" si="16"/>
        <v>1</v>
      </c>
      <c r="AA85" s="39">
        <f t="shared" si="10"/>
        <v>1</v>
      </c>
      <c r="AB85" s="39">
        <f t="shared" si="17"/>
        <v>1</v>
      </c>
      <c r="AC85" s="39" t="str">
        <f t="shared" si="18"/>
        <v>A</v>
      </c>
      <c r="AD85" s="39" t="str">
        <f t="shared" si="12"/>
        <v>B</v>
      </c>
      <c r="AE85" s="39" t="str">
        <f t="shared" si="13"/>
        <v>C</v>
      </c>
      <c r="AF85" s="39" t="str">
        <f t="shared" si="14"/>
        <v>D</v>
      </c>
      <c r="AG85" s="39">
        <f t="shared" si="15"/>
        <v>0</v>
      </c>
    </row>
    <row r="86" spans="1:35" ht="35.1" hidden="1" customHeight="1" x14ac:dyDescent="0.25">
      <c r="A86" s="61">
        <v>85</v>
      </c>
      <c r="B86" s="62" t="s">
        <v>177</v>
      </c>
      <c r="C86" s="61" t="s">
        <v>13</v>
      </c>
      <c r="D86" s="61" t="s">
        <v>356</v>
      </c>
      <c r="E86" s="61" t="s">
        <v>42</v>
      </c>
      <c r="F86" s="62" t="s">
        <v>547</v>
      </c>
      <c r="G86" s="62" t="s">
        <v>548</v>
      </c>
      <c r="H86" s="63" t="s">
        <v>522</v>
      </c>
      <c r="I86" s="29">
        <v>7.6</v>
      </c>
      <c r="J86" s="64">
        <v>2</v>
      </c>
      <c r="K86" s="64">
        <v>3</v>
      </c>
      <c r="L86" s="29">
        <v>12</v>
      </c>
      <c r="M86" s="29"/>
      <c r="N86" s="29"/>
      <c r="O86" s="65" t="s">
        <v>879</v>
      </c>
      <c r="P86" s="70" t="s">
        <v>753</v>
      </c>
      <c r="Q86" s="24" t="s">
        <v>102</v>
      </c>
      <c r="R86" s="54" t="str">
        <f t="shared" si="9"/>
        <v>OK</v>
      </c>
      <c r="S86" s="29" t="s">
        <v>102</v>
      </c>
      <c r="T86" s="29" t="s">
        <v>33</v>
      </c>
      <c r="U86" s="29"/>
      <c r="V86" s="22"/>
      <c r="W86" s="45"/>
      <c r="X86" s="75"/>
      <c r="Y86" s="75"/>
      <c r="Z86" s="39">
        <f t="shared" si="16"/>
        <v>0</v>
      </c>
      <c r="AA86" s="39">
        <f t="shared" si="10"/>
        <v>0</v>
      </c>
      <c r="AB86" s="39">
        <f t="shared" si="17"/>
        <v>1</v>
      </c>
      <c r="AC86" s="39">
        <f t="shared" si="18"/>
        <v>0</v>
      </c>
      <c r="AD86" s="39">
        <f t="shared" si="12"/>
        <v>0</v>
      </c>
      <c r="AE86" s="39">
        <f t="shared" si="13"/>
        <v>0</v>
      </c>
      <c r="AF86" s="39">
        <f t="shared" si="14"/>
        <v>0</v>
      </c>
      <c r="AG86" s="39">
        <f t="shared" si="15"/>
        <v>0</v>
      </c>
    </row>
    <row r="87" spans="1:35" ht="35.1" hidden="1" customHeight="1" x14ac:dyDescent="0.25">
      <c r="A87" s="61">
        <v>86</v>
      </c>
      <c r="B87" s="62" t="s">
        <v>178</v>
      </c>
      <c r="C87" s="61" t="s">
        <v>13</v>
      </c>
      <c r="D87" s="61" t="s">
        <v>356</v>
      </c>
      <c r="E87" s="61" t="s">
        <v>42</v>
      </c>
      <c r="F87" s="62" t="s">
        <v>549</v>
      </c>
      <c r="G87" s="62" t="s">
        <v>550</v>
      </c>
      <c r="H87" s="63" t="s">
        <v>40</v>
      </c>
      <c r="I87" s="29">
        <v>24.6</v>
      </c>
      <c r="J87" s="64">
        <v>1</v>
      </c>
      <c r="K87" s="64">
        <v>24.6</v>
      </c>
      <c r="L87" s="29">
        <v>5</v>
      </c>
      <c r="M87" s="29">
        <v>1979</v>
      </c>
      <c r="N87" s="29"/>
      <c r="O87" s="65" t="s">
        <v>21</v>
      </c>
      <c r="P87" s="70" t="s">
        <v>730</v>
      </c>
      <c r="Q87" s="24" t="s">
        <v>857</v>
      </c>
      <c r="R87" s="54" t="str">
        <f t="shared" si="9"/>
        <v>NARROW</v>
      </c>
      <c r="S87" s="29" t="s">
        <v>27</v>
      </c>
      <c r="T87" s="29" t="s">
        <v>33</v>
      </c>
      <c r="U87" s="29"/>
      <c r="V87" s="22"/>
      <c r="W87" s="45"/>
      <c r="X87" s="75"/>
      <c r="Y87" s="75"/>
      <c r="Z87" s="39">
        <f t="shared" si="16"/>
        <v>1</v>
      </c>
      <c r="AA87" s="39">
        <f t="shared" si="10"/>
        <v>0</v>
      </c>
      <c r="AB87" s="39">
        <f t="shared" si="17"/>
        <v>0</v>
      </c>
      <c r="AC87" s="39">
        <f t="shared" si="18"/>
        <v>0</v>
      </c>
      <c r="AD87" s="39">
        <f t="shared" si="12"/>
        <v>0</v>
      </c>
      <c r="AE87" s="39">
        <f t="shared" si="13"/>
        <v>0</v>
      </c>
      <c r="AF87" s="39">
        <f t="shared" si="14"/>
        <v>0</v>
      </c>
      <c r="AG87" s="39">
        <f t="shared" si="15"/>
        <v>0</v>
      </c>
      <c r="AI87" s="1">
        <f>I87</f>
        <v>24.6</v>
      </c>
    </row>
    <row r="88" spans="1:35" ht="35.1" hidden="1" customHeight="1" x14ac:dyDescent="0.25">
      <c r="A88" s="61">
        <v>87</v>
      </c>
      <c r="B88" s="62" t="s">
        <v>179</v>
      </c>
      <c r="C88" s="61" t="s">
        <v>13</v>
      </c>
      <c r="D88" s="61" t="s">
        <v>357</v>
      </c>
      <c r="E88" s="61" t="s">
        <v>42</v>
      </c>
      <c r="F88" s="62" t="s">
        <v>179</v>
      </c>
      <c r="G88" s="62" t="s">
        <v>551</v>
      </c>
      <c r="H88" s="63" t="s">
        <v>522</v>
      </c>
      <c r="I88" s="29">
        <v>19</v>
      </c>
      <c r="J88" s="64">
        <v>2</v>
      </c>
      <c r="K88" s="64">
        <v>9.1999999999999993</v>
      </c>
      <c r="L88" s="29">
        <v>12</v>
      </c>
      <c r="M88" s="29">
        <v>1947</v>
      </c>
      <c r="N88" s="29"/>
      <c r="O88" s="65" t="s">
        <v>68</v>
      </c>
      <c r="P88" s="70" t="s">
        <v>730</v>
      </c>
      <c r="Q88" s="24" t="s">
        <v>27</v>
      </c>
      <c r="R88" s="54" t="str">
        <f t="shared" si="9"/>
        <v>OK</v>
      </c>
      <c r="S88" s="29" t="s">
        <v>27</v>
      </c>
      <c r="T88" s="29" t="s">
        <v>33</v>
      </c>
      <c r="U88" s="29"/>
      <c r="V88" s="22"/>
      <c r="W88" s="45"/>
      <c r="X88" s="75"/>
      <c r="Y88" s="75"/>
      <c r="Z88" s="39">
        <f t="shared" si="16"/>
        <v>0</v>
      </c>
      <c r="AA88" s="39">
        <f t="shared" si="10"/>
        <v>0</v>
      </c>
      <c r="AB88" s="39">
        <f t="shared" si="17"/>
        <v>0</v>
      </c>
      <c r="AC88" s="39">
        <f t="shared" si="18"/>
        <v>0</v>
      </c>
      <c r="AD88" s="39">
        <f t="shared" si="12"/>
        <v>0</v>
      </c>
      <c r="AE88" s="39">
        <f t="shared" si="13"/>
        <v>0</v>
      </c>
      <c r="AF88" s="39">
        <f t="shared" si="14"/>
        <v>0</v>
      </c>
      <c r="AG88" s="39" t="str">
        <f t="shared" si="15"/>
        <v>E</v>
      </c>
    </row>
    <row r="89" spans="1:35" ht="35.1" hidden="1" customHeight="1" x14ac:dyDescent="0.25">
      <c r="A89" s="61">
        <v>88</v>
      </c>
      <c r="B89" s="62" t="s">
        <v>159</v>
      </c>
      <c r="C89" s="61" t="s">
        <v>13</v>
      </c>
      <c r="D89" s="61" t="s">
        <v>342</v>
      </c>
      <c r="E89" s="61" t="s">
        <v>42</v>
      </c>
      <c r="F89" s="62" t="s">
        <v>159</v>
      </c>
      <c r="G89" s="62" t="s">
        <v>521</v>
      </c>
      <c r="H89" s="63" t="s">
        <v>522</v>
      </c>
      <c r="I89" s="29">
        <v>7</v>
      </c>
      <c r="J89" s="64">
        <v>2</v>
      </c>
      <c r="K89" s="64">
        <v>3.2</v>
      </c>
      <c r="L89" s="29">
        <v>9.6999999999999993</v>
      </c>
      <c r="M89" s="29">
        <v>1972</v>
      </c>
      <c r="N89" s="29"/>
      <c r="O89" s="65" t="s">
        <v>685</v>
      </c>
      <c r="P89" s="70" t="s">
        <v>731</v>
      </c>
      <c r="Q89" s="24" t="s">
        <v>857</v>
      </c>
      <c r="R89" s="54" t="str">
        <f t="shared" si="9"/>
        <v>OK</v>
      </c>
      <c r="S89" s="29" t="s">
        <v>27</v>
      </c>
      <c r="T89" s="29" t="s">
        <v>32</v>
      </c>
      <c r="U89" s="29"/>
      <c r="V89" s="22"/>
      <c r="W89" s="45"/>
      <c r="X89" s="75"/>
      <c r="Y89" s="75"/>
      <c r="Z89" s="39">
        <f t="shared" si="16"/>
        <v>0</v>
      </c>
      <c r="AA89" s="39">
        <f t="shared" si="10"/>
        <v>1</v>
      </c>
      <c r="AB89" s="39">
        <f t="shared" si="17"/>
        <v>0</v>
      </c>
      <c r="AC89" s="39">
        <f t="shared" si="18"/>
        <v>0</v>
      </c>
      <c r="AD89" s="39">
        <f t="shared" si="12"/>
        <v>0</v>
      </c>
      <c r="AE89" s="39">
        <f t="shared" si="13"/>
        <v>0</v>
      </c>
      <c r="AF89" s="39">
        <f t="shared" si="14"/>
        <v>0</v>
      </c>
      <c r="AG89" s="39">
        <f t="shared" si="15"/>
        <v>0</v>
      </c>
    </row>
    <row r="90" spans="1:35" ht="35.1" hidden="1" customHeight="1" x14ac:dyDescent="0.25">
      <c r="A90" s="61">
        <v>89</v>
      </c>
      <c r="B90" s="62" t="s">
        <v>181</v>
      </c>
      <c r="C90" s="61" t="s">
        <v>13</v>
      </c>
      <c r="D90" s="27" t="s">
        <v>359</v>
      </c>
      <c r="E90" s="61" t="s">
        <v>42</v>
      </c>
      <c r="F90" s="62" t="s">
        <v>181</v>
      </c>
      <c r="G90" s="62" t="s">
        <v>553</v>
      </c>
      <c r="H90" s="63" t="s">
        <v>522</v>
      </c>
      <c r="I90" s="29" t="s">
        <v>554</v>
      </c>
      <c r="J90" s="64">
        <v>1</v>
      </c>
      <c r="K90" s="64"/>
      <c r="L90" s="29">
        <v>10.1</v>
      </c>
      <c r="M90" s="29"/>
      <c r="N90" s="29"/>
      <c r="O90" s="65" t="s">
        <v>21</v>
      </c>
      <c r="P90" s="70" t="s">
        <v>730</v>
      </c>
      <c r="Q90" s="24" t="s">
        <v>27</v>
      </c>
      <c r="R90" s="54" t="str">
        <f t="shared" si="9"/>
        <v>OK</v>
      </c>
      <c r="S90" s="29" t="s">
        <v>27</v>
      </c>
      <c r="T90" s="29" t="s">
        <v>33</v>
      </c>
      <c r="U90" s="29"/>
      <c r="V90" s="27"/>
      <c r="W90" s="44"/>
      <c r="X90" s="74"/>
      <c r="Y90" s="74"/>
      <c r="Z90" s="39">
        <f t="shared" si="16"/>
        <v>0</v>
      </c>
      <c r="AA90" s="39">
        <f t="shared" si="10"/>
        <v>0</v>
      </c>
      <c r="AB90" s="39">
        <f t="shared" si="17"/>
        <v>0</v>
      </c>
      <c r="AC90" s="39">
        <f t="shared" si="18"/>
        <v>0</v>
      </c>
      <c r="AD90" s="39">
        <f t="shared" si="12"/>
        <v>0</v>
      </c>
      <c r="AE90" s="39">
        <f t="shared" si="13"/>
        <v>0</v>
      </c>
      <c r="AF90" s="39">
        <f t="shared" si="14"/>
        <v>0</v>
      </c>
      <c r="AG90" s="39" t="str">
        <f t="shared" si="15"/>
        <v>E</v>
      </c>
    </row>
    <row r="91" spans="1:35" ht="35.1" hidden="1" customHeight="1" x14ac:dyDescent="0.25">
      <c r="A91" s="61">
        <v>90</v>
      </c>
      <c r="B91" s="62" t="s">
        <v>160</v>
      </c>
      <c r="C91" s="61" t="s">
        <v>13</v>
      </c>
      <c r="D91" s="61" t="s">
        <v>344</v>
      </c>
      <c r="E91" s="61" t="s">
        <v>42</v>
      </c>
      <c r="F91" s="62" t="s">
        <v>183</v>
      </c>
      <c r="G91" s="62" t="s">
        <v>273</v>
      </c>
      <c r="H91" s="63" t="s">
        <v>854</v>
      </c>
      <c r="I91" s="29">
        <v>13</v>
      </c>
      <c r="J91" s="64">
        <v>1</v>
      </c>
      <c r="K91" s="64">
        <v>9.3000000000000007</v>
      </c>
      <c r="L91" s="29">
        <v>11.3</v>
      </c>
      <c r="M91" s="29"/>
      <c r="N91" s="29"/>
      <c r="O91" s="65" t="s">
        <v>686</v>
      </c>
      <c r="P91" s="70" t="s">
        <v>731</v>
      </c>
      <c r="Q91" s="24" t="s">
        <v>857</v>
      </c>
      <c r="R91" s="54" t="str">
        <f t="shared" si="9"/>
        <v>OK</v>
      </c>
      <c r="S91" s="29" t="s">
        <v>27</v>
      </c>
      <c r="T91" s="29" t="s">
        <v>32</v>
      </c>
      <c r="U91" s="29"/>
      <c r="V91" s="43">
        <v>8399</v>
      </c>
      <c r="W91" s="45">
        <v>2</v>
      </c>
      <c r="X91" s="75"/>
      <c r="Y91" s="75"/>
      <c r="Z91" s="39">
        <f t="shared" si="16"/>
        <v>0</v>
      </c>
      <c r="AA91" s="39">
        <f t="shared" si="10"/>
        <v>1</v>
      </c>
      <c r="AB91" s="39">
        <f t="shared" si="17"/>
        <v>0</v>
      </c>
      <c r="AC91" s="39">
        <f t="shared" si="18"/>
        <v>0</v>
      </c>
      <c r="AD91" s="39">
        <f t="shared" si="12"/>
        <v>0</v>
      </c>
      <c r="AE91" s="39">
        <f t="shared" si="13"/>
        <v>0</v>
      </c>
      <c r="AF91" s="39">
        <f t="shared" si="14"/>
        <v>0</v>
      </c>
      <c r="AG91" s="39">
        <f t="shared" si="15"/>
        <v>0</v>
      </c>
    </row>
    <row r="92" spans="1:35" ht="35.1" hidden="1" customHeight="1" x14ac:dyDescent="0.25">
      <c r="A92" s="61">
        <v>91</v>
      </c>
      <c r="B92" s="62" t="s">
        <v>183</v>
      </c>
      <c r="C92" s="61" t="s">
        <v>13</v>
      </c>
      <c r="D92" s="61" t="s">
        <v>361</v>
      </c>
      <c r="E92" s="61" t="s">
        <v>42</v>
      </c>
      <c r="F92" s="62" t="s">
        <v>183</v>
      </c>
      <c r="G92" s="62" t="s">
        <v>273</v>
      </c>
      <c r="H92" s="63" t="s">
        <v>854</v>
      </c>
      <c r="I92" s="29">
        <v>19.350000000000001</v>
      </c>
      <c r="J92" s="64">
        <v>2</v>
      </c>
      <c r="K92" s="64"/>
      <c r="L92" s="29">
        <v>8.9</v>
      </c>
      <c r="M92" s="29">
        <v>1951</v>
      </c>
      <c r="N92" s="29"/>
      <c r="O92" s="65" t="s">
        <v>69</v>
      </c>
      <c r="P92" s="70" t="s">
        <v>730</v>
      </c>
      <c r="Q92" s="24" t="s">
        <v>27</v>
      </c>
      <c r="R92" s="54" t="str">
        <f t="shared" si="9"/>
        <v>OK</v>
      </c>
      <c r="S92" s="29" t="s">
        <v>27</v>
      </c>
      <c r="T92" s="29" t="s">
        <v>33</v>
      </c>
      <c r="U92" s="29"/>
      <c r="V92" s="22"/>
      <c r="W92" s="45"/>
      <c r="X92" s="75"/>
      <c r="Y92" s="75"/>
      <c r="Z92" s="39">
        <f t="shared" si="16"/>
        <v>0</v>
      </c>
      <c r="AA92" s="39">
        <f t="shared" si="10"/>
        <v>0</v>
      </c>
      <c r="AB92" s="39">
        <f t="shared" si="17"/>
        <v>0</v>
      </c>
      <c r="AC92" s="39">
        <f t="shared" si="18"/>
        <v>0</v>
      </c>
      <c r="AD92" s="39">
        <f t="shared" si="12"/>
        <v>0</v>
      </c>
      <c r="AE92" s="39">
        <f t="shared" si="13"/>
        <v>0</v>
      </c>
      <c r="AF92" s="39">
        <f t="shared" si="14"/>
        <v>0</v>
      </c>
      <c r="AG92" s="39" t="str">
        <f t="shared" si="15"/>
        <v>E</v>
      </c>
    </row>
    <row r="93" spans="1:35" ht="35.1" hidden="1" customHeight="1" x14ac:dyDescent="0.25">
      <c r="A93" s="61">
        <v>92</v>
      </c>
      <c r="B93" s="62" t="s">
        <v>184</v>
      </c>
      <c r="C93" s="61" t="s">
        <v>13</v>
      </c>
      <c r="D93" s="61" t="s">
        <v>361</v>
      </c>
      <c r="E93" s="61" t="s">
        <v>42</v>
      </c>
      <c r="F93" s="62" t="s">
        <v>184</v>
      </c>
      <c r="G93" s="62" t="s">
        <v>273</v>
      </c>
      <c r="H93" s="63" t="s">
        <v>522</v>
      </c>
      <c r="I93" s="29">
        <v>15</v>
      </c>
      <c r="J93" s="64">
        <v>3</v>
      </c>
      <c r="K93" s="64"/>
      <c r="L93" s="29">
        <v>8.75</v>
      </c>
      <c r="M93" s="29">
        <v>1957</v>
      </c>
      <c r="N93" s="29"/>
      <c r="O93" s="65" t="s">
        <v>69</v>
      </c>
      <c r="P93" s="70" t="s">
        <v>730</v>
      </c>
      <c r="Q93" s="24" t="s">
        <v>27</v>
      </c>
      <c r="R93" s="54" t="str">
        <f t="shared" si="9"/>
        <v>OK</v>
      </c>
      <c r="S93" s="29" t="s">
        <v>27</v>
      </c>
      <c r="T93" s="29" t="s">
        <v>33</v>
      </c>
      <c r="U93" s="29"/>
      <c r="V93" s="22"/>
      <c r="W93" s="45"/>
      <c r="X93" s="75"/>
      <c r="Y93" s="75"/>
      <c r="Z93" s="39">
        <f t="shared" si="16"/>
        <v>0</v>
      </c>
      <c r="AA93" s="39">
        <f t="shared" si="10"/>
        <v>0</v>
      </c>
      <c r="AB93" s="39">
        <f t="shared" si="17"/>
        <v>0</v>
      </c>
      <c r="AC93" s="39">
        <f t="shared" si="18"/>
        <v>0</v>
      </c>
      <c r="AD93" s="39">
        <f t="shared" si="12"/>
        <v>0</v>
      </c>
      <c r="AE93" s="39">
        <f t="shared" si="13"/>
        <v>0</v>
      </c>
      <c r="AF93" s="39">
        <f t="shared" si="14"/>
        <v>0</v>
      </c>
      <c r="AG93" s="39" t="str">
        <f t="shared" si="15"/>
        <v>E</v>
      </c>
    </row>
    <row r="94" spans="1:35" ht="35.1" hidden="1" customHeight="1" x14ac:dyDescent="0.25">
      <c r="A94" s="61">
        <v>93</v>
      </c>
      <c r="B94" s="62" t="s">
        <v>185</v>
      </c>
      <c r="C94" s="61" t="s">
        <v>13</v>
      </c>
      <c r="D94" s="61" t="s">
        <v>361</v>
      </c>
      <c r="E94" s="61" t="s">
        <v>42</v>
      </c>
      <c r="F94" s="62" t="s">
        <v>555</v>
      </c>
      <c r="G94" s="62" t="s">
        <v>273</v>
      </c>
      <c r="H94" s="63" t="s">
        <v>522</v>
      </c>
      <c r="I94" s="29">
        <v>12.9</v>
      </c>
      <c r="J94" s="64">
        <v>3</v>
      </c>
      <c r="K94" s="64">
        <v>4</v>
      </c>
      <c r="L94" s="29">
        <v>8.8000000000000007</v>
      </c>
      <c r="M94" s="29">
        <v>1957</v>
      </c>
      <c r="N94" s="29"/>
      <c r="O94" s="65" t="s">
        <v>69</v>
      </c>
      <c r="P94" s="70" t="s">
        <v>730</v>
      </c>
      <c r="Q94" s="24" t="s">
        <v>27</v>
      </c>
      <c r="R94" s="54" t="str">
        <f t="shared" si="9"/>
        <v>OK</v>
      </c>
      <c r="S94" s="29" t="s">
        <v>27</v>
      </c>
      <c r="T94" s="29" t="s">
        <v>33</v>
      </c>
      <c r="U94" s="29"/>
      <c r="V94" s="22"/>
      <c r="W94" s="45"/>
      <c r="X94" s="75"/>
      <c r="Y94" s="75"/>
      <c r="Z94" s="39">
        <f t="shared" si="16"/>
        <v>0</v>
      </c>
      <c r="AA94" s="39">
        <f t="shared" si="10"/>
        <v>0</v>
      </c>
      <c r="AB94" s="39">
        <f t="shared" si="17"/>
        <v>0</v>
      </c>
      <c r="AC94" s="39">
        <f t="shared" si="18"/>
        <v>0</v>
      </c>
      <c r="AD94" s="39">
        <f t="shared" si="12"/>
        <v>0</v>
      </c>
      <c r="AE94" s="39">
        <f t="shared" si="13"/>
        <v>0</v>
      </c>
      <c r="AF94" s="39">
        <f t="shared" si="14"/>
        <v>0</v>
      </c>
      <c r="AG94" s="39" t="str">
        <f t="shared" si="15"/>
        <v>E</v>
      </c>
    </row>
    <row r="95" spans="1:35" ht="35.1" hidden="1" customHeight="1" x14ac:dyDescent="0.25">
      <c r="A95" s="61">
        <v>94</v>
      </c>
      <c r="B95" s="62" t="s">
        <v>186</v>
      </c>
      <c r="C95" s="61" t="s">
        <v>13</v>
      </c>
      <c r="D95" s="61" t="s">
        <v>362</v>
      </c>
      <c r="E95" s="61" t="s">
        <v>42</v>
      </c>
      <c r="F95" s="62" t="s">
        <v>186</v>
      </c>
      <c r="G95" s="62" t="s">
        <v>556</v>
      </c>
      <c r="H95" s="63" t="s">
        <v>522</v>
      </c>
      <c r="I95" s="29">
        <v>12.3</v>
      </c>
      <c r="J95" s="64">
        <v>1</v>
      </c>
      <c r="K95" s="64">
        <v>12.3</v>
      </c>
      <c r="L95" s="29">
        <v>10.7</v>
      </c>
      <c r="M95" s="29"/>
      <c r="N95" s="29"/>
      <c r="O95" s="65" t="s">
        <v>694</v>
      </c>
      <c r="P95" s="70" t="s">
        <v>730</v>
      </c>
      <c r="Q95" s="24" t="s">
        <v>857</v>
      </c>
      <c r="R95" s="54" t="str">
        <f t="shared" si="9"/>
        <v>OK</v>
      </c>
      <c r="S95" s="29" t="s">
        <v>27</v>
      </c>
      <c r="T95" s="29" t="s">
        <v>32</v>
      </c>
      <c r="U95" s="29"/>
      <c r="V95" s="22"/>
      <c r="W95" s="45"/>
      <c r="X95" s="75"/>
      <c r="Y95" s="75"/>
      <c r="Z95" s="39">
        <f t="shared" si="16"/>
        <v>0</v>
      </c>
      <c r="AA95" s="39">
        <f t="shared" si="10"/>
        <v>1</v>
      </c>
      <c r="AB95" s="39">
        <f t="shared" si="17"/>
        <v>0</v>
      </c>
      <c r="AC95" s="39">
        <f t="shared" si="18"/>
        <v>0</v>
      </c>
      <c r="AD95" s="39">
        <f t="shared" si="12"/>
        <v>0</v>
      </c>
      <c r="AE95" s="39">
        <f t="shared" si="13"/>
        <v>0</v>
      </c>
      <c r="AF95" s="39">
        <f t="shared" si="14"/>
        <v>0</v>
      </c>
      <c r="AG95" s="39">
        <f t="shared" si="15"/>
        <v>0</v>
      </c>
    </row>
    <row r="96" spans="1:35" ht="35.1" hidden="1" customHeight="1" x14ac:dyDescent="0.25">
      <c r="A96" s="61">
        <v>95</v>
      </c>
      <c r="B96" s="62" t="s">
        <v>187</v>
      </c>
      <c r="C96" s="61" t="s">
        <v>13</v>
      </c>
      <c r="D96" s="61" t="s">
        <v>363</v>
      </c>
      <c r="E96" s="61" t="s">
        <v>42</v>
      </c>
      <c r="F96" s="62" t="s">
        <v>187</v>
      </c>
      <c r="G96" s="62" t="s">
        <v>278</v>
      </c>
      <c r="H96" s="63" t="s">
        <v>40</v>
      </c>
      <c r="I96" s="29">
        <v>15.5</v>
      </c>
      <c r="J96" s="64">
        <v>1</v>
      </c>
      <c r="K96" s="64">
        <v>15.5</v>
      </c>
      <c r="L96" s="29">
        <v>4.3</v>
      </c>
      <c r="M96" s="29"/>
      <c r="N96" s="29"/>
      <c r="O96" s="65" t="s">
        <v>21</v>
      </c>
      <c r="P96" s="70" t="s">
        <v>730</v>
      </c>
      <c r="Q96" s="24" t="s">
        <v>857</v>
      </c>
      <c r="R96" s="54" t="str">
        <f t="shared" si="9"/>
        <v>NARROW</v>
      </c>
      <c r="S96" s="29" t="s">
        <v>27</v>
      </c>
      <c r="T96" s="29" t="s">
        <v>33</v>
      </c>
      <c r="U96" s="29"/>
      <c r="V96" s="43">
        <v>2591</v>
      </c>
      <c r="W96" s="45">
        <v>2</v>
      </c>
      <c r="X96" s="75"/>
      <c r="Y96" s="75"/>
      <c r="Z96" s="39">
        <f t="shared" si="16"/>
        <v>1</v>
      </c>
      <c r="AA96" s="39">
        <f t="shared" si="10"/>
        <v>0</v>
      </c>
      <c r="AB96" s="39">
        <f t="shared" si="17"/>
        <v>0</v>
      </c>
      <c r="AC96" s="39">
        <f t="shared" si="18"/>
        <v>0</v>
      </c>
      <c r="AD96" s="39">
        <f t="shared" si="12"/>
        <v>0</v>
      </c>
      <c r="AE96" s="39">
        <f t="shared" si="13"/>
        <v>0</v>
      </c>
      <c r="AF96" s="39">
        <f t="shared" si="14"/>
        <v>0</v>
      </c>
      <c r="AG96" s="39">
        <f t="shared" si="15"/>
        <v>0</v>
      </c>
      <c r="AI96" s="1">
        <f>I96</f>
        <v>15.5</v>
      </c>
    </row>
    <row r="97" spans="1:33" ht="35.1" hidden="1" customHeight="1" x14ac:dyDescent="0.25">
      <c r="A97" s="61">
        <v>96</v>
      </c>
      <c r="B97" s="62" t="s">
        <v>188</v>
      </c>
      <c r="C97" s="61" t="s">
        <v>13</v>
      </c>
      <c r="D97" s="61" t="s">
        <v>363</v>
      </c>
      <c r="E97" s="61" t="s">
        <v>42</v>
      </c>
      <c r="F97" s="62" t="s">
        <v>557</v>
      </c>
      <c r="G97" s="62" t="s">
        <v>278</v>
      </c>
      <c r="H97" s="63" t="s">
        <v>522</v>
      </c>
      <c r="I97" s="29">
        <v>14.3</v>
      </c>
      <c r="J97" s="64">
        <v>2</v>
      </c>
      <c r="K97" s="64">
        <v>6.9</v>
      </c>
      <c r="L97" s="29">
        <v>7.3</v>
      </c>
      <c r="M97" s="29"/>
      <c r="N97" s="29"/>
      <c r="O97" s="65" t="s">
        <v>21</v>
      </c>
      <c r="P97" s="70" t="s">
        <v>730</v>
      </c>
      <c r="Q97" s="24" t="s">
        <v>27</v>
      </c>
      <c r="R97" s="54" t="str">
        <f t="shared" si="9"/>
        <v>OK</v>
      </c>
      <c r="S97" s="29" t="s">
        <v>27</v>
      </c>
      <c r="T97" s="29" t="s">
        <v>33</v>
      </c>
      <c r="U97" s="29"/>
      <c r="V97" s="43">
        <v>2591</v>
      </c>
      <c r="W97" s="45">
        <v>2</v>
      </c>
      <c r="X97" s="75"/>
      <c r="Y97" s="75"/>
      <c r="Z97" s="39">
        <f t="shared" si="16"/>
        <v>0</v>
      </c>
      <c r="AA97" s="39">
        <f t="shared" si="10"/>
        <v>0</v>
      </c>
      <c r="AB97" s="39">
        <f t="shared" si="17"/>
        <v>0</v>
      </c>
      <c r="AC97" s="39">
        <f t="shared" si="18"/>
        <v>0</v>
      </c>
      <c r="AD97" s="39">
        <f t="shared" si="12"/>
        <v>0</v>
      </c>
      <c r="AE97" s="39">
        <f t="shared" si="13"/>
        <v>0</v>
      </c>
      <c r="AF97" s="39">
        <f t="shared" si="14"/>
        <v>0</v>
      </c>
      <c r="AG97" s="39" t="str">
        <f t="shared" si="15"/>
        <v>E</v>
      </c>
    </row>
    <row r="98" spans="1:33" ht="35.1" hidden="1" customHeight="1" x14ac:dyDescent="0.25">
      <c r="A98" s="61">
        <v>97</v>
      </c>
      <c r="B98" s="62" t="s">
        <v>189</v>
      </c>
      <c r="C98" s="61" t="s">
        <v>13</v>
      </c>
      <c r="D98" s="61" t="s">
        <v>364</v>
      </c>
      <c r="E98" s="61" t="s">
        <v>42</v>
      </c>
      <c r="F98" s="62" t="s">
        <v>558</v>
      </c>
      <c r="G98" s="62" t="s">
        <v>278</v>
      </c>
      <c r="H98" s="63" t="s">
        <v>522</v>
      </c>
      <c r="I98" s="29">
        <v>22.1</v>
      </c>
      <c r="J98" s="64">
        <v>1</v>
      </c>
      <c r="K98" s="64"/>
      <c r="L98" s="29">
        <v>12</v>
      </c>
      <c r="M98" s="29">
        <v>2015</v>
      </c>
      <c r="N98" s="29"/>
      <c r="O98" s="65" t="s">
        <v>69</v>
      </c>
      <c r="P98" s="70" t="s">
        <v>730</v>
      </c>
      <c r="Q98" s="24" t="s">
        <v>27</v>
      </c>
      <c r="R98" s="54" t="str">
        <f t="shared" si="9"/>
        <v>OK</v>
      </c>
      <c r="S98" s="29" t="s">
        <v>27</v>
      </c>
      <c r="T98" s="29" t="s">
        <v>33</v>
      </c>
      <c r="U98" s="29"/>
      <c r="V98" s="22"/>
      <c r="W98" s="45"/>
      <c r="X98" s="75"/>
      <c r="Y98" s="75"/>
      <c r="Z98" s="39">
        <f t="shared" si="16"/>
        <v>0</v>
      </c>
      <c r="AA98" s="39">
        <f t="shared" si="10"/>
        <v>0</v>
      </c>
      <c r="AB98" s="39">
        <f t="shared" si="17"/>
        <v>0</v>
      </c>
      <c r="AC98" s="39">
        <f t="shared" si="18"/>
        <v>0</v>
      </c>
      <c r="AD98" s="39">
        <f t="shared" si="12"/>
        <v>0</v>
      </c>
      <c r="AE98" s="39">
        <f t="shared" si="13"/>
        <v>0</v>
      </c>
      <c r="AF98" s="39">
        <f t="shared" si="14"/>
        <v>0</v>
      </c>
      <c r="AG98" s="39" t="str">
        <f t="shared" si="15"/>
        <v>E</v>
      </c>
    </row>
    <row r="99" spans="1:33" ht="35.1" hidden="1" customHeight="1" x14ac:dyDescent="0.25">
      <c r="A99" s="61">
        <v>98</v>
      </c>
      <c r="B99" s="62" t="s">
        <v>190</v>
      </c>
      <c r="C99" s="61" t="s">
        <v>13</v>
      </c>
      <c r="D99" s="61" t="s">
        <v>365</v>
      </c>
      <c r="E99" s="61" t="s">
        <v>42</v>
      </c>
      <c r="F99" s="62" t="s">
        <v>558</v>
      </c>
      <c r="G99" s="62" t="s">
        <v>278</v>
      </c>
      <c r="H99" s="63" t="s">
        <v>522</v>
      </c>
      <c r="I99" s="29" t="s">
        <v>559</v>
      </c>
      <c r="J99" s="64">
        <v>1</v>
      </c>
      <c r="K99" s="64"/>
      <c r="L99" s="29">
        <v>6.8</v>
      </c>
      <c r="M99" s="29"/>
      <c r="N99" s="29"/>
      <c r="O99" s="65" t="s">
        <v>69</v>
      </c>
      <c r="P99" s="70" t="s">
        <v>730</v>
      </c>
      <c r="Q99" s="24" t="s">
        <v>857</v>
      </c>
      <c r="R99" s="54" t="str">
        <f t="shared" si="9"/>
        <v>NARROW</v>
      </c>
      <c r="S99" s="29" t="s">
        <v>27</v>
      </c>
      <c r="T99" s="29" t="s">
        <v>33</v>
      </c>
      <c r="U99" s="29"/>
      <c r="V99" s="22"/>
      <c r="W99" s="45"/>
      <c r="X99" s="75"/>
      <c r="Y99" s="75"/>
      <c r="Z99" s="39">
        <f t="shared" si="16"/>
        <v>1</v>
      </c>
      <c r="AA99" s="39">
        <f t="shared" si="10"/>
        <v>0</v>
      </c>
      <c r="AB99" s="39">
        <f t="shared" si="17"/>
        <v>0</v>
      </c>
      <c r="AC99" s="39">
        <f t="shared" si="18"/>
        <v>0</v>
      </c>
      <c r="AD99" s="39">
        <f t="shared" si="12"/>
        <v>0</v>
      </c>
      <c r="AE99" s="39">
        <f t="shared" si="13"/>
        <v>0</v>
      </c>
      <c r="AF99" s="39">
        <f t="shared" si="14"/>
        <v>0</v>
      </c>
      <c r="AG99" s="39">
        <f t="shared" si="15"/>
        <v>0</v>
      </c>
    </row>
    <row r="100" spans="1:33" ht="35.1" hidden="1" customHeight="1" x14ac:dyDescent="0.25">
      <c r="A100" s="61">
        <v>99</v>
      </c>
      <c r="B100" s="62" t="s">
        <v>191</v>
      </c>
      <c r="C100" s="61" t="s">
        <v>13</v>
      </c>
      <c r="D100" s="61" t="s">
        <v>365</v>
      </c>
      <c r="E100" s="61" t="s">
        <v>42</v>
      </c>
      <c r="F100" s="62" t="s">
        <v>558</v>
      </c>
      <c r="G100" s="62" t="s">
        <v>278</v>
      </c>
      <c r="H100" s="63" t="s">
        <v>522</v>
      </c>
      <c r="I100" s="29">
        <v>6.5</v>
      </c>
      <c r="J100" s="64">
        <v>1</v>
      </c>
      <c r="K100" s="64"/>
      <c r="L100" s="29">
        <v>9.1</v>
      </c>
      <c r="M100" s="30"/>
      <c r="N100" s="30"/>
      <c r="O100" s="65" t="s">
        <v>69</v>
      </c>
      <c r="P100" s="70" t="s">
        <v>730</v>
      </c>
      <c r="Q100" s="24" t="s">
        <v>27</v>
      </c>
      <c r="R100" s="54" t="str">
        <f t="shared" si="9"/>
        <v>OK</v>
      </c>
      <c r="S100" s="29" t="s">
        <v>27</v>
      </c>
      <c r="T100" s="29" t="s">
        <v>33</v>
      </c>
      <c r="U100" s="29"/>
      <c r="V100" s="22"/>
      <c r="W100" s="45"/>
      <c r="X100" s="75"/>
      <c r="Y100" s="75"/>
      <c r="Z100" s="39">
        <f t="shared" si="16"/>
        <v>0</v>
      </c>
      <c r="AA100" s="39">
        <f t="shared" si="10"/>
        <v>0</v>
      </c>
      <c r="AB100" s="39">
        <f t="shared" si="17"/>
        <v>0</v>
      </c>
      <c r="AC100" s="39">
        <f t="shared" si="18"/>
        <v>0</v>
      </c>
      <c r="AD100" s="39">
        <f t="shared" si="12"/>
        <v>0</v>
      </c>
      <c r="AE100" s="39">
        <f t="shared" si="13"/>
        <v>0</v>
      </c>
      <c r="AF100" s="39">
        <f t="shared" si="14"/>
        <v>0</v>
      </c>
      <c r="AG100" s="39" t="str">
        <f t="shared" si="15"/>
        <v>E</v>
      </c>
    </row>
    <row r="101" spans="1:33" ht="35.1" hidden="1" customHeight="1" x14ac:dyDescent="0.25">
      <c r="A101" s="61">
        <v>100</v>
      </c>
      <c r="B101" s="62" t="s">
        <v>191</v>
      </c>
      <c r="C101" s="61" t="s">
        <v>13</v>
      </c>
      <c r="D101" s="61" t="s">
        <v>365</v>
      </c>
      <c r="E101" s="61" t="s">
        <v>42</v>
      </c>
      <c r="F101" s="62" t="s">
        <v>558</v>
      </c>
      <c r="G101" s="62" t="s">
        <v>278</v>
      </c>
      <c r="H101" s="63" t="s">
        <v>854</v>
      </c>
      <c r="I101" s="29">
        <v>15</v>
      </c>
      <c r="J101" s="64">
        <v>2</v>
      </c>
      <c r="K101" s="64"/>
      <c r="L101" s="29">
        <v>8.1999999999999993</v>
      </c>
      <c r="M101" s="29"/>
      <c r="N101" s="29"/>
      <c r="O101" s="65" t="s">
        <v>695</v>
      </c>
      <c r="P101" s="70" t="s">
        <v>730</v>
      </c>
      <c r="Q101" s="24" t="s">
        <v>27</v>
      </c>
      <c r="R101" s="54" t="str">
        <f t="shared" si="9"/>
        <v>OK</v>
      </c>
      <c r="S101" s="29" t="s">
        <v>27</v>
      </c>
      <c r="T101" s="29" t="s">
        <v>33</v>
      </c>
      <c r="U101" s="29"/>
      <c r="V101" s="22"/>
      <c r="W101" s="45"/>
      <c r="X101" s="75"/>
      <c r="Y101" s="75"/>
      <c r="Z101" s="39">
        <f t="shared" si="16"/>
        <v>0</v>
      </c>
      <c r="AA101" s="39">
        <f t="shared" si="10"/>
        <v>0</v>
      </c>
      <c r="AB101" s="39">
        <f t="shared" si="17"/>
        <v>0</v>
      </c>
      <c r="AC101" s="39">
        <f t="shared" si="18"/>
        <v>0</v>
      </c>
      <c r="AD101" s="39">
        <f t="shared" si="12"/>
        <v>0</v>
      </c>
      <c r="AE101" s="39">
        <f t="shared" si="13"/>
        <v>0</v>
      </c>
      <c r="AF101" s="39">
        <f t="shared" si="14"/>
        <v>0</v>
      </c>
      <c r="AG101" s="39" t="str">
        <f t="shared" si="15"/>
        <v>E</v>
      </c>
    </row>
    <row r="102" spans="1:33" ht="35.1" hidden="1" customHeight="1" x14ac:dyDescent="0.25">
      <c r="A102" s="61">
        <v>101</v>
      </c>
      <c r="B102" s="62" t="s">
        <v>192</v>
      </c>
      <c r="C102" s="61" t="s">
        <v>13</v>
      </c>
      <c r="D102" s="61" t="s">
        <v>366</v>
      </c>
      <c r="E102" s="61" t="s">
        <v>42</v>
      </c>
      <c r="F102" s="62" t="s">
        <v>558</v>
      </c>
      <c r="G102" s="62" t="s">
        <v>278</v>
      </c>
      <c r="H102" s="63" t="s">
        <v>522</v>
      </c>
      <c r="I102" s="29">
        <v>4.4000000000000004</v>
      </c>
      <c r="J102" s="64">
        <v>1</v>
      </c>
      <c r="K102" s="64"/>
      <c r="L102" s="29">
        <v>6.6</v>
      </c>
      <c r="M102" s="29"/>
      <c r="N102" s="29"/>
      <c r="O102" s="65" t="s">
        <v>696</v>
      </c>
      <c r="P102" s="70" t="s">
        <v>730</v>
      </c>
      <c r="Q102" s="24" t="s">
        <v>857</v>
      </c>
      <c r="R102" s="54" t="str">
        <f t="shared" si="9"/>
        <v>NARROW</v>
      </c>
      <c r="S102" s="29" t="s">
        <v>27</v>
      </c>
      <c r="T102" s="29" t="s">
        <v>32</v>
      </c>
      <c r="U102" s="29"/>
      <c r="V102" s="22"/>
      <c r="W102" s="45"/>
      <c r="X102" s="75"/>
      <c r="Y102" s="75"/>
      <c r="Z102" s="39">
        <f t="shared" si="16"/>
        <v>1</v>
      </c>
      <c r="AA102" s="39">
        <f t="shared" si="10"/>
        <v>1</v>
      </c>
      <c r="AB102" s="39">
        <f t="shared" si="17"/>
        <v>0</v>
      </c>
      <c r="AC102" s="39">
        <f t="shared" si="18"/>
        <v>0</v>
      </c>
      <c r="AD102" s="39" t="str">
        <f t="shared" si="12"/>
        <v>B</v>
      </c>
      <c r="AE102" s="39">
        <f t="shared" si="13"/>
        <v>0</v>
      </c>
      <c r="AF102" s="39">
        <f t="shared" si="14"/>
        <v>0</v>
      </c>
      <c r="AG102" s="39">
        <f t="shared" si="15"/>
        <v>0</v>
      </c>
    </row>
    <row r="103" spans="1:33" ht="35.1" hidden="1" customHeight="1" x14ac:dyDescent="0.25">
      <c r="A103" s="61">
        <v>102</v>
      </c>
      <c r="B103" s="62" t="s">
        <v>161</v>
      </c>
      <c r="C103" s="61" t="s">
        <v>13</v>
      </c>
      <c r="D103" s="64" t="s">
        <v>345</v>
      </c>
      <c r="E103" s="61" t="s">
        <v>42</v>
      </c>
      <c r="F103" s="62" t="s">
        <v>186</v>
      </c>
      <c r="G103" s="62" t="s">
        <v>525</v>
      </c>
      <c r="H103" s="63" t="s">
        <v>854</v>
      </c>
      <c r="I103" s="29">
        <v>12.5</v>
      </c>
      <c r="J103" s="64">
        <v>1</v>
      </c>
      <c r="K103" s="64"/>
      <c r="L103" s="29">
        <v>11.3</v>
      </c>
      <c r="M103" s="30"/>
      <c r="N103" s="30"/>
      <c r="O103" s="65" t="s">
        <v>880</v>
      </c>
      <c r="P103" s="70" t="s">
        <v>731</v>
      </c>
      <c r="Q103" s="24" t="s">
        <v>102</v>
      </c>
      <c r="R103" s="54" t="str">
        <f t="shared" si="9"/>
        <v>OK</v>
      </c>
      <c r="S103" s="29" t="s">
        <v>102</v>
      </c>
      <c r="T103" s="29" t="s">
        <v>32</v>
      </c>
      <c r="U103" s="29"/>
      <c r="V103" s="29"/>
      <c r="W103" s="46"/>
      <c r="X103" s="76"/>
      <c r="Y103" s="76"/>
      <c r="Z103" s="39">
        <f t="shared" si="16"/>
        <v>0</v>
      </c>
      <c r="AA103" s="39">
        <f t="shared" si="10"/>
        <v>1</v>
      </c>
      <c r="AB103" s="39">
        <f t="shared" si="17"/>
        <v>1</v>
      </c>
      <c r="AC103" s="39">
        <f t="shared" si="18"/>
        <v>0</v>
      </c>
      <c r="AD103" s="39">
        <f t="shared" si="12"/>
        <v>0</v>
      </c>
      <c r="AE103" s="39" t="str">
        <f t="shared" si="13"/>
        <v>C</v>
      </c>
      <c r="AF103" s="39">
        <f t="shared" si="14"/>
        <v>0</v>
      </c>
      <c r="AG103" s="39">
        <f t="shared" si="15"/>
        <v>0</v>
      </c>
    </row>
    <row r="104" spans="1:33" ht="35.1" hidden="1" customHeight="1" x14ac:dyDescent="0.25">
      <c r="A104" s="61">
        <v>103</v>
      </c>
      <c r="B104" s="62" t="s">
        <v>194</v>
      </c>
      <c r="C104" s="61" t="s">
        <v>13</v>
      </c>
      <c r="D104" s="64" t="s">
        <v>345</v>
      </c>
      <c r="E104" s="61" t="s">
        <v>42</v>
      </c>
      <c r="F104" s="62" t="s">
        <v>194</v>
      </c>
      <c r="G104" s="62" t="s">
        <v>525</v>
      </c>
      <c r="H104" s="63" t="s">
        <v>854</v>
      </c>
      <c r="I104" s="29">
        <v>32</v>
      </c>
      <c r="J104" s="64">
        <v>4</v>
      </c>
      <c r="K104" s="64"/>
      <c r="L104" s="29">
        <v>6.5</v>
      </c>
      <c r="M104" s="29"/>
      <c r="N104" s="29"/>
      <c r="O104" s="65" t="s">
        <v>698</v>
      </c>
      <c r="P104" s="70" t="s">
        <v>730</v>
      </c>
      <c r="Q104" s="24" t="s">
        <v>857</v>
      </c>
      <c r="R104" s="54" t="str">
        <f t="shared" si="9"/>
        <v>NARROW</v>
      </c>
      <c r="S104" s="29" t="s">
        <v>27</v>
      </c>
      <c r="T104" s="29" t="s">
        <v>33</v>
      </c>
      <c r="U104" s="29"/>
      <c r="V104" s="29"/>
      <c r="W104" s="46"/>
      <c r="X104" s="76"/>
      <c r="Y104" s="76"/>
      <c r="Z104" s="39">
        <f t="shared" si="16"/>
        <v>1</v>
      </c>
      <c r="AA104" s="39">
        <f t="shared" si="10"/>
        <v>0</v>
      </c>
      <c r="AB104" s="39">
        <f t="shared" si="17"/>
        <v>0</v>
      </c>
      <c r="AC104" s="39">
        <f t="shared" si="18"/>
        <v>0</v>
      </c>
      <c r="AD104" s="39">
        <f t="shared" si="12"/>
        <v>0</v>
      </c>
      <c r="AE104" s="39">
        <f t="shared" si="13"/>
        <v>0</v>
      </c>
      <c r="AF104" s="39">
        <f t="shared" si="14"/>
        <v>0</v>
      </c>
      <c r="AG104" s="39">
        <f t="shared" si="15"/>
        <v>0</v>
      </c>
    </row>
    <row r="105" spans="1:33" ht="35.1" customHeight="1" x14ac:dyDescent="0.25">
      <c r="A105" s="61">
        <v>104</v>
      </c>
      <c r="B105" s="62" t="s">
        <v>277</v>
      </c>
      <c r="C105" s="61" t="s">
        <v>13</v>
      </c>
      <c r="D105" s="64" t="s">
        <v>369</v>
      </c>
      <c r="E105" s="61" t="s">
        <v>42</v>
      </c>
      <c r="F105" s="62" t="s">
        <v>186</v>
      </c>
      <c r="G105" s="62" t="s">
        <v>527</v>
      </c>
      <c r="H105" s="63" t="s">
        <v>854</v>
      </c>
      <c r="I105" s="29">
        <v>21.3</v>
      </c>
      <c r="J105" s="64">
        <v>2</v>
      </c>
      <c r="K105" s="64">
        <v>10.199999999999999</v>
      </c>
      <c r="L105" s="29">
        <v>6.8</v>
      </c>
      <c r="M105" s="29"/>
      <c r="N105" s="29"/>
      <c r="O105" s="65" t="s">
        <v>728</v>
      </c>
      <c r="P105" s="70" t="s">
        <v>734</v>
      </c>
      <c r="Q105" s="24" t="s">
        <v>102</v>
      </c>
      <c r="R105" s="54" t="str">
        <f t="shared" si="9"/>
        <v>NARROW</v>
      </c>
      <c r="S105" s="29" t="s">
        <v>102</v>
      </c>
      <c r="T105" s="29" t="s">
        <v>32</v>
      </c>
      <c r="U105" s="29"/>
      <c r="V105" s="29"/>
      <c r="W105" s="46"/>
      <c r="X105" s="76"/>
      <c r="Y105" s="76"/>
      <c r="Z105" s="39">
        <f t="shared" si="16"/>
        <v>1</v>
      </c>
      <c r="AA105" s="39">
        <f t="shared" si="10"/>
        <v>1</v>
      </c>
      <c r="AB105" s="39">
        <f t="shared" si="17"/>
        <v>1</v>
      </c>
      <c r="AC105" s="39" t="str">
        <f t="shared" si="18"/>
        <v>A</v>
      </c>
      <c r="AD105" s="39" t="str">
        <f t="shared" si="12"/>
        <v>B</v>
      </c>
      <c r="AE105" s="39" t="str">
        <f t="shared" si="13"/>
        <v>C</v>
      </c>
      <c r="AF105" s="39" t="str">
        <f t="shared" si="14"/>
        <v>D</v>
      </c>
      <c r="AG105" s="39">
        <f t="shared" si="15"/>
        <v>0</v>
      </c>
    </row>
    <row r="106" spans="1:33" ht="35.1" hidden="1" customHeight="1" x14ac:dyDescent="0.25">
      <c r="A106" s="61">
        <v>105</v>
      </c>
      <c r="B106" s="62" t="s">
        <v>196</v>
      </c>
      <c r="C106" s="61" t="s">
        <v>13</v>
      </c>
      <c r="D106" s="61" t="s">
        <v>369</v>
      </c>
      <c r="E106" s="61" t="s">
        <v>42</v>
      </c>
      <c r="F106" s="62" t="s">
        <v>186</v>
      </c>
      <c r="G106" s="62" t="s">
        <v>527</v>
      </c>
      <c r="H106" s="63" t="s">
        <v>854</v>
      </c>
      <c r="I106" s="29">
        <v>10.199999999999999</v>
      </c>
      <c r="J106" s="64">
        <v>1</v>
      </c>
      <c r="K106" s="64">
        <v>5</v>
      </c>
      <c r="L106" s="29">
        <v>10</v>
      </c>
      <c r="M106" s="30"/>
      <c r="N106" s="30"/>
      <c r="O106" s="65" t="s">
        <v>69</v>
      </c>
      <c r="P106" s="70" t="s">
        <v>730</v>
      </c>
      <c r="Q106" s="24" t="s">
        <v>27</v>
      </c>
      <c r="R106" s="54" t="str">
        <f t="shared" si="9"/>
        <v>OK</v>
      </c>
      <c r="S106" s="29" t="s">
        <v>27</v>
      </c>
      <c r="T106" s="29" t="s">
        <v>33</v>
      </c>
      <c r="U106" s="29"/>
      <c r="V106" s="22"/>
      <c r="W106" s="45"/>
      <c r="X106" s="75"/>
      <c r="Y106" s="75"/>
      <c r="Z106" s="39">
        <f t="shared" si="16"/>
        <v>0</v>
      </c>
      <c r="AA106" s="39">
        <f t="shared" si="10"/>
        <v>0</v>
      </c>
      <c r="AB106" s="39">
        <f t="shared" si="17"/>
        <v>0</v>
      </c>
      <c r="AC106" s="39">
        <f t="shared" si="18"/>
        <v>0</v>
      </c>
      <c r="AD106" s="39">
        <f t="shared" si="12"/>
        <v>0</v>
      </c>
      <c r="AE106" s="39">
        <f t="shared" si="13"/>
        <v>0</v>
      </c>
      <c r="AF106" s="39">
        <f t="shared" si="14"/>
        <v>0</v>
      </c>
      <c r="AG106" s="39" t="str">
        <f t="shared" si="15"/>
        <v>E</v>
      </c>
    </row>
    <row r="107" spans="1:33" ht="35.1" hidden="1" customHeight="1" x14ac:dyDescent="0.25">
      <c r="A107" s="61">
        <v>106</v>
      </c>
      <c r="B107" s="62" t="s">
        <v>196</v>
      </c>
      <c r="C107" s="61" t="s">
        <v>13</v>
      </c>
      <c r="D107" s="61" t="s">
        <v>369</v>
      </c>
      <c r="E107" s="61" t="s">
        <v>42</v>
      </c>
      <c r="F107" s="62" t="s">
        <v>186</v>
      </c>
      <c r="G107" s="62" t="s">
        <v>527</v>
      </c>
      <c r="H107" s="63" t="s">
        <v>854</v>
      </c>
      <c r="I107" s="29">
        <v>12</v>
      </c>
      <c r="J107" s="64">
        <v>1</v>
      </c>
      <c r="K107" s="64">
        <v>9.3000000000000007</v>
      </c>
      <c r="L107" s="29">
        <v>10</v>
      </c>
      <c r="M107" s="29"/>
      <c r="N107" s="29"/>
      <c r="O107" s="65" t="s">
        <v>700</v>
      </c>
      <c r="P107" s="70" t="s">
        <v>730</v>
      </c>
      <c r="Q107" s="24" t="s">
        <v>27</v>
      </c>
      <c r="R107" s="54" t="str">
        <f t="shared" si="9"/>
        <v>OK</v>
      </c>
      <c r="S107" s="29" t="s">
        <v>27</v>
      </c>
      <c r="T107" s="29" t="s">
        <v>33</v>
      </c>
      <c r="U107" s="29"/>
      <c r="V107" s="22"/>
      <c r="W107" s="45"/>
      <c r="X107" s="75"/>
      <c r="Y107" s="75"/>
      <c r="Z107" s="39">
        <f t="shared" si="16"/>
        <v>0</v>
      </c>
      <c r="AA107" s="39">
        <f t="shared" si="10"/>
        <v>0</v>
      </c>
      <c r="AB107" s="39">
        <f t="shared" si="17"/>
        <v>0</v>
      </c>
      <c r="AC107" s="39">
        <f t="shared" si="18"/>
        <v>0</v>
      </c>
      <c r="AD107" s="39">
        <f t="shared" si="12"/>
        <v>0</v>
      </c>
      <c r="AE107" s="39">
        <f t="shared" si="13"/>
        <v>0</v>
      </c>
      <c r="AF107" s="39">
        <f t="shared" si="14"/>
        <v>0</v>
      </c>
      <c r="AG107" s="39" t="str">
        <f t="shared" si="15"/>
        <v>E</v>
      </c>
    </row>
    <row r="108" spans="1:33" ht="35.1" customHeight="1" x14ac:dyDescent="0.25">
      <c r="A108" s="61">
        <v>107</v>
      </c>
      <c r="B108" s="62" t="s">
        <v>163</v>
      </c>
      <c r="C108" s="61" t="s">
        <v>13</v>
      </c>
      <c r="D108" s="61" t="s">
        <v>347</v>
      </c>
      <c r="E108" s="61" t="s">
        <v>42</v>
      </c>
      <c r="F108" s="62" t="s">
        <v>186</v>
      </c>
      <c r="G108" s="62" t="s">
        <v>527</v>
      </c>
      <c r="H108" s="63" t="s">
        <v>854</v>
      </c>
      <c r="I108" s="29">
        <v>21.5</v>
      </c>
      <c r="J108" s="64">
        <v>2</v>
      </c>
      <c r="K108" s="64">
        <v>10.5</v>
      </c>
      <c r="L108" s="29">
        <v>6.75</v>
      </c>
      <c r="M108" s="29"/>
      <c r="N108" s="29"/>
      <c r="O108" s="65" t="s">
        <v>688</v>
      </c>
      <c r="P108" s="70" t="s">
        <v>731</v>
      </c>
      <c r="Q108" s="24" t="s">
        <v>102</v>
      </c>
      <c r="R108" s="54" t="str">
        <f t="shared" si="9"/>
        <v>NARROW</v>
      </c>
      <c r="S108" s="29" t="s">
        <v>102</v>
      </c>
      <c r="T108" s="29" t="s">
        <v>32</v>
      </c>
      <c r="U108" s="29"/>
      <c r="V108" s="22"/>
      <c r="W108" s="45"/>
      <c r="X108" s="75"/>
      <c r="Y108" s="75"/>
      <c r="Z108" s="39">
        <f t="shared" si="16"/>
        <v>1</v>
      </c>
      <c r="AA108" s="39">
        <f t="shared" si="10"/>
        <v>1</v>
      </c>
      <c r="AB108" s="39">
        <f t="shared" si="17"/>
        <v>1</v>
      </c>
      <c r="AC108" s="39" t="str">
        <f t="shared" si="18"/>
        <v>A</v>
      </c>
      <c r="AD108" s="39" t="str">
        <f t="shared" si="12"/>
        <v>B</v>
      </c>
      <c r="AE108" s="39" t="str">
        <f t="shared" si="13"/>
        <v>C</v>
      </c>
      <c r="AF108" s="39" t="str">
        <f t="shared" si="14"/>
        <v>D</v>
      </c>
      <c r="AG108" s="39">
        <f t="shared" si="15"/>
        <v>0</v>
      </c>
    </row>
    <row r="109" spans="1:33" ht="35.1" customHeight="1" x14ac:dyDescent="0.25">
      <c r="A109" s="61">
        <v>108</v>
      </c>
      <c r="B109" s="62" t="s">
        <v>278</v>
      </c>
      <c r="C109" s="61" t="s">
        <v>13</v>
      </c>
      <c r="D109" s="61" t="s">
        <v>456</v>
      </c>
      <c r="E109" s="61" t="s">
        <v>42</v>
      </c>
      <c r="F109" s="62" t="s">
        <v>530</v>
      </c>
      <c r="G109" s="62" t="s">
        <v>525</v>
      </c>
      <c r="H109" s="63" t="s">
        <v>854</v>
      </c>
      <c r="I109" s="29">
        <v>64</v>
      </c>
      <c r="J109" s="64">
        <v>4</v>
      </c>
      <c r="K109" s="64"/>
      <c r="L109" s="29">
        <v>7.1</v>
      </c>
      <c r="M109" s="29"/>
      <c r="N109" s="29"/>
      <c r="O109" s="65" t="s">
        <v>729</v>
      </c>
      <c r="P109" s="70" t="s">
        <v>734</v>
      </c>
      <c r="Q109" s="24" t="s">
        <v>102</v>
      </c>
      <c r="R109" s="54" t="str">
        <f t="shared" si="9"/>
        <v>NARROW</v>
      </c>
      <c r="S109" s="29" t="s">
        <v>102</v>
      </c>
      <c r="T109" s="29" t="s">
        <v>32</v>
      </c>
      <c r="U109" s="29"/>
      <c r="V109" s="22"/>
      <c r="W109" s="45"/>
      <c r="X109" s="75"/>
      <c r="Y109" s="75"/>
      <c r="Z109" s="39">
        <f t="shared" si="16"/>
        <v>1</v>
      </c>
      <c r="AA109" s="39">
        <f t="shared" si="10"/>
        <v>1</v>
      </c>
      <c r="AB109" s="39">
        <f t="shared" si="17"/>
        <v>1</v>
      </c>
      <c r="AC109" s="39" t="str">
        <f t="shared" si="18"/>
        <v>A</v>
      </c>
      <c r="AD109" s="39" t="str">
        <f t="shared" si="12"/>
        <v>B</v>
      </c>
      <c r="AE109" s="39" t="str">
        <f t="shared" si="13"/>
        <v>C</v>
      </c>
      <c r="AF109" s="39" t="str">
        <f t="shared" si="14"/>
        <v>D</v>
      </c>
      <c r="AG109" s="39">
        <f t="shared" si="15"/>
        <v>0</v>
      </c>
    </row>
    <row r="110" spans="1:33" ht="35.1" hidden="1" customHeight="1" x14ac:dyDescent="0.25">
      <c r="A110" s="61">
        <v>109</v>
      </c>
      <c r="B110" s="62" t="s">
        <v>199</v>
      </c>
      <c r="C110" s="61" t="s">
        <v>13</v>
      </c>
      <c r="D110" s="61" t="s">
        <v>371</v>
      </c>
      <c r="E110" s="61" t="s">
        <v>42</v>
      </c>
      <c r="F110" s="62" t="s">
        <v>530</v>
      </c>
      <c r="G110" s="62" t="s">
        <v>525</v>
      </c>
      <c r="H110" s="63" t="s">
        <v>522</v>
      </c>
      <c r="I110" s="29">
        <v>14</v>
      </c>
      <c r="J110" s="64">
        <v>2</v>
      </c>
      <c r="K110" s="64"/>
      <c r="L110" s="29">
        <v>6.8</v>
      </c>
      <c r="M110" s="29"/>
      <c r="N110" s="29"/>
      <c r="O110" s="65" t="s">
        <v>703</v>
      </c>
      <c r="P110" s="70" t="s">
        <v>730</v>
      </c>
      <c r="Q110" s="24" t="s">
        <v>857</v>
      </c>
      <c r="R110" s="54" t="str">
        <f t="shared" si="9"/>
        <v>NARROW</v>
      </c>
      <c r="S110" s="29" t="s">
        <v>27</v>
      </c>
      <c r="T110" s="29" t="s">
        <v>33</v>
      </c>
      <c r="U110" s="29"/>
      <c r="V110" s="22"/>
      <c r="W110" s="45"/>
      <c r="X110" s="75"/>
      <c r="Y110" s="75"/>
      <c r="Z110" s="39">
        <f t="shared" si="16"/>
        <v>1</v>
      </c>
      <c r="AA110" s="39">
        <f t="shared" si="10"/>
        <v>0</v>
      </c>
      <c r="AB110" s="39">
        <f t="shared" si="17"/>
        <v>0</v>
      </c>
      <c r="AC110" s="39">
        <f t="shared" si="18"/>
        <v>0</v>
      </c>
      <c r="AD110" s="39">
        <f t="shared" si="12"/>
        <v>0</v>
      </c>
      <c r="AE110" s="39">
        <f t="shared" si="13"/>
        <v>0</v>
      </c>
      <c r="AF110" s="39">
        <f t="shared" si="14"/>
        <v>0</v>
      </c>
      <c r="AG110" s="39">
        <f t="shared" si="15"/>
        <v>0</v>
      </c>
    </row>
    <row r="111" spans="1:33" ht="35.1" customHeight="1" x14ac:dyDescent="0.25">
      <c r="A111" s="61">
        <v>110</v>
      </c>
      <c r="B111" s="62" t="s">
        <v>165</v>
      </c>
      <c r="C111" s="61" t="s">
        <v>13</v>
      </c>
      <c r="D111" s="61" t="s">
        <v>349</v>
      </c>
      <c r="E111" s="61" t="s">
        <v>42</v>
      </c>
      <c r="F111" s="62" t="s">
        <v>530</v>
      </c>
      <c r="G111" s="62" t="s">
        <v>525</v>
      </c>
      <c r="H111" s="63" t="s">
        <v>522</v>
      </c>
      <c r="I111" s="29">
        <v>14</v>
      </c>
      <c r="J111" s="64">
        <v>2</v>
      </c>
      <c r="K111" s="64"/>
      <c r="L111" s="29">
        <v>7.2</v>
      </c>
      <c r="M111" s="30"/>
      <c r="N111" s="30"/>
      <c r="O111" s="65" t="s">
        <v>881</v>
      </c>
      <c r="P111" s="70" t="s">
        <v>731</v>
      </c>
      <c r="Q111" s="24" t="s">
        <v>102</v>
      </c>
      <c r="R111" s="54" t="str">
        <f t="shared" si="9"/>
        <v>NARROW</v>
      </c>
      <c r="S111" s="29" t="s">
        <v>102</v>
      </c>
      <c r="T111" s="29" t="s">
        <v>32</v>
      </c>
      <c r="U111" s="29"/>
      <c r="V111" s="22"/>
      <c r="W111" s="45"/>
      <c r="X111" s="75"/>
      <c r="Y111" s="75"/>
      <c r="Z111" s="39">
        <f t="shared" si="16"/>
        <v>1</v>
      </c>
      <c r="AA111" s="39">
        <f t="shared" si="10"/>
        <v>1</v>
      </c>
      <c r="AB111" s="39">
        <f t="shared" si="17"/>
        <v>1</v>
      </c>
      <c r="AC111" s="39" t="str">
        <f t="shared" si="18"/>
        <v>A</v>
      </c>
      <c r="AD111" s="39" t="str">
        <f t="shared" si="12"/>
        <v>B</v>
      </c>
      <c r="AE111" s="39" t="str">
        <f t="shared" si="13"/>
        <v>C</v>
      </c>
      <c r="AF111" s="39" t="str">
        <f t="shared" si="14"/>
        <v>D</v>
      </c>
      <c r="AG111" s="39">
        <f t="shared" si="15"/>
        <v>0</v>
      </c>
    </row>
    <row r="112" spans="1:33" ht="35.1" hidden="1" customHeight="1" x14ac:dyDescent="0.25">
      <c r="A112" s="61">
        <v>111</v>
      </c>
      <c r="B112" s="62" t="s">
        <v>166</v>
      </c>
      <c r="C112" s="61" t="s">
        <v>13</v>
      </c>
      <c r="D112" s="61" t="s">
        <v>349</v>
      </c>
      <c r="E112" s="61" t="s">
        <v>42</v>
      </c>
      <c r="F112" s="62" t="s">
        <v>530</v>
      </c>
      <c r="G112" s="62" t="s">
        <v>525</v>
      </c>
      <c r="H112" s="63" t="s">
        <v>522</v>
      </c>
      <c r="I112" s="29">
        <v>6.3</v>
      </c>
      <c r="J112" s="64">
        <v>1</v>
      </c>
      <c r="K112" s="64"/>
      <c r="L112" s="29">
        <v>7</v>
      </c>
      <c r="M112" s="29"/>
      <c r="N112" s="29"/>
      <c r="O112" s="65" t="s">
        <v>689</v>
      </c>
      <c r="P112" s="70" t="s">
        <v>731</v>
      </c>
      <c r="Q112" s="24" t="s">
        <v>857</v>
      </c>
      <c r="R112" s="54" t="str">
        <f t="shared" si="9"/>
        <v>NARROW</v>
      </c>
      <c r="S112" s="29" t="s">
        <v>27</v>
      </c>
      <c r="T112" s="29" t="s">
        <v>32</v>
      </c>
      <c r="U112" s="29"/>
      <c r="V112" s="22"/>
      <c r="W112" s="45"/>
      <c r="X112" s="75"/>
      <c r="Y112" s="75"/>
      <c r="Z112" s="39">
        <f t="shared" si="16"/>
        <v>1</v>
      </c>
      <c r="AA112" s="39">
        <f t="shared" si="10"/>
        <v>1</v>
      </c>
      <c r="AB112" s="39">
        <f t="shared" si="17"/>
        <v>0</v>
      </c>
      <c r="AC112" s="39">
        <f t="shared" si="18"/>
        <v>0</v>
      </c>
      <c r="AD112" s="39" t="str">
        <f t="shared" si="12"/>
        <v>B</v>
      </c>
      <c r="AE112" s="39">
        <f t="shared" si="13"/>
        <v>0</v>
      </c>
      <c r="AF112" s="39">
        <f t="shared" si="14"/>
        <v>0</v>
      </c>
      <c r="AG112" s="39">
        <f t="shared" si="15"/>
        <v>0</v>
      </c>
    </row>
    <row r="113" spans="1:35" ht="35.1" hidden="1" customHeight="1" x14ac:dyDescent="0.25">
      <c r="A113" s="61">
        <v>112</v>
      </c>
      <c r="B113" s="62" t="s">
        <v>172</v>
      </c>
      <c r="C113" s="61" t="s">
        <v>13</v>
      </c>
      <c r="D113" s="61" t="s">
        <v>349</v>
      </c>
      <c r="E113" s="61" t="s">
        <v>42</v>
      </c>
      <c r="F113" s="62" t="s">
        <v>530</v>
      </c>
      <c r="G113" s="62" t="s">
        <v>525</v>
      </c>
      <c r="H113" s="63" t="s">
        <v>522</v>
      </c>
      <c r="I113" s="29">
        <v>14</v>
      </c>
      <c r="J113" s="64">
        <v>2</v>
      </c>
      <c r="K113" s="64">
        <v>6.1</v>
      </c>
      <c r="L113" s="29">
        <v>7.2</v>
      </c>
      <c r="M113" s="29"/>
      <c r="N113" s="29"/>
      <c r="O113" s="65" t="s">
        <v>691</v>
      </c>
      <c r="P113" s="70" t="s">
        <v>731</v>
      </c>
      <c r="Q113" s="24" t="s">
        <v>857</v>
      </c>
      <c r="R113" s="54" t="str">
        <f t="shared" si="9"/>
        <v>NARROW</v>
      </c>
      <c r="S113" s="29" t="s">
        <v>27</v>
      </c>
      <c r="T113" s="29" t="s">
        <v>32</v>
      </c>
      <c r="U113" s="29"/>
      <c r="V113" s="22"/>
      <c r="W113" s="45"/>
      <c r="X113" s="75"/>
      <c r="Y113" s="75"/>
      <c r="Z113" s="39">
        <f t="shared" si="16"/>
        <v>1</v>
      </c>
      <c r="AA113" s="39">
        <f t="shared" si="10"/>
        <v>1</v>
      </c>
      <c r="AB113" s="39">
        <f t="shared" si="17"/>
        <v>0</v>
      </c>
      <c r="AC113" s="39">
        <f t="shared" si="18"/>
        <v>0</v>
      </c>
      <c r="AD113" s="39" t="str">
        <f t="shared" si="12"/>
        <v>B</v>
      </c>
      <c r="AE113" s="39">
        <f t="shared" si="13"/>
        <v>0</v>
      </c>
      <c r="AF113" s="39">
        <f t="shared" si="14"/>
        <v>0</v>
      </c>
      <c r="AG113" s="39">
        <f t="shared" si="15"/>
        <v>0</v>
      </c>
    </row>
    <row r="114" spans="1:35" ht="35.1" hidden="1" customHeight="1" x14ac:dyDescent="0.25">
      <c r="A114" s="61">
        <v>113</v>
      </c>
      <c r="B114" s="62" t="s">
        <v>110</v>
      </c>
      <c r="C114" s="61" t="s">
        <v>13</v>
      </c>
      <c r="D114" s="24" t="s">
        <v>287</v>
      </c>
      <c r="E114" s="61" t="s">
        <v>42</v>
      </c>
      <c r="F114" s="62" t="s">
        <v>467</v>
      </c>
      <c r="G114" s="62" t="s">
        <v>468</v>
      </c>
      <c r="H114" s="63" t="s">
        <v>40</v>
      </c>
      <c r="I114" s="29">
        <v>39.799999999999997</v>
      </c>
      <c r="J114" s="64">
        <v>1</v>
      </c>
      <c r="K114" s="64"/>
      <c r="L114" s="29">
        <v>4.0999999999999996</v>
      </c>
      <c r="M114" s="29">
        <v>1994</v>
      </c>
      <c r="N114" s="29"/>
      <c r="O114" s="65" t="s">
        <v>644</v>
      </c>
      <c r="P114" s="70" t="s">
        <v>753</v>
      </c>
      <c r="Q114" s="24" t="s">
        <v>857</v>
      </c>
      <c r="R114" s="54" t="str">
        <f t="shared" si="9"/>
        <v>NARROW</v>
      </c>
      <c r="S114" s="29" t="s">
        <v>27</v>
      </c>
      <c r="T114" s="29" t="s">
        <v>32</v>
      </c>
      <c r="U114" s="29"/>
      <c r="V114" s="24"/>
      <c r="W114" s="47"/>
      <c r="X114" s="77"/>
      <c r="Y114" s="77"/>
      <c r="Z114" s="39">
        <f t="shared" si="16"/>
        <v>1</v>
      </c>
      <c r="AA114" s="39">
        <f t="shared" si="10"/>
        <v>1</v>
      </c>
      <c r="AB114" s="39">
        <f t="shared" si="17"/>
        <v>0</v>
      </c>
      <c r="AC114" s="39">
        <f t="shared" si="18"/>
        <v>0</v>
      </c>
      <c r="AD114" s="39" t="str">
        <f t="shared" si="12"/>
        <v>B</v>
      </c>
      <c r="AE114" s="39">
        <f t="shared" si="13"/>
        <v>0</v>
      </c>
      <c r="AF114" s="39">
        <f t="shared" si="14"/>
        <v>0</v>
      </c>
      <c r="AG114" s="39">
        <f t="shared" si="15"/>
        <v>0</v>
      </c>
      <c r="AI114" s="1">
        <f>I114</f>
        <v>39.799999999999997</v>
      </c>
    </row>
    <row r="115" spans="1:35" ht="35.1" customHeight="1" x14ac:dyDescent="0.25">
      <c r="A115" s="61">
        <v>114</v>
      </c>
      <c r="B115" s="62" t="s">
        <v>111</v>
      </c>
      <c r="C115" s="61" t="s">
        <v>13</v>
      </c>
      <c r="D115" s="61" t="s">
        <v>288</v>
      </c>
      <c r="E115" s="61" t="s">
        <v>42</v>
      </c>
      <c r="F115" s="62" t="s">
        <v>111</v>
      </c>
      <c r="G115" s="62" t="s">
        <v>469</v>
      </c>
      <c r="H115" s="63" t="s">
        <v>40</v>
      </c>
      <c r="I115" s="29">
        <v>36.5</v>
      </c>
      <c r="J115" s="64">
        <v>1</v>
      </c>
      <c r="K115" s="64">
        <v>36.5</v>
      </c>
      <c r="L115" s="29">
        <v>4.75</v>
      </c>
      <c r="M115" s="30"/>
      <c r="N115" s="30"/>
      <c r="O115" s="65" t="s">
        <v>645</v>
      </c>
      <c r="P115" s="70" t="s">
        <v>753</v>
      </c>
      <c r="Q115" s="24" t="s">
        <v>102</v>
      </c>
      <c r="R115" s="54" t="str">
        <f t="shared" si="9"/>
        <v>NARROW</v>
      </c>
      <c r="S115" s="29" t="s">
        <v>102</v>
      </c>
      <c r="T115" s="29" t="s">
        <v>32</v>
      </c>
      <c r="U115" s="29"/>
      <c r="V115" s="22"/>
      <c r="W115" s="45"/>
      <c r="X115" s="75"/>
      <c r="Y115" s="75"/>
      <c r="Z115" s="39">
        <f t="shared" si="16"/>
        <v>1</v>
      </c>
      <c r="AA115" s="39">
        <f t="shared" si="10"/>
        <v>1</v>
      </c>
      <c r="AB115" s="39">
        <f t="shared" si="17"/>
        <v>1</v>
      </c>
      <c r="AC115" s="39" t="str">
        <f t="shared" si="18"/>
        <v>A</v>
      </c>
      <c r="AD115" s="39" t="str">
        <f t="shared" si="12"/>
        <v>B</v>
      </c>
      <c r="AE115" s="39" t="str">
        <f t="shared" si="13"/>
        <v>C</v>
      </c>
      <c r="AF115" s="39" t="str">
        <f t="shared" si="14"/>
        <v>D</v>
      </c>
      <c r="AG115" s="39">
        <f t="shared" si="15"/>
        <v>0</v>
      </c>
      <c r="AI115" s="1">
        <f>I115</f>
        <v>36.5</v>
      </c>
    </row>
    <row r="116" spans="1:35" ht="35.1" hidden="1" customHeight="1" x14ac:dyDescent="0.25">
      <c r="A116" s="61">
        <v>115</v>
      </c>
      <c r="B116" s="70" t="s">
        <v>204</v>
      </c>
      <c r="C116" s="64" t="s">
        <v>13</v>
      </c>
      <c r="D116" s="64" t="s">
        <v>288</v>
      </c>
      <c r="E116" s="64" t="s">
        <v>42</v>
      </c>
      <c r="F116" s="70" t="s">
        <v>187</v>
      </c>
      <c r="G116" s="70" t="s">
        <v>572</v>
      </c>
      <c r="H116" s="64" t="s">
        <v>522</v>
      </c>
      <c r="I116" s="64">
        <v>14.85</v>
      </c>
      <c r="J116" s="64">
        <v>2</v>
      </c>
      <c r="K116" s="64">
        <v>7</v>
      </c>
      <c r="L116" s="64">
        <v>7</v>
      </c>
      <c r="M116" s="29"/>
      <c r="N116" s="29"/>
      <c r="O116" s="70" t="s">
        <v>709</v>
      </c>
      <c r="P116" s="70" t="s">
        <v>730</v>
      </c>
      <c r="Q116" s="24" t="s">
        <v>857</v>
      </c>
      <c r="R116" s="54" t="str">
        <f t="shared" si="9"/>
        <v>NARROW</v>
      </c>
      <c r="S116" s="29" t="s">
        <v>27</v>
      </c>
      <c r="T116" s="29" t="s">
        <v>33</v>
      </c>
      <c r="U116" s="29"/>
      <c r="V116" s="29"/>
      <c r="W116" s="46"/>
      <c r="X116" s="76"/>
      <c r="Y116" s="76"/>
      <c r="Z116" s="39">
        <f t="shared" si="16"/>
        <v>1</v>
      </c>
      <c r="AA116" s="39">
        <f t="shared" si="10"/>
        <v>0</v>
      </c>
      <c r="AB116" s="39">
        <f t="shared" si="17"/>
        <v>0</v>
      </c>
      <c r="AC116" s="39">
        <f t="shared" si="18"/>
        <v>0</v>
      </c>
      <c r="AD116" s="39">
        <f t="shared" si="12"/>
        <v>0</v>
      </c>
      <c r="AE116" s="39">
        <f t="shared" si="13"/>
        <v>0</v>
      </c>
      <c r="AF116" s="39">
        <f t="shared" si="14"/>
        <v>0</v>
      </c>
      <c r="AG116" s="39">
        <f t="shared" si="15"/>
        <v>0</v>
      </c>
    </row>
    <row r="117" spans="1:35" ht="35.1" hidden="1" customHeight="1" x14ac:dyDescent="0.25">
      <c r="A117" s="61">
        <v>116</v>
      </c>
      <c r="B117" s="70" t="s">
        <v>205</v>
      </c>
      <c r="C117" s="64" t="s">
        <v>13</v>
      </c>
      <c r="D117" s="64" t="s">
        <v>288</v>
      </c>
      <c r="E117" s="64" t="s">
        <v>42</v>
      </c>
      <c r="F117" s="70" t="s">
        <v>205</v>
      </c>
      <c r="G117" s="70" t="s">
        <v>572</v>
      </c>
      <c r="H117" s="64" t="s">
        <v>522</v>
      </c>
      <c r="I117" s="64">
        <v>5.8</v>
      </c>
      <c r="J117" s="64">
        <v>1</v>
      </c>
      <c r="K117" s="64">
        <v>5.2</v>
      </c>
      <c r="L117" s="64">
        <v>6.8</v>
      </c>
      <c r="M117" s="29"/>
      <c r="N117" s="29"/>
      <c r="O117" s="70" t="s">
        <v>710</v>
      </c>
      <c r="P117" s="70" t="s">
        <v>730</v>
      </c>
      <c r="Q117" s="24" t="s">
        <v>857</v>
      </c>
      <c r="R117" s="54" t="str">
        <f t="shared" si="9"/>
        <v>NARROW</v>
      </c>
      <c r="S117" s="29" t="s">
        <v>27</v>
      </c>
      <c r="T117" s="29" t="s">
        <v>33</v>
      </c>
      <c r="U117" s="29"/>
      <c r="V117" s="29"/>
      <c r="W117" s="46"/>
      <c r="X117" s="76"/>
      <c r="Y117" s="76"/>
      <c r="Z117" s="39">
        <f t="shared" si="16"/>
        <v>1</v>
      </c>
      <c r="AA117" s="39">
        <f t="shared" si="10"/>
        <v>0</v>
      </c>
      <c r="AB117" s="39">
        <f t="shared" si="17"/>
        <v>0</v>
      </c>
      <c r="AC117" s="39">
        <f t="shared" si="18"/>
        <v>0</v>
      </c>
      <c r="AD117" s="39">
        <f t="shared" si="12"/>
        <v>0</v>
      </c>
      <c r="AE117" s="39">
        <f t="shared" si="13"/>
        <v>0</v>
      </c>
      <c r="AF117" s="39">
        <f t="shared" si="14"/>
        <v>0</v>
      </c>
      <c r="AG117" s="39">
        <f t="shared" si="15"/>
        <v>0</v>
      </c>
    </row>
    <row r="118" spans="1:35" ht="35.1" hidden="1" customHeight="1" x14ac:dyDescent="0.25">
      <c r="A118" s="61">
        <v>117</v>
      </c>
      <c r="B118" s="70" t="s">
        <v>206</v>
      </c>
      <c r="C118" s="64" t="s">
        <v>13</v>
      </c>
      <c r="D118" s="64" t="s">
        <v>376</v>
      </c>
      <c r="E118" s="64" t="s">
        <v>42</v>
      </c>
      <c r="F118" s="70" t="s">
        <v>573</v>
      </c>
      <c r="G118" s="70" t="s">
        <v>16</v>
      </c>
      <c r="H118" s="64" t="s">
        <v>522</v>
      </c>
      <c r="I118" s="64">
        <v>7.1</v>
      </c>
      <c r="J118" s="64">
        <v>1</v>
      </c>
      <c r="K118" s="64"/>
      <c r="L118" s="64">
        <v>7.2</v>
      </c>
      <c r="M118" s="30"/>
      <c r="N118" s="30"/>
      <c r="O118" s="70" t="s">
        <v>69</v>
      </c>
      <c r="P118" s="70" t="s">
        <v>730</v>
      </c>
      <c r="Q118" s="24" t="s">
        <v>857</v>
      </c>
      <c r="R118" s="54" t="str">
        <f t="shared" si="9"/>
        <v>NARROW</v>
      </c>
      <c r="S118" s="29" t="s">
        <v>27</v>
      </c>
      <c r="T118" s="29" t="s">
        <v>33</v>
      </c>
      <c r="U118" s="29"/>
      <c r="V118" s="29"/>
      <c r="W118" s="46"/>
      <c r="X118" s="76"/>
      <c r="Y118" s="76"/>
      <c r="Z118" s="39">
        <f t="shared" si="16"/>
        <v>1</v>
      </c>
      <c r="AA118" s="39">
        <f t="shared" si="10"/>
        <v>0</v>
      </c>
      <c r="AB118" s="39">
        <f t="shared" si="17"/>
        <v>0</v>
      </c>
      <c r="AC118" s="39">
        <f t="shared" si="18"/>
        <v>0</v>
      </c>
      <c r="AD118" s="39">
        <f t="shared" si="12"/>
        <v>0</v>
      </c>
      <c r="AE118" s="39">
        <f t="shared" si="13"/>
        <v>0</v>
      </c>
      <c r="AF118" s="39">
        <f t="shared" si="14"/>
        <v>0</v>
      </c>
      <c r="AG118" s="39">
        <f t="shared" si="15"/>
        <v>0</v>
      </c>
    </row>
    <row r="119" spans="1:35" ht="35.1" hidden="1" customHeight="1" x14ac:dyDescent="0.25">
      <c r="A119" s="61">
        <v>118</v>
      </c>
      <c r="B119" s="70" t="s">
        <v>207</v>
      </c>
      <c r="C119" s="64" t="s">
        <v>13</v>
      </c>
      <c r="D119" s="64" t="s">
        <v>377</v>
      </c>
      <c r="E119" s="64" t="s">
        <v>42</v>
      </c>
      <c r="F119" s="70" t="s">
        <v>573</v>
      </c>
      <c r="G119" s="70" t="s">
        <v>16</v>
      </c>
      <c r="H119" s="64" t="s">
        <v>522</v>
      </c>
      <c r="I119" s="64">
        <v>6</v>
      </c>
      <c r="J119" s="61">
        <v>2</v>
      </c>
      <c r="K119" s="61"/>
      <c r="L119" s="61">
        <v>7</v>
      </c>
      <c r="M119" s="29"/>
      <c r="N119" s="29"/>
      <c r="O119" s="70" t="s">
        <v>69</v>
      </c>
      <c r="P119" s="70" t="s">
        <v>730</v>
      </c>
      <c r="Q119" s="24" t="s">
        <v>857</v>
      </c>
      <c r="R119" s="54" t="str">
        <f t="shared" si="9"/>
        <v>NARROW</v>
      </c>
      <c r="S119" s="29" t="s">
        <v>27</v>
      </c>
      <c r="T119" s="29" t="s">
        <v>33</v>
      </c>
      <c r="U119" s="29"/>
      <c r="V119" s="29"/>
      <c r="W119" s="46"/>
      <c r="X119" s="76"/>
      <c r="Y119" s="76"/>
      <c r="Z119" s="39">
        <f t="shared" si="16"/>
        <v>1</v>
      </c>
      <c r="AA119" s="39">
        <f t="shared" si="10"/>
        <v>0</v>
      </c>
      <c r="AB119" s="39">
        <f t="shared" si="17"/>
        <v>0</v>
      </c>
      <c r="AC119" s="39">
        <f t="shared" si="18"/>
        <v>0</v>
      </c>
      <c r="AD119" s="39">
        <f t="shared" si="12"/>
        <v>0</v>
      </c>
      <c r="AE119" s="39">
        <f t="shared" si="13"/>
        <v>0</v>
      </c>
      <c r="AF119" s="39">
        <f t="shared" si="14"/>
        <v>0</v>
      </c>
      <c r="AG119" s="39">
        <f t="shared" si="15"/>
        <v>0</v>
      </c>
    </row>
    <row r="120" spans="1:35" ht="35.1" customHeight="1" x14ac:dyDescent="0.25">
      <c r="A120" s="61">
        <v>119</v>
      </c>
      <c r="B120" s="70" t="s">
        <v>175</v>
      </c>
      <c r="C120" s="64" t="s">
        <v>13</v>
      </c>
      <c r="D120" s="64" t="s">
        <v>354</v>
      </c>
      <c r="E120" s="64" t="s">
        <v>42</v>
      </c>
      <c r="F120" s="70" t="s">
        <v>544</v>
      </c>
      <c r="G120" s="70" t="s">
        <v>545</v>
      </c>
      <c r="H120" s="64" t="s">
        <v>40</v>
      </c>
      <c r="I120" s="64">
        <v>61</v>
      </c>
      <c r="J120" s="61">
        <v>3</v>
      </c>
      <c r="K120" s="61">
        <v>20.5</v>
      </c>
      <c r="L120" s="61">
        <v>3.9</v>
      </c>
      <c r="M120" s="22">
        <v>1964</v>
      </c>
      <c r="N120" s="22"/>
      <c r="O120" s="37" t="s">
        <v>692</v>
      </c>
      <c r="P120" s="70" t="s">
        <v>731</v>
      </c>
      <c r="Q120" s="24" t="s">
        <v>102</v>
      </c>
      <c r="R120" s="54" t="str">
        <f t="shared" si="9"/>
        <v>NARROW</v>
      </c>
      <c r="S120" s="29" t="s">
        <v>102</v>
      </c>
      <c r="T120" s="29" t="s">
        <v>32</v>
      </c>
      <c r="U120" s="29"/>
      <c r="V120" s="29"/>
      <c r="W120" s="46"/>
      <c r="X120" s="76"/>
      <c r="Y120" s="76"/>
      <c r="Z120" s="39">
        <f t="shared" si="16"/>
        <v>1</v>
      </c>
      <c r="AA120" s="39">
        <f t="shared" si="10"/>
        <v>1</v>
      </c>
      <c r="AB120" s="39">
        <f t="shared" si="17"/>
        <v>1</v>
      </c>
      <c r="AC120" s="39" t="str">
        <f t="shared" si="18"/>
        <v>A</v>
      </c>
      <c r="AD120" s="39" t="str">
        <f t="shared" si="12"/>
        <v>B</v>
      </c>
      <c r="AE120" s="39" t="str">
        <f t="shared" si="13"/>
        <v>C</v>
      </c>
      <c r="AF120" s="39" t="str">
        <f t="shared" si="14"/>
        <v>D</v>
      </c>
      <c r="AG120" s="39">
        <f t="shared" si="15"/>
        <v>0</v>
      </c>
      <c r="AI120" s="1">
        <f>I120</f>
        <v>61</v>
      </c>
    </row>
    <row r="121" spans="1:35" ht="35.1" hidden="1" customHeight="1" x14ac:dyDescent="0.25">
      <c r="A121" s="61">
        <v>120</v>
      </c>
      <c r="B121" s="23" t="s">
        <v>176</v>
      </c>
      <c r="C121" s="29" t="s">
        <v>13</v>
      </c>
      <c r="D121" s="29" t="s">
        <v>355</v>
      </c>
      <c r="E121" s="29" t="s">
        <v>42</v>
      </c>
      <c r="F121" s="23" t="s">
        <v>544</v>
      </c>
      <c r="G121" s="23" t="s">
        <v>546</v>
      </c>
      <c r="H121" s="29" t="s">
        <v>854</v>
      </c>
      <c r="I121" s="29">
        <v>17.3</v>
      </c>
      <c r="J121" s="22">
        <v>3</v>
      </c>
      <c r="K121" s="22"/>
      <c r="L121" s="22">
        <v>5.8</v>
      </c>
      <c r="M121" s="30"/>
      <c r="N121" s="30"/>
      <c r="O121" s="37" t="s">
        <v>755</v>
      </c>
      <c r="P121" s="23" t="s">
        <v>731</v>
      </c>
      <c r="Q121" s="24" t="s">
        <v>857</v>
      </c>
      <c r="R121" s="54" t="str">
        <f t="shared" si="9"/>
        <v>NARROW</v>
      </c>
      <c r="S121" s="29" t="s">
        <v>27</v>
      </c>
      <c r="T121" s="29" t="s">
        <v>32</v>
      </c>
      <c r="U121" s="29"/>
      <c r="V121" s="29"/>
      <c r="W121" s="46"/>
      <c r="X121" s="76"/>
      <c r="Y121" s="76"/>
      <c r="Z121" s="39">
        <f t="shared" si="16"/>
        <v>1</v>
      </c>
      <c r="AA121" s="39">
        <f t="shared" si="10"/>
        <v>1</v>
      </c>
      <c r="AB121" s="39">
        <f t="shared" si="17"/>
        <v>0</v>
      </c>
      <c r="AC121" s="39">
        <f t="shared" si="18"/>
        <v>0</v>
      </c>
      <c r="AD121" s="39" t="str">
        <f t="shared" si="12"/>
        <v>B</v>
      </c>
      <c r="AE121" s="39">
        <f t="shared" si="13"/>
        <v>0</v>
      </c>
      <c r="AF121" s="39">
        <f t="shared" si="14"/>
        <v>0</v>
      </c>
      <c r="AG121" s="39">
        <f t="shared" si="15"/>
        <v>0</v>
      </c>
    </row>
    <row r="122" spans="1:35" ht="35.1" hidden="1" customHeight="1" x14ac:dyDescent="0.25">
      <c r="A122" s="61">
        <v>121</v>
      </c>
      <c r="B122" s="23" t="s">
        <v>22</v>
      </c>
      <c r="C122" s="29" t="s">
        <v>13</v>
      </c>
      <c r="D122" s="29" t="s">
        <v>380</v>
      </c>
      <c r="E122" s="22" t="s">
        <v>17</v>
      </c>
      <c r="F122" s="23" t="s">
        <v>578</v>
      </c>
      <c r="G122" s="23" t="s">
        <v>579</v>
      </c>
      <c r="H122" s="29" t="s">
        <v>522</v>
      </c>
      <c r="I122" s="4">
        <v>16.399999999999999</v>
      </c>
      <c r="J122" s="29">
        <v>4</v>
      </c>
      <c r="K122" s="29"/>
      <c r="L122" s="4">
        <v>16.399999999999999</v>
      </c>
      <c r="M122" s="29"/>
      <c r="N122" s="29"/>
      <c r="O122" s="53"/>
      <c r="P122" s="53"/>
      <c r="Q122" s="24"/>
      <c r="R122" s="54" t="str">
        <f t="shared" si="9"/>
        <v>OK</v>
      </c>
      <c r="S122" s="29"/>
      <c r="T122" s="29"/>
      <c r="U122" s="29"/>
      <c r="V122" s="29"/>
      <c r="W122" s="46"/>
      <c r="X122" s="76"/>
      <c r="Y122" s="76"/>
      <c r="Z122" s="39">
        <f t="shared" si="16"/>
        <v>0</v>
      </c>
      <c r="AA122" s="39">
        <f t="shared" si="10"/>
        <v>0</v>
      </c>
      <c r="AB122" s="39">
        <f t="shared" si="17"/>
        <v>0</v>
      </c>
      <c r="AC122" s="39">
        <f t="shared" si="18"/>
        <v>0</v>
      </c>
      <c r="AD122" s="39">
        <f t="shared" si="12"/>
        <v>0</v>
      </c>
      <c r="AE122" s="39">
        <f t="shared" si="13"/>
        <v>0</v>
      </c>
      <c r="AF122" s="39">
        <f t="shared" si="14"/>
        <v>0</v>
      </c>
      <c r="AG122" s="39" t="str">
        <f t="shared" si="15"/>
        <v>E</v>
      </c>
    </row>
    <row r="123" spans="1:35" ht="35.1" hidden="1" customHeight="1" x14ac:dyDescent="0.25">
      <c r="A123" s="61">
        <v>122</v>
      </c>
      <c r="B123" s="23" t="s">
        <v>210</v>
      </c>
      <c r="C123" s="29"/>
      <c r="D123" s="29" t="s">
        <v>381</v>
      </c>
      <c r="E123" s="22" t="s">
        <v>17</v>
      </c>
      <c r="F123" s="23" t="s">
        <v>54</v>
      </c>
      <c r="G123" s="23" t="s">
        <v>580</v>
      </c>
      <c r="H123" s="29" t="s">
        <v>851</v>
      </c>
      <c r="I123" s="4">
        <v>17.899999999999999</v>
      </c>
      <c r="J123" s="29">
        <v>3</v>
      </c>
      <c r="K123" s="29">
        <v>6</v>
      </c>
      <c r="L123" s="4">
        <v>5.6</v>
      </c>
      <c r="M123" s="29"/>
      <c r="N123" s="29"/>
      <c r="O123" s="53" t="s">
        <v>21</v>
      </c>
      <c r="P123" s="53"/>
      <c r="Q123" s="24" t="s">
        <v>857</v>
      </c>
      <c r="R123" s="54" t="str">
        <f t="shared" si="9"/>
        <v>NARROW</v>
      </c>
      <c r="S123" s="29" t="s">
        <v>27</v>
      </c>
      <c r="T123" s="29" t="s">
        <v>33</v>
      </c>
      <c r="U123" s="29"/>
      <c r="V123" s="29"/>
      <c r="W123" s="46"/>
      <c r="X123" s="76"/>
      <c r="Y123" s="76"/>
      <c r="Z123" s="39">
        <f t="shared" si="16"/>
        <v>1</v>
      </c>
      <c r="AA123" s="39">
        <f t="shared" si="10"/>
        <v>0</v>
      </c>
      <c r="AB123" s="39">
        <f t="shared" si="17"/>
        <v>0</v>
      </c>
      <c r="AC123" s="39">
        <f t="shared" si="18"/>
        <v>0</v>
      </c>
      <c r="AD123" s="39">
        <f t="shared" si="12"/>
        <v>0</v>
      </c>
      <c r="AE123" s="39">
        <f t="shared" si="13"/>
        <v>0</v>
      </c>
      <c r="AF123" s="39">
        <f t="shared" si="14"/>
        <v>0</v>
      </c>
      <c r="AG123" s="39">
        <f t="shared" si="15"/>
        <v>0</v>
      </c>
    </row>
    <row r="124" spans="1:35" ht="35.1" customHeight="1" x14ac:dyDescent="0.25">
      <c r="A124" s="61">
        <v>123</v>
      </c>
      <c r="B124" s="23" t="s">
        <v>211</v>
      </c>
      <c r="C124" s="29"/>
      <c r="D124" s="29" t="s">
        <v>382</v>
      </c>
      <c r="E124" s="22" t="s">
        <v>17</v>
      </c>
      <c r="F124" s="23"/>
      <c r="G124" s="23"/>
      <c r="H124" s="29" t="s">
        <v>522</v>
      </c>
      <c r="I124" s="29">
        <v>60</v>
      </c>
      <c r="J124" s="29">
        <v>3</v>
      </c>
      <c r="K124" s="29">
        <v>20</v>
      </c>
      <c r="L124" s="29">
        <v>7</v>
      </c>
      <c r="M124" s="30"/>
      <c r="N124" s="30"/>
      <c r="O124" s="23" t="s">
        <v>713</v>
      </c>
      <c r="P124" s="23"/>
      <c r="Q124" s="24"/>
      <c r="R124" s="54" t="str">
        <f t="shared" si="9"/>
        <v>NARROW</v>
      </c>
      <c r="S124" s="29"/>
      <c r="T124" s="29"/>
      <c r="U124" s="29"/>
      <c r="V124" s="29"/>
      <c r="W124" s="46"/>
      <c r="X124" s="76"/>
      <c r="Y124" s="76"/>
      <c r="Z124" s="39">
        <f t="shared" si="16"/>
        <v>1</v>
      </c>
      <c r="AA124" s="39">
        <f t="shared" si="10"/>
        <v>0</v>
      </c>
      <c r="AB124" s="39">
        <f t="shared" si="17"/>
        <v>0</v>
      </c>
      <c r="AC124" s="39">
        <f t="shared" si="18"/>
        <v>0</v>
      </c>
      <c r="AD124" s="39">
        <f t="shared" si="12"/>
        <v>0</v>
      </c>
      <c r="AE124" s="39">
        <f t="shared" si="13"/>
        <v>0</v>
      </c>
      <c r="AF124" s="39">
        <f t="shared" si="14"/>
        <v>0</v>
      </c>
      <c r="AG124" s="39">
        <f t="shared" si="15"/>
        <v>0</v>
      </c>
    </row>
    <row r="125" spans="1:35" ht="35.1" customHeight="1" x14ac:dyDescent="0.25">
      <c r="A125" s="61">
        <v>124</v>
      </c>
      <c r="B125" s="23" t="s">
        <v>212</v>
      </c>
      <c r="C125" s="29" t="s">
        <v>13</v>
      </c>
      <c r="D125" s="29" t="s">
        <v>383</v>
      </c>
      <c r="E125" s="22" t="s">
        <v>17</v>
      </c>
      <c r="F125" s="23" t="s">
        <v>212</v>
      </c>
      <c r="G125" s="23" t="s">
        <v>581</v>
      </c>
      <c r="H125" s="29" t="s">
        <v>15</v>
      </c>
      <c r="I125" s="4">
        <v>25.3</v>
      </c>
      <c r="J125" s="29">
        <v>1</v>
      </c>
      <c r="K125" s="29"/>
      <c r="L125" s="4">
        <v>4</v>
      </c>
      <c r="M125" s="29"/>
      <c r="N125" s="29"/>
      <c r="O125" s="53"/>
      <c r="P125" s="53"/>
      <c r="Q125" s="24"/>
      <c r="R125" s="54" t="str">
        <f t="shared" si="9"/>
        <v>NARROW</v>
      </c>
      <c r="S125" s="29"/>
      <c r="T125" s="29"/>
      <c r="U125" s="29"/>
      <c r="V125" s="29"/>
      <c r="W125" s="46"/>
      <c r="X125" s="76"/>
      <c r="Y125" s="76"/>
      <c r="Z125" s="39">
        <f t="shared" si="16"/>
        <v>1</v>
      </c>
      <c r="AA125" s="39">
        <f t="shared" si="10"/>
        <v>0</v>
      </c>
      <c r="AB125" s="39">
        <f t="shared" si="17"/>
        <v>0</v>
      </c>
      <c r="AC125" s="39">
        <f t="shared" si="18"/>
        <v>0</v>
      </c>
      <c r="AD125" s="39">
        <f t="shared" si="12"/>
        <v>0</v>
      </c>
      <c r="AE125" s="39">
        <f t="shared" si="13"/>
        <v>0</v>
      </c>
      <c r="AF125" s="39">
        <f t="shared" si="14"/>
        <v>0</v>
      </c>
      <c r="AG125" s="39">
        <f t="shared" si="15"/>
        <v>0</v>
      </c>
    </row>
    <row r="126" spans="1:35" ht="35.1" customHeight="1" x14ac:dyDescent="0.25">
      <c r="A126" s="61">
        <v>125</v>
      </c>
      <c r="B126" s="23" t="s">
        <v>213</v>
      </c>
      <c r="C126" s="29" t="s">
        <v>13</v>
      </c>
      <c r="D126" s="29" t="s">
        <v>384</v>
      </c>
      <c r="E126" s="22" t="s">
        <v>17</v>
      </c>
      <c r="F126" s="23" t="s">
        <v>213</v>
      </c>
      <c r="G126" s="23" t="s">
        <v>582</v>
      </c>
      <c r="H126" s="29" t="s">
        <v>522</v>
      </c>
      <c r="I126" s="4">
        <v>19</v>
      </c>
      <c r="J126" s="29">
        <v>2</v>
      </c>
      <c r="K126" s="29"/>
      <c r="L126" s="4">
        <v>4.5</v>
      </c>
      <c r="M126" s="30"/>
      <c r="N126" s="30"/>
      <c r="O126" s="23"/>
      <c r="P126" s="23"/>
      <c r="Q126" s="24"/>
      <c r="R126" s="54" t="str">
        <f t="shared" si="9"/>
        <v>NARROW</v>
      </c>
      <c r="S126" s="29"/>
      <c r="T126" s="29"/>
      <c r="U126" s="29"/>
      <c r="V126" s="29"/>
      <c r="W126" s="46"/>
      <c r="X126" s="76"/>
      <c r="Y126" s="76"/>
      <c r="Z126" s="39">
        <f t="shared" si="16"/>
        <v>1</v>
      </c>
      <c r="AA126" s="39">
        <f t="shared" si="10"/>
        <v>0</v>
      </c>
      <c r="AB126" s="39">
        <f t="shared" si="17"/>
        <v>0</v>
      </c>
      <c r="AC126" s="39">
        <f t="shared" si="18"/>
        <v>0</v>
      </c>
      <c r="AD126" s="39">
        <f t="shared" si="12"/>
        <v>0</v>
      </c>
      <c r="AE126" s="39">
        <f t="shared" si="13"/>
        <v>0</v>
      </c>
      <c r="AF126" s="39">
        <f t="shared" si="14"/>
        <v>0</v>
      </c>
      <c r="AG126" s="39">
        <f t="shared" si="15"/>
        <v>0</v>
      </c>
    </row>
    <row r="127" spans="1:35" ht="35.1" hidden="1" customHeight="1" x14ac:dyDescent="0.25">
      <c r="A127" s="61">
        <v>126</v>
      </c>
      <c r="B127" s="23" t="s">
        <v>214</v>
      </c>
      <c r="C127" s="29"/>
      <c r="D127" s="29" t="s">
        <v>385</v>
      </c>
      <c r="E127" s="22" t="s">
        <v>17</v>
      </c>
      <c r="F127" s="23" t="s">
        <v>214</v>
      </c>
      <c r="G127" s="23" t="s">
        <v>583</v>
      </c>
      <c r="H127" s="29" t="s">
        <v>522</v>
      </c>
      <c r="I127" s="4">
        <v>51.1</v>
      </c>
      <c r="J127" s="29">
        <v>3</v>
      </c>
      <c r="K127" s="29"/>
      <c r="L127" s="4">
        <v>10.3</v>
      </c>
      <c r="M127" s="29"/>
      <c r="N127" s="29"/>
      <c r="O127" s="23"/>
      <c r="P127" s="23"/>
      <c r="Q127" s="24"/>
      <c r="R127" s="54" t="str">
        <f t="shared" si="9"/>
        <v>OK</v>
      </c>
      <c r="S127" s="29"/>
      <c r="T127" s="29"/>
      <c r="U127" s="29"/>
      <c r="V127" s="43">
        <v>3599</v>
      </c>
      <c r="W127" s="46">
        <v>11</v>
      </c>
      <c r="X127" s="76"/>
      <c r="Y127" s="76"/>
      <c r="Z127" s="39">
        <f t="shared" si="16"/>
        <v>0</v>
      </c>
      <c r="AA127" s="39">
        <f t="shared" si="10"/>
        <v>0</v>
      </c>
      <c r="AB127" s="39">
        <f t="shared" si="17"/>
        <v>0</v>
      </c>
      <c r="AC127" s="39">
        <f t="shared" si="18"/>
        <v>0</v>
      </c>
      <c r="AD127" s="39">
        <f t="shared" si="12"/>
        <v>0</v>
      </c>
      <c r="AE127" s="39">
        <f t="shared" si="13"/>
        <v>0</v>
      </c>
      <c r="AF127" s="39">
        <f t="shared" si="14"/>
        <v>0</v>
      </c>
      <c r="AG127" s="39" t="str">
        <f t="shared" si="15"/>
        <v>E</v>
      </c>
    </row>
    <row r="128" spans="1:35" ht="35.1" hidden="1" customHeight="1" x14ac:dyDescent="0.25">
      <c r="A128" s="61">
        <v>127</v>
      </c>
      <c r="B128" s="23" t="s">
        <v>215</v>
      </c>
      <c r="C128" s="29"/>
      <c r="D128" s="29" t="s">
        <v>386</v>
      </c>
      <c r="E128" s="22" t="s">
        <v>17</v>
      </c>
      <c r="F128" s="23"/>
      <c r="G128" s="23"/>
      <c r="H128" s="29" t="s">
        <v>522</v>
      </c>
      <c r="I128" s="29">
        <v>12</v>
      </c>
      <c r="J128" s="29">
        <v>1</v>
      </c>
      <c r="K128" s="29">
        <v>4</v>
      </c>
      <c r="L128" s="29">
        <v>9</v>
      </c>
      <c r="M128" s="29"/>
      <c r="N128" s="29"/>
      <c r="O128" s="23" t="s">
        <v>21</v>
      </c>
      <c r="P128" s="23"/>
      <c r="Q128" s="24" t="s">
        <v>27</v>
      </c>
      <c r="R128" s="54" t="str">
        <f t="shared" si="9"/>
        <v>OK</v>
      </c>
      <c r="S128" s="29" t="s">
        <v>27</v>
      </c>
      <c r="T128" s="29" t="s">
        <v>33</v>
      </c>
      <c r="U128" s="29"/>
      <c r="V128" s="29"/>
      <c r="W128" s="46"/>
      <c r="X128" s="76"/>
      <c r="Y128" s="76"/>
      <c r="Z128" s="39">
        <f t="shared" si="16"/>
        <v>0</v>
      </c>
      <c r="AA128" s="39">
        <f t="shared" si="10"/>
        <v>0</v>
      </c>
      <c r="AB128" s="39">
        <f t="shared" si="17"/>
        <v>0</v>
      </c>
      <c r="AC128" s="39">
        <f t="shared" si="18"/>
        <v>0</v>
      </c>
      <c r="AD128" s="39">
        <f t="shared" si="12"/>
        <v>0</v>
      </c>
      <c r="AE128" s="39">
        <f t="shared" si="13"/>
        <v>0</v>
      </c>
      <c r="AF128" s="39">
        <f t="shared" si="14"/>
        <v>0</v>
      </c>
      <c r="AG128" s="39" t="str">
        <f t="shared" si="15"/>
        <v>E</v>
      </c>
    </row>
    <row r="129" spans="1:33" ht="35.1" customHeight="1" x14ac:dyDescent="0.25">
      <c r="A129" s="61">
        <v>128</v>
      </c>
      <c r="B129" s="23" t="s">
        <v>180</v>
      </c>
      <c r="C129" s="29"/>
      <c r="D129" s="29" t="s">
        <v>358</v>
      </c>
      <c r="E129" s="22" t="s">
        <v>17</v>
      </c>
      <c r="F129" s="23" t="s">
        <v>180</v>
      </c>
      <c r="G129" s="23" t="s">
        <v>552</v>
      </c>
      <c r="H129" s="29" t="s">
        <v>522</v>
      </c>
      <c r="I129" s="29">
        <v>18.600000000000001</v>
      </c>
      <c r="J129" s="29">
        <v>1</v>
      </c>
      <c r="K129" s="29">
        <v>6.6</v>
      </c>
      <c r="L129" s="29">
        <v>7</v>
      </c>
      <c r="M129" s="30"/>
      <c r="N129" s="30"/>
      <c r="O129" s="23" t="s">
        <v>41</v>
      </c>
      <c r="P129" s="23" t="s">
        <v>731</v>
      </c>
      <c r="Q129" s="24" t="s">
        <v>102</v>
      </c>
      <c r="R129" s="54" t="str">
        <f t="shared" si="9"/>
        <v>NARROW</v>
      </c>
      <c r="S129" s="29" t="s">
        <v>102</v>
      </c>
      <c r="T129" s="29" t="s">
        <v>32</v>
      </c>
      <c r="U129" s="29"/>
      <c r="V129" s="29"/>
      <c r="W129" s="46"/>
      <c r="X129" s="76"/>
      <c r="Y129" s="76"/>
      <c r="Z129" s="39">
        <f t="shared" si="16"/>
        <v>1</v>
      </c>
      <c r="AA129" s="39">
        <f t="shared" si="10"/>
        <v>1</v>
      </c>
      <c r="AB129" s="39">
        <f t="shared" si="17"/>
        <v>1</v>
      </c>
      <c r="AC129" s="39" t="str">
        <f t="shared" si="18"/>
        <v>A</v>
      </c>
      <c r="AD129" s="39" t="str">
        <f t="shared" si="12"/>
        <v>B</v>
      </c>
      <c r="AE129" s="39" t="str">
        <f t="shared" si="13"/>
        <v>C</v>
      </c>
      <c r="AF129" s="39" t="str">
        <f t="shared" si="14"/>
        <v>D</v>
      </c>
      <c r="AG129" s="39">
        <f t="shared" si="15"/>
        <v>0</v>
      </c>
    </row>
    <row r="130" spans="1:33" ht="35.1" hidden="1" customHeight="1" x14ac:dyDescent="0.25">
      <c r="A130" s="61">
        <v>129</v>
      </c>
      <c r="B130" s="23" t="s">
        <v>217</v>
      </c>
      <c r="C130" s="29"/>
      <c r="D130" s="29" t="s">
        <v>388</v>
      </c>
      <c r="E130" s="22" t="s">
        <v>17</v>
      </c>
      <c r="F130" s="23"/>
      <c r="G130" s="23"/>
      <c r="H130" s="29" t="s">
        <v>522</v>
      </c>
      <c r="I130" s="29">
        <v>18.920000000000002</v>
      </c>
      <c r="J130" s="29">
        <v>2</v>
      </c>
      <c r="K130" s="29">
        <v>9.48</v>
      </c>
      <c r="L130" s="29">
        <v>3.7</v>
      </c>
      <c r="M130" s="29"/>
      <c r="N130" s="29"/>
      <c r="O130" s="23" t="s">
        <v>20</v>
      </c>
      <c r="P130" s="23"/>
      <c r="Q130" s="24" t="s">
        <v>857</v>
      </c>
      <c r="R130" s="54" t="str">
        <f t="shared" ref="R130:R146" si="19">IF(L130&lt;7.3,"NARROW","OK")</f>
        <v>NARROW</v>
      </c>
      <c r="S130" s="29" t="s">
        <v>27</v>
      </c>
      <c r="T130" s="29" t="s">
        <v>33</v>
      </c>
      <c r="U130" s="29"/>
      <c r="V130" s="29"/>
      <c r="W130" s="46"/>
      <c r="X130" s="76"/>
      <c r="Y130" s="76"/>
      <c r="Z130" s="39">
        <f t="shared" si="16"/>
        <v>1</v>
      </c>
      <c r="AA130" s="39">
        <f t="shared" ref="AA130:AA193" si="20">IF(T130= "UNSAFE",1,0)</f>
        <v>0</v>
      </c>
      <c r="AB130" s="39">
        <f t="shared" si="17"/>
        <v>0</v>
      </c>
      <c r="AC130" s="39">
        <f t="shared" si="18"/>
        <v>0</v>
      </c>
      <c r="AD130" s="39">
        <f t="shared" ref="AD130:AD193" si="21">IF(Z130+AA130=2,"B",0)</f>
        <v>0</v>
      </c>
      <c r="AE130" s="39">
        <f t="shared" ref="AE130:AE193" si="22">IF(AB130+AA130=2,"C",0)</f>
        <v>0</v>
      </c>
      <c r="AF130" s="39">
        <f t="shared" ref="AF130:AF193" si="23">IF(Z130+AB130+AA130=3,"D",0)</f>
        <v>0</v>
      </c>
      <c r="AG130" s="39">
        <f t="shared" ref="AG130:AG193" si="24">IF(Z130+AB130+AA130=0,"E",0)</f>
        <v>0</v>
      </c>
    </row>
    <row r="131" spans="1:33" ht="35.1" customHeight="1" x14ac:dyDescent="0.25">
      <c r="A131" s="61">
        <v>130</v>
      </c>
      <c r="B131" s="23" t="s">
        <v>756</v>
      </c>
      <c r="C131" s="29" t="s">
        <v>13</v>
      </c>
      <c r="D131" s="29" t="s">
        <v>389</v>
      </c>
      <c r="E131" s="22" t="s">
        <v>17</v>
      </c>
      <c r="F131" s="23" t="s">
        <v>218</v>
      </c>
      <c r="G131" s="23" t="s">
        <v>585</v>
      </c>
      <c r="H131" s="29" t="s">
        <v>522</v>
      </c>
      <c r="I131" s="4">
        <v>23</v>
      </c>
      <c r="J131" s="29">
        <v>3</v>
      </c>
      <c r="K131" s="29"/>
      <c r="L131" s="4">
        <v>6.9</v>
      </c>
      <c r="M131" s="30"/>
      <c r="N131" s="30"/>
      <c r="O131" s="23" t="s">
        <v>757</v>
      </c>
      <c r="P131" s="23" t="s">
        <v>730</v>
      </c>
      <c r="Q131" s="24" t="s">
        <v>857</v>
      </c>
      <c r="R131" s="54" t="str">
        <f t="shared" si="19"/>
        <v>NARROW</v>
      </c>
      <c r="S131" s="29"/>
      <c r="T131" s="29"/>
      <c r="U131" s="29"/>
      <c r="V131" s="29"/>
      <c r="W131" s="46"/>
      <c r="X131" s="76"/>
      <c r="Y131" s="76"/>
      <c r="Z131" s="39">
        <f t="shared" ref="Z131:Z194" si="25">IF(R131="NARROW",1,0)</f>
        <v>1</v>
      </c>
      <c r="AA131" s="39">
        <f t="shared" si="20"/>
        <v>0</v>
      </c>
      <c r="AB131" s="39">
        <f t="shared" ref="AB131:AB194" si="26">IF(S131= "POOR",1,0)</f>
        <v>0</v>
      </c>
      <c r="AC131" s="39">
        <f t="shared" si="18"/>
        <v>0</v>
      </c>
      <c r="AD131" s="39">
        <f t="shared" si="21"/>
        <v>0</v>
      </c>
      <c r="AE131" s="39">
        <f t="shared" si="22"/>
        <v>0</v>
      </c>
      <c r="AF131" s="39">
        <f t="shared" si="23"/>
        <v>0</v>
      </c>
      <c r="AG131" s="39">
        <f t="shared" si="24"/>
        <v>0</v>
      </c>
    </row>
    <row r="132" spans="1:33" ht="35.1" hidden="1" customHeight="1" x14ac:dyDescent="0.25">
      <c r="A132" s="61">
        <v>131</v>
      </c>
      <c r="B132" s="23" t="s">
        <v>219</v>
      </c>
      <c r="C132" s="29"/>
      <c r="D132" s="29" t="s">
        <v>390</v>
      </c>
      <c r="E132" s="22" t="s">
        <v>17</v>
      </c>
      <c r="F132" s="23" t="s">
        <v>586</v>
      </c>
      <c r="G132" s="23" t="s">
        <v>586</v>
      </c>
      <c r="H132" s="29" t="s">
        <v>522</v>
      </c>
      <c r="I132" s="4">
        <v>22.1</v>
      </c>
      <c r="J132" s="29">
        <v>1</v>
      </c>
      <c r="K132" s="29"/>
      <c r="L132" s="4">
        <v>11.9</v>
      </c>
      <c r="M132" s="29"/>
      <c r="N132" s="29"/>
      <c r="O132" s="23"/>
      <c r="P132" s="23"/>
      <c r="Q132" s="24"/>
      <c r="R132" s="54" t="str">
        <f t="shared" si="19"/>
        <v>OK</v>
      </c>
      <c r="S132" s="29"/>
      <c r="T132" s="29"/>
      <c r="U132" s="29"/>
      <c r="V132" s="29"/>
      <c r="W132" s="46"/>
      <c r="X132" s="76"/>
      <c r="Y132" s="76"/>
      <c r="Z132" s="39">
        <f t="shared" si="25"/>
        <v>0</v>
      </c>
      <c r="AA132" s="39">
        <f t="shared" si="20"/>
        <v>0</v>
      </c>
      <c r="AB132" s="39">
        <f t="shared" si="26"/>
        <v>0</v>
      </c>
      <c r="AC132" s="39">
        <f t="shared" si="18"/>
        <v>0</v>
      </c>
      <c r="AD132" s="39">
        <f t="shared" si="21"/>
        <v>0</v>
      </c>
      <c r="AE132" s="39">
        <f t="shared" si="22"/>
        <v>0</v>
      </c>
      <c r="AF132" s="39">
        <f t="shared" si="23"/>
        <v>0</v>
      </c>
      <c r="AG132" s="39" t="str">
        <f t="shared" si="24"/>
        <v>E</v>
      </c>
    </row>
    <row r="133" spans="1:33" ht="35.1" customHeight="1" x14ac:dyDescent="0.25">
      <c r="A133" s="61">
        <v>132</v>
      </c>
      <c r="B133" s="23" t="s">
        <v>18</v>
      </c>
      <c r="C133" s="29"/>
      <c r="D133" s="29" t="s">
        <v>454</v>
      </c>
      <c r="E133" s="22" t="s">
        <v>17</v>
      </c>
      <c r="F133" s="23"/>
      <c r="G133" s="23"/>
      <c r="H133" s="29" t="s">
        <v>851</v>
      </c>
      <c r="I133" s="29">
        <v>32.700000000000003</v>
      </c>
      <c r="J133" s="29">
        <v>1</v>
      </c>
      <c r="K133" s="29">
        <v>32.700000000000003</v>
      </c>
      <c r="L133" s="29">
        <v>2.78</v>
      </c>
      <c r="M133" s="29"/>
      <c r="N133" s="29"/>
      <c r="O133" s="23" t="s">
        <v>726</v>
      </c>
      <c r="P133" s="23" t="s">
        <v>730</v>
      </c>
      <c r="Q133" s="24"/>
      <c r="R133" s="54" t="str">
        <f t="shared" si="19"/>
        <v>NARROW</v>
      </c>
      <c r="S133" s="29" t="s">
        <v>102</v>
      </c>
      <c r="T133" s="29" t="s">
        <v>32</v>
      </c>
      <c r="U133" s="29"/>
      <c r="V133" s="29"/>
      <c r="W133" s="46"/>
      <c r="X133" s="76"/>
      <c r="Y133" s="76"/>
      <c r="Z133" s="39">
        <f t="shared" si="25"/>
        <v>1</v>
      </c>
      <c r="AA133" s="39">
        <f t="shared" si="20"/>
        <v>1</v>
      </c>
      <c r="AB133" s="39">
        <f t="shared" si="26"/>
        <v>1</v>
      </c>
      <c r="AC133" s="39" t="str">
        <f t="shared" si="18"/>
        <v>A</v>
      </c>
      <c r="AD133" s="39" t="str">
        <f t="shared" si="21"/>
        <v>B</v>
      </c>
      <c r="AE133" s="39" t="str">
        <f t="shared" si="22"/>
        <v>C</v>
      </c>
      <c r="AF133" s="39" t="str">
        <f t="shared" si="23"/>
        <v>D</v>
      </c>
      <c r="AG133" s="39">
        <f t="shared" si="24"/>
        <v>0</v>
      </c>
    </row>
    <row r="134" spans="1:33" ht="35.1" customHeight="1" x14ac:dyDescent="0.25">
      <c r="A134" s="61">
        <v>133</v>
      </c>
      <c r="B134" s="23" t="s">
        <v>221</v>
      </c>
      <c r="C134" s="29" t="s">
        <v>13</v>
      </c>
      <c r="D134" s="29" t="s">
        <v>392</v>
      </c>
      <c r="E134" s="22" t="s">
        <v>17</v>
      </c>
      <c r="F134" s="23" t="s">
        <v>221</v>
      </c>
      <c r="G134" s="23" t="s">
        <v>588</v>
      </c>
      <c r="H134" s="29" t="s">
        <v>522</v>
      </c>
      <c r="I134" s="4">
        <v>14.2</v>
      </c>
      <c r="J134" s="29">
        <v>3</v>
      </c>
      <c r="K134" s="29"/>
      <c r="L134" s="4">
        <v>6.8</v>
      </c>
      <c r="M134" s="30"/>
      <c r="N134" s="30"/>
      <c r="O134" s="23"/>
      <c r="P134" s="23"/>
      <c r="Q134" s="24"/>
      <c r="R134" s="54" t="str">
        <f t="shared" si="19"/>
        <v>NARROW</v>
      </c>
      <c r="S134" s="29"/>
      <c r="T134" s="29"/>
      <c r="U134" s="29"/>
      <c r="V134" s="43">
        <v>2925</v>
      </c>
      <c r="W134" s="46">
        <v>6</v>
      </c>
      <c r="X134" s="76"/>
      <c r="Y134" s="76"/>
      <c r="Z134" s="39">
        <f t="shared" si="25"/>
        <v>1</v>
      </c>
      <c r="AA134" s="39">
        <f t="shared" si="20"/>
        <v>0</v>
      </c>
      <c r="AB134" s="39">
        <f t="shared" si="26"/>
        <v>0</v>
      </c>
      <c r="AC134" s="39">
        <f t="shared" si="18"/>
        <v>0</v>
      </c>
      <c r="AD134" s="39">
        <f t="shared" si="21"/>
        <v>0</v>
      </c>
      <c r="AE134" s="39">
        <f t="shared" si="22"/>
        <v>0</v>
      </c>
      <c r="AF134" s="39">
        <f t="shared" si="23"/>
        <v>0</v>
      </c>
      <c r="AG134" s="39">
        <f t="shared" si="24"/>
        <v>0</v>
      </c>
    </row>
    <row r="135" spans="1:33" ht="35.1" hidden="1" customHeight="1" x14ac:dyDescent="0.25">
      <c r="A135" s="61">
        <v>134</v>
      </c>
      <c r="B135" s="23" t="s">
        <v>222</v>
      </c>
      <c r="C135" s="29"/>
      <c r="D135" s="29" t="s">
        <v>393</v>
      </c>
      <c r="E135" s="22" t="s">
        <v>17</v>
      </c>
      <c r="F135" s="23" t="s">
        <v>222</v>
      </c>
      <c r="G135" s="23" t="s">
        <v>589</v>
      </c>
      <c r="H135" s="29" t="s">
        <v>522</v>
      </c>
      <c r="I135" s="4">
        <v>12</v>
      </c>
      <c r="J135" s="29">
        <v>1</v>
      </c>
      <c r="K135" s="29"/>
      <c r="L135" s="4">
        <v>7.3</v>
      </c>
      <c r="M135" s="29"/>
      <c r="N135" s="29"/>
      <c r="O135" s="23"/>
      <c r="P135" s="23"/>
      <c r="Q135" s="24"/>
      <c r="R135" s="54" t="str">
        <f t="shared" si="19"/>
        <v>OK</v>
      </c>
      <c r="S135" s="29"/>
      <c r="T135" s="29"/>
      <c r="U135" s="29"/>
      <c r="V135" s="43">
        <v>8313</v>
      </c>
      <c r="W135" s="46">
        <v>7</v>
      </c>
      <c r="X135" s="76"/>
      <c r="Y135" s="76"/>
      <c r="Z135" s="39">
        <f t="shared" si="25"/>
        <v>0</v>
      </c>
      <c r="AA135" s="39">
        <f t="shared" si="20"/>
        <v>0</v>
      </c>
      <c r="AB135" s="39">
        <f t="shared" si="26"/>
        <v>0</v>
      </c>
      <c r="AC135" s="39">
        <f t="shared" si="18"/>
        <v>0</v>
      </c>
      <c r="AD135" s="39">
        <f t="shared" si="21"/>
        <v>0</v>
      </c>
      <c r="AE135" s="39">
        <f t="shared" si="22"/>
        <v>0</v>
      </c>
      <c r="AF135" s="39">
        <f t="shared" si="23"/>
        <v>0</v>
      </c>
      <c r="AG135" s="39" t="str">
        <f t="shared" si="24"/>
        <v>E</v>
      </c>
    </row>
    <row r="136" spans="1:33" ht="35.1" hidden="1" customHeight="1" x14ac:dyDescent="0.25">
      <c r="A136" s="61">
        <v>135</v>
      </c>
      <c r="B136" s="23" t="s">
        <v>18</v>
      </c>
      <c r="C136" s="29"/>
      <c r="D136" s="29" t="s">
        <v>394</v>
      </c>
      <c r="E136" s="22" t="s">
        <v>17</v>
      </c>
      <c r="F136" s="23"/>
      <c r="G136" s="23"/>
      <c r="H136" s="29" t="s">
        <v>851</v>
      </c>
      <c r="I136" s="29">
        <v>10.4</v>
      </c>
      <c r="J136" s="29">
        <v>1</v>
      </c>
      <c r="K136" s="29">
        <v>10.4</v>
      </c>
      <c r="L136" s="29">
        <v>9.1199999999999992</v>
      </c>
      <c r="M136" s="30"/>
      <c r="N136" s="30"/>
      <c r="O136" s="23"/>
      <c r="P136" s="23"/>
      <c r="Q136" s="24"/>
      <c r="R136" s="54" t="str">
        <f t="shared" si="19"/>
        <v>OK</v>
      </c>
      <c r="S136" s="29"/>
      <c r="T136" s="29"/>
      <c r="U136" s="29"/>
      <c r="V136" s="43">
        <v>6367.9</v>
      </c>
      <c r="W136" s="46">
        <v>1</v>
      </c>
      <c r="X136" s="76"/>
      <c r="Y136" s="76"/>
      <c r="Z136" s="39">
        <f t="shared" si="25"/>
        <v>0</v>
      </c>
      <c r="AA136" s="39">
        <f t="shared" si="20"/>
        <v>0</v>
      </c>
      <c r="AB136" s="39">
        <f t="shared" si="26"/>
        <v>0</v>
      </c>
      <c r="AC136" s="39">
        <f t="shared" si="18"/>
        <v>0</v>
      </c>
      <c r="AD136" s="39">
        <f t="shared" si="21"/>
        <v>0</v>
      </c>
      <c r="AE136" s="39">
        <f t="shared" si="22"/>
        <v>0</v>
      </c>
      <c r="AF136" s="39">
        <f t="shared" si="23"/>
        <v>0</v>
      </c>
      <c r="AG136" s="39" t="str">
        <f t="shared" si="24"/>
        <v>E</v>
      </c>
    </row>
    <row r="137" spans="1:33" ht="35.1" customHeight="1" x14ac:dyDescent="0.25">
      <c r="A137" s="61">
        <v>136</v>
      </c>
      <c r="B137" s="23" t="s">
        <v>758</v>
      </c>
      <c r="C137" s="29" t="s">
        <v>13</v>
      </c>
      <c r="D137" s="29" t="s">
        <v>395</v>
      </c>
      <c r="E137" s="22" t="s">
        <v>17</v>
      </c>
      <c r="F137" s="23" t="s">
        <v>223</v>
      </c>
      <c r="G137" s="23" t="s">
        <v>590</v>
      </c>
      <c r="H137" s="29" t="s">
        <v>522</v>
      </c>
      <c r="I137" s="4">
        <v>20</v>
      </c>
      <c r="J137" s="29">
        <v>2</v>
      </c>
      <c r="K137" s="29"/>
      <c r="L137" s="4">
        <v>6.5</v>
      </c>
      <c r="M137" s="29"/>
      <c r="N137" s="29"/>
      <c r="O137" s="23" t="s">
        <v>21</v>
      </c>
      <c r="P137" s="23" t="s">
        <v>730</v>
      </c>
      <c r="Q137" s="24"/>
      <c r="R137" s="54" t="str">
        <f t="shared" si="19"/>
        <v>NARROW</v>
      </c>
      <c r="S137" s="29"/>
      <c r="T137" s="29"/>
      <c r="U137" s="29"/>
      <c r="V137" s="29"/>
      <c r="W137" s="46"/>
      <c r="X137" s="76"/>
      <c r="Y137" s="76"/>
      <c r="Z137" s="39">
        <f t="shared" si="25"/>
        <v>1</v>
      </c>
      <c r="AA137" s="39">
        <f t="shared" si="20"/>
        <v>0</v>
      </c>
      <c r="AB137" s="39">
        <f t="shared" si="26"/>
        <v>0</v>
      </c>
      <c r="AC137" s="39">
        <f t="shared" si="18"/>
        <v>0</v>
      </c>
      <c r="AD137" s="39">
        <f t="shared" si="21"/>
        <v>0</v>
      </c>
      <c r="AE137" s="39">
        <f t="shared" si="22"/>
        <v>0</v>
      </c>
      <c r="AF137" s="39">
        <f t="shared" si="23"/>
        <v>0</v>
      </c>
      <c r="AG137" s="39">
        <f t="shared" si="24"/>
        <v>0</v>
      </c>
    </row>
    <row r="138" spans="1:33" ht="35.1" hidden="1" customHeight="1" x14ac:dyDescent="0.25">
      <c r="A138" s="61">
        <v>137</v>
      </c>
      <c r="B138" s="23" t="s">
        <v>224</v>
      </c>
      <c r="C138" s="29"/>
      <c r="D138" s="29" t="s">
        <v>396</v>
      </c>
      <c r="E138" s="22" t="s">
        <v>17</v>
      </c>
      <c r="F138" s="23"/>
      <c r="G138" s="23"/>
      <c r="H138" s="29" t="s">
        <v>522</v>
      </c>
      <c r="I138" s="29">
        <v>16.8</v>
      </c>
      <c r="J138" s="29">
        <v>4</v>
      </c>
      <c r="K138" s="29">
        <v>4.3</v>
      </c>
      <c r="L138" s="29">
        <v>13.5</v>
      </c>
      <c r="M138" s="29"/>
      <c r="N138" s="29"/>
      <c r="O138" s="23" t="s">
        <v>20</v>
      </c>
      <c r="P138" s="23"/>
      <c r="Q138" s="24" t="s">
        <v>27</v>
      </c>
      <c r="R138" s="54" t="str">
        <f t="shared" si="19"/>
        <v>OK</v>
      </c>
      <c r="S138" s="29" t="s">
        <v>27</v>
      </c>
      <c r="T138" s="29" t="s">
        <v>33</v>
      </c>
      <c r="U138" s="29"/>
      <c r="V138" s="29"/>
      <c r="W138" s="46"/>
      <c r="X138" s="76"/>
      <c r="Y138" s="76"/>
      <c r="Z138" s="39">
        <f t="shared" si="25"/>
        <v>0</v>
      </c>
      <c r="AA138" s="39">
        <f t="shared" si="20"/>
        <v>0</v>
      </c>
      <c r="AB138" s="39">
        <f t="shared" si="26"/>
        <v>0</v>
      </c>
      <c r="AC138" s="39">
        <f t="shared" si="18"/>
        <v>0</v>
      </c>
      <c r="AD138" s="39">
        <f t="shared" si="21"/>
        <v>0</v>
      </c>
      <c r="AE138" s="39">
        <f t="shared" si="22"/>
        <v>0</v>
      </c>
      <c r="AF138" s="39">
        <f t="shared" si="23"/>
        <v>0</v>
      </c>
      <c r="AG138" s="39" t="str">
        <f t="shared" si="24"/>
        <v>E</v>
      </c>
    </row>
    <row r="139" spans="1:33" ht="35.1" hidden="1" customHeight="1" x14ac:dyDescent="0.25">
      <c r="A139" s="61">
        <v>138</v>
      </c>
      <c r="B139" s="23" t="s">
        <v>225</v>
      </c>
      <c r="C139" s="29"/>
      <c r="D139" s="29" t="s">
        <v>397</v>
      </c>
      <c r="E139" s="22" t="s">
        <v>17</v>
      </c>
      <c r="F139" s="23"/>
      <c r="G139" s="23"/>
      <c r="H139" s="29" t="s">
        <v>851</v>
      </c>
      <c r="I139" s="29">
        <v>24</v>
      </c>
      <c r="J139" s="29">
        <v>2</v>
      </c>
      <c r="K139" s="29">
        <v>10</v>
      </c>
      <c r="L139" s="29">
        <v>9.1199999999999992</v>
      </c>
      <c r="M139" s="30"/>
      <c r="N139" s="30"/>
      <c r="O139" s="23" t="s">
        <v>20</v>
      </c>
      <c r="P139" s="23"/>
      <c r="Q139" s="24" t="s">
        <v>27</v>
      </c>
      <c r="R139" s="54" t="str">
        <f t="shared" si="19"/>
        <v>OK</v>
      </c>
      <c r="S139" s="29" t="s">
        <v>27</v>
      </c>
      <c r="T139" s="29" t="s">
        <v>33</v>
      </c>
      <c r="U139" s="29"/>
      <c r="V139" s="29"/>
      <c r="W139" s="46"/>
      <c r="X139" s="76"/>
      <c r="Y139" s="76"/>
      <c r="Z139" s="39">
        <f t="shared" si="25"/>
        <v>0</v>
      </c>
      <c r="AA139" s="39">
        <f t="shared" si="20"/>
        <v>0</v>
      </c>
      <c r="AB139" s="39">
        <f t="shared" si="26"/>
        <v>0</v>
      </c>
      <c r="AC139" s="39">
        <f t="shared" si="18"/>
        <v>0</v>
      </c>
      <c r="AD139" s="39">
        <f t="shared" si="21"/>
        <v>0</v>
      </c>
      <c r="AE139" s="39">
        <f t="shared" si="22"/>
        <v>0</v>
      </c>
      <c r="AF139" s="39">
        <f t="shared" si="23"/>
        <v>0</v>
      </c>
      <c r="AG139" s="39" t="str">
        <f t="shared" si="24"/>
        <v>E</v>
      </c>
    </row>
    <row r="140" spans="1:33" ht="35.1" hidden="1" customHeight="1" x14ac:dyDescent="0.25">
      <c r="A140" s="61">
        <v>139</v>
      </c>
      <c r="B140" s="23" t="s">
        <v>226</v>
      </c>
      <c r="C140" s="29"/>
      <c r="D140" s="29" t="s">
        <v>398</v>
      </c>
      <c r="E140" s="22" t="s">
        <v>17</v>
      </c>
      <c r="F140" s="23"/>
      <c r="G140" s="23"/>
      <c r="H140" s="29" t="s">
        <v>522</v>
      </c>
      <c r="I140" s="29">
        <v>12.3</v>
      </c>
      <c r="J140" s="29">
        <v>3</v>
      </c>
      <c r="K140" s="29">
        <v>4</v>
      </c>
      <c r="L140" s="29">
        <v>15.6</v>
      </c>
      <c r="M140" s="29"/>
      <c r="N140" s="29"/>
      <c r="O140" s="23" t="s">
        <v>20</v>
      </c>
      <c r="P140" s="23"/>
      <c r="Q140" s="24" t="s">
        <v>27</v>
      </c>
      <c r="R140" s="54" t="str">
        <f t="shared" si="19"/>
        <v>OK</v>
      </c>
      <c r="S140" s="29" t="s">
        <v>27</v>
      </c>
      <c r="T140" s="29" t="s">
        <v>33</v>
      </c>
      <c r="U140" s="29"/>
      <c r="V140" s="29"/>
      <c r="W140" s="46"/>
      <c r="X140" s="76"/>
      <c r="Y140" s="76"/>
      <c r="Z140" s="39">
        <f t="shared" si="25"/>
        <v>0</v>
      </c>
      <c r="AA140" s="39">
        <f t="shared" si="20"/>
        <v>0</v>
      </c>
      <c r="AB140" s="39">
        <f t="shared" si="26"/>
        <v>0</v>
      </c>
      <c r="AC140" s="39">
        <f t="shared" si="18"/>
        <v>0</v>
      </c>
      <c r="AD140" s="39">
        <f t="shared" si="21"/>
        <v>0</v>
      </c>
      <c r="AE140" s="39">
        <f t="shared" si="22"/>
        <v>0</v>
      </c>
      <c r="AF140" s="39">
        <f t="shared" si="23"/>
        <v>0</v>
      </c>
      <c r="AG140" s="39" t="str">
        <f t="shared" si="24"/>
        <v>E</v>
      </c>
    </row>
    <row r="141" spans="1:33" ht="48" customHeight="1" x14ac:dyDescent="0.25">
      <c r="A141" s="61">
        <v>140</v>
      </c>
      <c r="B141" s="23" t="s">
        <v>182</v>
      </c>
      <c r="C141" s="29"/>
      <c r="D141" s="29" t="s">
        <v>360</v>
      </c>
      <c r="E141" s="22" t="s">
        <v>17</v>
      </c>
      <c r="F141" s="23"/>
      <c r="G141" s="23"/>
      <c r="H141" s="29" t="s">
        <v>522</v>
      </c>
      <c r="I141" s="29">
        <v>12.4</v>
      </c>
      <c r="J141" s="29">
        <v>3</v>
      </c>
      <c r="K141" s="29">
        <v>4.95</v>
      </c>
      <c r="L141" s="29">
        <v>6.8</v>
      </c>
      <c r="M141" s="30"/>
      <c r="N141" s="30"/>
      <c r="O141" s="35" t="s">
        <v>693</v>
      </c>
      <c r="P141" s="23" t="s">
        <v>731</v>
      </c>
      <c r="Q141" s="24" t="s">
        <v>102</v>
      </c>
      <c r="R141" s="54" t="str">
        <f t="shared" si="19"/>
        <v>NARROW</v>
      </c>
      <c r="S141" s="29" t="s">
        <v>102</v>
      </c>
      <c r="T141" s="29" t="s">
        <v>32</v>
      </c>
      <c r="U141" s="29"/>
      <c r="V141" s="29"/>
      <c r="W141" s="46"/>
      <c r="X141" s="76"/>
      <c r="Y141" s="76"/>
      <c r="Z141" s="39">
        <f t="shared" si="25"/>
        <v>1</v>
      </c>
      <c r="AA141" s="39">
        <f t="shared" si="20"/>
        <v>1</v>
      </c>
      <c r="AB141" s="39">
        <f t="shared" si="26"/>
        <v>1</v>
      </c>
      <c r="AC141" s="39" t="str">
        <f t="shared" si="18"/>
        <v>A</v>
      </c>
      <c r="AD141" s="39" t="str">
        <f t="shared" si="21"/>
        <v>B</v>
      </c>
      <c r="AE141" s="39" t="str">
        <f t="shared" si="22"/>
        <v>C</v>
      </c>
      <c r="AF141" s="39" t="str">
        <f t="shared" si="23"/>
        <v>D</v>
      </c>
      <c r="AG141" s="39">
        <f t="shared" si="24"/>
        <v>0</v>
      </c>
    </row>
    <row r="142" spans="1:33" ht="46.5" hidden="1" customHeight="1" x14ac:dyDescent="0.25">
      <c r="A142" s="61">
        <v>141</v>
      </c>
      <c r="B142" s="23" t="s">
        <v>193</v>
      </c>
      <c r="C142" s="29"/>
      <c r="D142" s="29" t="s">
        <v>367</v>
      </c>
      <c r="E142" s="22" t="s">
        <v>17</v>
      </c>
      <c r="F142" s="23"/>
      <c r="G142" s="23"/>
      <c r="H142" s="29" t="s">
        <v>522</v>
      </c>
      <c r="I142" s="29">
        <v>21.7</v>
      </c>
      <c r="J142" s="29">
        <v>4</v>
      </c>
      <c r="K142" s="29">
        <v>8.61</v>
      </c>
      <c r="L142" s="29">
        <v>12</v>
      </c>
      <c r="M142" s="29"/>
      <c r="N142" s="29"/>
      <c r="O142" s="35" t="s">
        <v>697</v>
      </c>
      <c r="P142" s="23" t="s">
        <v>731</v>
      </c>
      <c r="Q142" s="24" t="s">
        <v>102</v>
      </c>
      <c r="R142" s="54" t="str">
        <f t="shared" si="19"/>
        <v>OK</v>
      </c>
      <c r="S142" s="29" t="s">
        <v>102</v>
      </c>
      <c r="T142" s="29" t="s">
        <v>32</v>
      </c>
      <c r="U142" s="29"/>
      <c r="V142" s="29"/>
      <c r="W142" s="46"/>
      <c r="X142" s="76"/>
      <c r="Y142" s="76"/>
      <c r="Z142" s="39">
        <f t="shared" si="25"/>
        <v>0</v>
      </c>
      <c r="AA142" s="39">
        <f t="shared" si="20"/>
        <v>1</v>
      </c>
      <c r="AB142" s="39">
        <f t="shared" si="26"/>
        <v>1</v>
      </c>
      <c r="AC142" s="39">
        <f t="shared" si="18"/>
        <v>0</v>
      </c>
      <c r="AD142" s="39">
        <f t="shared" si="21"/>
        <v>0</v>
      </c>
      <c r="AE142" s="39" t="str">
        <f t="shared" si="22"/>
        <v>C</v>
      </c>
      <c r="AF142" s="39">
        <f t="shared" si="23"/>
        <v>0</v>
      </c>
      <c r="AG142" s="39">
        <f t="shared" si="24"/>
        <v>0</v>
      </c>
    </row>
    <row r="143" spans="1:33" ht="38.25" hidden="1" customHeight="1" x14ac:dyDescent="0.25">
      <c r="A143" s="61">
        <v>142</v>
      </c>
      <c r="B143" s="23" t="s">
        <v>228</v>
      </c>
      <c r="C143" s="29"/>
      <c r="D143" s="29" t="s">
        <v>401</v>
      </c>
      <c r="E143" s="22" t="s">
        <v>17</v>
      </c>
      <c r="F143" s="23"/>
      <c r="G143" s="23"/>
      <c r="H143" s="29" t="s">
        <v>522</v>
      </c>
      <c r="I143" s="29">
        <v>21.7</v>
      </c>
      <c r="J143" s="29">
        <v>4</v>
      </c>
      <c r="K143" s="29">
        <v>5</v>
      </c>
      <c r="L143" s="29">
        <v>12</v>
      </c>
      <c r="M143" s="29"/>
      <c r="N143" s="29"/>
      <c r="O143" s="23" t="s">
        <v>41</v>
      </c>
      <c r="P143" s="23"/>
      <c r="Q143" s="24" t="s">
        <v>102</v>
      </c>
      <c r="R143" s="54" t="str">
        <f t="shared" si="19"/>
        <v>OK</v>
      </c>
      <c r="S143" s="29" t="s">
        <v>102</v>
      </c>
      <c r="T143" s="29" t="s">
        <v>33</v>
      </c>
      <c r="U143" s="29"/>
      <c r="V143" s="29"/>
      <c r="W143" s="46"/>
      <c r="X143" s="76"/>
      <c r="Y143" s="76"/>
      <c r="Z143" s="39">
        <f t="shared" si="25"/>
        <v>0</v>
      </c>
      <c r="AA143" s="39">
        <f t="shared" si="20"/>
        <v>0</v>
      </c>
      <c r="AB143" s="39">
        <f t="shared" si="26"/>
        <v>1</v>
      </c>
      <c r="AC143" s="39">
        <f t="shared" si="18"/>
        <v>0</v>
      </c>
      <c r="AD143" s="39">
        <f t="shared" si="21"/>
        <v>0</v>
      </c>
      <c r="AE143" s="39">
        <f t="shared" si="22"/>
        <v>0</v>
      </c>
      <c r="AF143" s="39">
        <f t="shared" si="23"/>
        <v>0</v>
      </c>
      <c r="AG143" s="39">
        <f t="shared" si="24"/>
        <v>0</v>
      </c>
    </row>
    <row r="144" spans="1:33" ht="35.1" hidden="1" customHeight="1" x14ac:dyDescent="0.25">
      <c r="A144" s="61">
        <v>144</v>
      </c>
      <c r="B144" s="23" t="s">
        <v>195</v>
      </c>
      <c r="C144" s="29" t="s">
        <v>13</v>
      </c>
      <c r="D144" s="29" t="s">
        <v>368</v>
      </c>
      <c r="E144" s="22" t="s">
        <v>29</v>
      </c>
      <c r="F144" s="23" t="s">
        <v>195</v>
      </c>
      <c r="G144" s="23" t="s">
        <v>560</v>
      </c>
      <c r="H144" s="29" t="s">
        <v>522</v>
      </c>
      <c r="I144" s="4">
        <v>30.4</v>
      </c>
      <c r="J144" s="29">
        <v>4</v>
      </c>
      <c r="K144" s="29">
        <v>7.7</v>
      </c>
      <c r="L144" s="4">
        <v>10.4</v>
      </c>
      <c r="M144" s="29"/>
      <c r="N144" s="29"/>
      <c r="O144" s="28" t="s">
        <v>699</v>
      </c>
      <c r="P144" s="53" t="s">
        <v>731</v>
      </c>
      <c r="Q144" s="24" t="s">
        <v>857</v>
      </c>
      <c r="R144" s="54" t="str">
        <f t="shared" si="19"/>
        <v>OK</v>
      </c>
      <c r="S144" s="29" t="s">
        <v>27</v>
      </c>
      <c r="T144" s="29" t="s">
        <v>32</v>
      </c>
      <c r="U144" s="29"/>
      <c r="V144" s="29"/>
      <c r="W144" s="46"/>
      <c r="X144" s="76"/>
      <c r="Y144" s="76"/>
      <c r="Z144" s="39">
        <f t="shared" si="25"/>
        <v>0</v>
      </c>
      <c r="AA144" s="39">
        <f t="shared" si="20"/>
        <v>1</v>
      </c>
      <c r="AB144" s="39">
        <f t="shared" si="26"/>
        <v>0</v>
      </c>
      <c r="AC144" s="39">
        <f t="shared" ref="AC144:AC207" si="27">IF(Z144+AB144=2,"A",0)</f>
        <v>0</v>
      </c>
      <c r="AD144" s="39">
        <f t="shared" si="21"/>
        <v>0</v>
      </c>
      <c r="AE144" s="39">
        <f t="shared" si="22"/>
        <v>0</v>
      </c>
      <c r="AF144" s="39">
        <f t="shared" si="23"/>
        <v>0</v>
      </c>
      <c r="AG144" s="39">
        <f t="shared" si="24"/>
        <v>0</v>
      </c>
    </row>
    <row r="145" spans="1:33" ht="35.1" hidden="1" customHeight="1" x14ac:dyDescent="0.25">
      <c r="A145" s="61">
        <v>145</v>
      </c>
      <c r="B145" s="23" t="s">
        <v>197</v>
      </c>
      <c r="C145" s="29" t="s">
        <v>13</v>
      </c>
      <c r="D145" s="29" t="s">
        <v>370</v>
      </c>
      <c r="E145" s="22" t="s">
        <v>29</v>
      </c>
      <c r="F145" s="23" t="s">
        <v>561</v>
      </c>
      <c r="G145" s="23" t="s">
        <v>562</v>
      </c>
      <c r="H145" s="29" t="s">
        <v>522</v>
      </c>
      <c r="I145" s="29" t="s">
        <v>563</v>
      </c>
      <c r="J145" s="29">
        <v>7</v>
      </c>
      <c r="K145" s="29">
        <v>9.1999999999999993</v>
      </c>
      <c r="L145" s="29">
        <v>10</v>
      </c>
      <c r="M145" s="29">
        <v>1952</v>
      </c>
      <c r="N145" s="29"/>
      <c r="O145" s="35" t="s">
        <v>701</v>
      </c>
      <c r="P145" s="53" t="s">
        <v>731</v>
      </c>
      <c r="Q145" s="24" t="s">
        <v>857</v>
      </c>
      <c r="R145" s="54" t="str">
        <f t="shared" si="19"/>
        <v>OK</v>
      </c>
      <c r="S145" s="29" t="s">
        <v>27</v>
      </c>
      <c r="T145" s="29" t="s">
        <v>32</v>
      </c>
      <c r="U145" s="29"/>
      <c r="V145" s="29"/>
      <c r="W145" s="46"/>
      <c r="X145" s="76"/>
      <c r="Y145" s="76"/>
      <c r="Z145" s="39">
        <f t="shared" si="25"/>
        <v>0</v>
      </c>
      <c r="AA145" s="39">
        <f t="shared" si="20"/>
        <v>1</v>
      </c>
      <c r="AB145" s="39">
        <f t="shared" si="26"/>
        <v>0</v>
      </c>
      <c r="AC145" s="39">
        <f t="shared" si="27"/>
        <v>0</v>
      </c>
      <c r="AD145" s="39">
        <f t="shared" si="21"/>
        <v>0</v>
      </c>
      <c r="AE145" s="39">
        <f t="shared" si="22"/>
        <v>0</v>
      </c>
      <c r="AF145" s="39">
        <f t="shared" si="23"/>
        <v>0</v>
      </c>
      <c r="AG145" s="39">
        <f t="shared" si="24"/>
        <v>0</v>
      </c>
    </row>
    <row r="146" spans="1:33" ht="35.1" hidden="1" customHeight="1" x14ac:dyDescent="0.25">
      <c r="A146" s="61">
        <v>146</v>
      </c>
      <c r="B146" s="23" t="s">
        <v>198</v>
      </c>
      <c r="C146" s="29" t="s">
        <v>13</v>
      </c>
      <c r="D146" s="29" t="s">
        <v>370</v>
      </c>
      <c r="E146" s="22" t="s">
        <v>29</v>
      </c>
      <c r="F146" s="23" t="s">
        <v>561</v>
      </c>
      <c r="G146" s="23" t="s">
        <v>562</v>
      </c>
      <c r="H146" s="29" t="s">
        <v>522</v>
      </c>
      <c r="I146" s="4">
        <v>18.3</v>
      </c>
      <c r="J146" s="29">
        <v>2</v>
      </c>
      <c r="K146" s="29">
        <v>9</v>
      </c>
      <c r="L146" s="4">
        <v>13.7</v>
      </c>
      <c r="M146" s="30"/>
      <c r="N146" s="30"/>
      <c r="O146" s="28" t="s">
        <v>702</v>
      </c>
      <c r="P146" s="23" t="s">
        <v>731</v>
      </c>
      <c r="Q146" s="24" t="s">
        <v>857</v>
      </c>
      <c r="R146" s="54" t="str">
        <f t="shared" si="19"/>
        <v>OK</v>
      </c>
      <c r="S146" s="29" t="s">
        <v>27</v>
      </c>
      <c r="T146" s="29" t="s">
        <v>32</v>
      </c>
      <c r="U146" s="29"/>
      <c r="V146" s="29"/>
      <c r="W146" s="46"/>
      <c r="X146" s="76"/>
      <c r="Y146" s="76"/>
      <c r="Z146" s="39">
        <f t="shared" si="25"/>
        <v>0</v>
      </c>
      <c r="AA146" s="39">
        <f t="shared" si="20"/>
        <v>1</v>
      </c>
      <c r="AB146" s="39">
        <f t="shared" si="26"/>
        <v>0</v>
      </c>
      <c r="AC146" s="39">
        <f t="shared" si="27"/>
        <v>0</v>
      </c>
      <c r="AD146" s="39">
        <f t="shared" si="21"/>
        <v>0</v>
      </c>
      <c r="AE146" s="39">
        <f t="shared" si="22"/>
        <v>0</v>
      </c>
      <c r="AF146" s="39">
        <f t="shared" si="23"/>
        <v>0</v>
      </c>
      <c r="AG146" s="39">
        <f t="shared" si="24"/>
        <v>0</v>
      </c>
    </row>
    <row r="147" spans="1:33" ht="35.1" customHeight="1" x14ac:dyDescent="0.25">
      <c r="A147" s="61">
        <v>147</v>
      </c>
      <c r="B147" s="23" t="s">
        <v>747</v>
      </c>
      <c r="C147" s="23" t="s">
        <v>746</v>
      </c>
      <c r="D147" s="23" t="s">
        <v>748</v>
      </c>
      <c r="E147" s="29" t="s">
        <v>29</v>
      </c>
      <c r="F147" s="23" t="s">
        <v>745</v>
      </c>
      <c r="G147" s="23" t="s">
        <v>744</v>
      </c>
      <c r="H147" s="29" t="s">
        <v>522</v>
      </c>
      <c r="I147" s="4">
        <v>85.1</v>
      </c>
      <c r="J147" s="4">
        <v>20</v>
      </c>
      <c r="K147" s="4">
        <v>4.2</v>
      </c>
      <c r="L147" s="4">
        <v>18.95</v>
      </c>
      <c r="M147" s="4"/>
      <c r="N147" s="23"/>
      <c r="O147" s="28"/>
      <c r="P147" s="23"/>
      <c r="Q147" s="24"/>
      <c r="R147" s="54"/>
      <c r="S147" s="29"/>
      <c r="T147" s="29"/>
      <c r="U147" s="29"/>
      <c r="V147" s="29"/>
      <c r="W147" s="46"/>
      <c r="X147" s="76"/>
      <c r="Y147" s="76"/>
      <c r="Z147" s="39"/>
      <c r="AA147" s="39"/>
      <c r="AB147" s="39"/>
      <c r="AC147" s="39"/>
      <c r="AD147" s="39"/>
      <c r="AE147" s="39"/>
      <c r="AF147" s="39"/>
      <c r="AG147" s="39"/>
    </row>
    <row r="148" spans="1:33" ht="35.1" hidden="1" customHeight="1" x14ac:dyDescent="0.25">
      <c r="A148" s="61">
        <v>148</v>
      </c>
      <c r="B148" s="23" t="s">
        <v>275</v>
      </c>
      <c r="C148" s="29" t="s">
        <v>13</v>
      </c>
      <c r="D148" s="29" t="s">
        <v>455</v>
      </c>
      <c r="E148" s="22" t="s">
        <v>29</v>
      </c>
      <c r="F148" s="23" t="s">
        <v>635</v>
      </c>
      <c r="G148" s="23" t="s">
        <v>636</v>
      </c>
      <c r="H148" s="29" t="s">
        <v>522</v>
      </c>
      <c r="I148" s="4">
        <v>20.6</v>
      </c>
      <c r="J148" s="29">
        <v>1</v>
      </c>
      <c r="K148" s="29">
        <v>20.6</v>
      </c>
      <c r="L148" s="4">
        <v>10.199999999999999</v>
      </c>
      <c r="M148" s="29"/>
      <c r="N148" s="29"/>
      <c r="O148" s="35" t="s">
        <v>727</v>
      </c>
      <c r="P148" s="23" t="s">
        <v>730</v>
      </c>
      <c r="Q148" s="24" t="s">
        <v>857</v>
      </c>
      <c r="R148" s="54" t="str">
        <f t="shared" ref="R148:R211" si="28">IF(L148&lt;7.3,"NARROW","OK")</f>
        <v>OK</v>
      </c>
      <c r="S148" s="29" t="s">
        <v>27</v>
      </c>
      <c r="T148" s="29" t="s">
        <v>32</v>
      </c>
      <c r="U148" s="29"/>
      <c r="V148" s="29"/>
      <c r="W148" s="46"/>
      <c r="X148" s="76"/>
      <c r="Y148" s="76"/>
      <c r="Z148" s="39">
        <f t="shared" si="25"/>
        <v>0</v>
      </c>
      <c r="AA148" s="39">
        <f t="shared" si="20"/>
        <v>1</v>
      </c>
      <c r="AB148" s="39">
        <f t="shared" si="26"/>
        <v>0</v>
      </c>
      <c r="AC148" s="39">
        <f t="shared" si="27"/>
        <v>0</v>
      </c>
      <c r="AD148" s="39">
        <f t="shared" si="21"/>
        <v>0</v>
      </c>
      <c r="AE148" s="39">
        <f t="shared" si="22"/>
        <v>0</v>
      </c>
      <c r="AF148" s="39">
        <f t="shared" si="23"/>
        <v>0</v>
      </c>
      <c r="AG148" s="39">
        <f t="shared" si="24"/>
        <v>0</v>
      </c>
    </row>
    <row r="149" spans="1:33" ht="35.1" hidden="1" customHeight="1" x14ac:dyDescent="0.25">
      <c r="A149" s="61">
        <v>149</v>
      </c>
      <c r="B149" s="23" t="s">
        <v>233</v>
      </c>
      <c r="C149" s="29" t="s">
        <v>13</v>
      </c>
      <c r="D149" s="29" t="s">
        <v>407</v>
      </c>
      <c r="E149" s="22" t="s">
        <v>29</v>
      </c>
      <c r="F149" s="23" t="s">
        <v>592</v>
      </c>
      <c r="G149" s="23" t="s">
        <v>593</v>
      </c>
      <c r="H149" s="29" t="s">
        <v>851</v>
      </c>
      <c r="I149" s="4">
        <v>61.9</v>
      </c>
      <c r="J149" s="29">
        <v>3</v>
      </c>
      <c r="K149" s="29">
        <v>25.6</v>
      </c>
      <c r="L149" s="4">
        <v>4.5</v>
      </c>
      <c r="M149" s="30"/>
      <c r="N149" s="30"/>
      <c r="O149" s="35" t="s">
        <v>672</v>
      </c>
      <c r="P149" s="23" t="s">
        <v>730</v>
      </c>
      <c r="Q149" s="24" t="s">
        <v>27</v>
      </c>
      <c r="R149" s="54" t="str">
        <f t="shared" si="28"/>
        <v>NARROW</v>
      </c>
      <c r="S149" s="29" t="s">
        <v>27</v>
      </c>
      <c r="T149" s="29" t="s">
        <v>33</v>
      </c>
      <c r="U149" s="29"/>
      <c r="V149" s="29"/>
      <c r="W149" s="46"/>
      <c r="X149" s="76"/>
      <c r="Y149" s="76"/>
      <c r="Z149" s="39">
        <f t="shared" si="25"/>
        <v>1</v>
      </c>
      <c r="AA149" s="39">
        <f t="shared" si="20"/>
        <v>0</v>
      </c>
      <c r="AB149" s="39">
        <f t="shared" si="26"/>
        <v>0</v>
      </c>
      <c r="AC149" s="39">
        <f t="shared" si="27"/>
        <v>0</v>
      </c>
      <c r="AD149" s="39">
        <f t="shared" si="21"/>
        <v>0</v>
      </c>
      <c r="AE149" s="39">
        <f t="shared" si="22"/>
        <v>0</v>
      </c>
      <c r="AF149" s="39">
        <f t="shared" si="23"/>
        <v>0</v>
      </c>
      <c r="AG149" s="39">
        <f t="shared" si="24"/>
        <v>0</v>
      </c>
    </row>
    <row r="150" spans="1:33" ht="35.1" hidden="1" customHeight="1" x14ac:dyDescent="0.25">
      <c r="A150" s="61">
        <v>150</v>
      </c>
      <c r="B150" s="23" t="s">
        <v>234</v>
      </c>
      <c r="C150" s="29" t="s">
        <v>13</v>
      </c>
      <c r="D150" s="29" t="s">
        <v>408</v>
      </c>
      <c r="E150" s="22" t="s">
        <v>29</v>
      </c>
      <c r="F150" s="23" t="s">
        <v>594</v>
      </c>
      <c r="G150" s="23" t="s">
        <v>595</v>
      </c>
      <c r="H150" s="29" t="s">
        <v>522</v>
      </c>
      <c r="I150" s="29">
        <v>216</v>
      </c>
      <c r="J150" s="29">
        <v>1</v>
      </c>
      <c r="K150" s="29"/>
      <c r="L150" s="29">
        <v>11.5</v>
      </c>
      <c r="M150" s="29"/>
      <c r="N150" s="29"/>
      <c r="O150" s="35" t="s">
        <v>21</v>
      </c>
      <c r="P150" s="23" t="s">
        <v>730</v>
      </c>
      <c r="Q150" s="24" t="s">
        <v>27</v>
      </c>
      <c r="R150" s="54" t="str">
        <f t="shared" si="28"/>
        <v>OK</v>
      </c>
      <c r="S150" s="29" t="s">
        <v>27</v>
      </c>
      <c r="T150" s="29" t="s">
        <v>33</v>
      </c>
      <c r="U150" s="29"/>
      <c r="V150" s="29"/>
      <c r="W150" s="46"/>
      <c r="X150" s="76"/>
      <c r="Y150" s="76"/>
      <c r="Z150" s="39">
        <f t="shared" si="25"/>
        <v>0</v>
      </c>
      <c r="AA150" s="39">
        <f t="shared" si="20"/>
        <v>0</v>
      </c>
      <c r="AB150" s="39">
        <f t="shared" si="26"/>
        <v>0</v>
      </c>
      <c r="AC150" s="39">
        <f t="shared" si="27"/>
        <v>0</v>
      </c>
      <c r="AD150" s="39">
        <f t="shared" si="21"/>
        <v>0</v>
      </c>
      <c r="AE150" s="39">
        <f t="shared" si="22"/>
        <v>0</v>
      </c>
      <c r="AF150" s="39">
        <f t="shared" si="23"/>
        <v>0</v>
      </c>
      <c r="AG150" s="39" t="str">
        <f t="shared" si="24"/>
        <v>E</v>
      </c>
    </row>
    <row r="151" spans="1:33" ht="35.1" hidden="1" customHeight="1" x14ac:dyDescent="0.25">
      <c r="A151" s="61">
        <v>151</v>
      </c>
      <c r="B151" s="23" t="s">
        <v>200</v>
      </c>
      <c r="C151" s="29" t="s">
        <v>13</v>
      </c>
      <c r="D151" s="29" t="s">
        <v>372</v>
      </c>
      <c r="E151" s="22" t="s">
        <v>29</v>
      </c>
      <c r="F151" s="23" t="s">
        <v>564</v>
      </c>
      <c r="G151" s="23" t="s">
        <v>565</v>
      </c>
      <c r="H151" s="29" t="s">
        <v>522</v>
      </c>
      <c r="I151" s="29">
        <v>55.4</v>
      </c>
      <c r="J151" s="29">
        <v>3</v>
      </c>
      <c r="K151" s="29">
        <v>20.6</v>
      </c>
      <c r="L151" s="29">
        <v>9.65</v>
      </c>
      <c r="M151" s="29"/>
      <c r="N151" s="29"/>
      <c r="O151" s="35" t="s">
        <v>704</v>
      </c>
      <c r="P151" s="23" t="s">
        <v>731</v>
      </c>
      <c r="Q151" s="24" t="s">
        <v>102</v>
      </c>
      <c r="R151" s="54" t="str">
        <f t="shared" si="28"/>
        <v>OK</v>
      </c>
      <c r="S151" s="29" t="s">
        <v>102</v>
      </c>
      <c r="T151" s="29" t="s">
        <v>32</v>
      </c>
      <c r="U151" s="29"/>
      <c r="V151" s="43">
        <v>3754</v>
      </c>
      <c r="W151" s="46">
        <v>2</v>
      </c>
      <c r="X151" s="76"/>
      <c r="Y151" s="76"/>
      <c r="Z151" s="39">
        <f t="shared" si="25"/>
        <v>0</v>
      </c>
      <c r="AA151" s="39">
        <f t="shared" si="20"/>
        <v>1</v>
      </c>
      <c r="AB151" s="39">
        <f t="shared" si="26"/>
        <v>1</v>
      </c>
      <c r="AC151" s="39">
        <f t="shared" si="27"/>
        <v>0</v>
      </c>
      <c r="AD151" s="39">
        <f t="shared" si="21"/>
        <v>0</v>
      </c>
      <c r="AE151" s="39" t="str">
        <f t="shared" si="22"/>
        <v>C</v>
      </c>
      <c r="AF151" s="39">
        <f t="shared" si="23"/>
        <v>0</v>
      </c>
      <c r="AG151" s="39">
        <f t="shared" si="24"/>
        <v>0</v>
      </c>
    </row>
    <row r="152" spans="1:33" ht="35.1" hidden="1" customHeight="1" x14ac:dyDescent="0.25">
      <c r="A152" s="61">
        <v>152</v>
      </c>
      <c r="B152" s="23" t="s">
        <v>38</v>
      </c>
      <c r="C152" s="29" t="s">
        <v>13</v>
      </c>
      <c r="D152" s="29" t="s">
        <v>373</v>
      </c>
      <c r="E152" s="22" t="s">
        <v>29</v>
      </c>
      <c r="F152" s="23" t="s">
        <v>38</v>
      </c>
      <c r="G152" s="23" t="s">
        <v>39</v>
      </c>
      <c r="H152" s="29" t="s">
        <v>15</v>
      </c>
      <c r="I152" s="29">
        <v>58.1</v>
      </c>
      <c r="J152" s="29">
        <v>3</v>
      </c>
      <c r="K152" s="29"/>
      <c r="L152" s="29">
        <v>7.9</v>
      </c>
      <c r="M152" s="30"/>
      <c r="N152" s="30"/>
      <c r="O152" s="35" t="s">
        <v>705</v>
      </c>
      <c r="P152" s="23" t="s">
        <v>731</v>
      </c>
      <c r="Q152" s="24" t="s">
        <v>857</v>
      </c>
      <c r="R152" s="54" t="str">
        <f t="shared" si="28"/>
        <v>OK</v>
      </c>
      <c r="S152" s="29" t="s">
        <v>27</v>
      </c>
      <c r="T152" s="29" t="s">
        <v>32</v>
      </c>
      <c r="U152" s="29"/>
      <c r="V152" s="43">
        <v>679</v>
      </c>
      <c r="W152" s="46">
        <v>4</v>
      </c>
      <c r="X152" s="76"/>
      <c r="Y152" s="76"/>
      <c r="Z152" s="39">
        <f t="shared" si="25"/>
        <v>0</v>
      </c>
      <c r="AA152" s="39">
        <f t="shared" si="20"/>
        <v>1</v>
      </c>
      <c r="AB152" s="39">
        <f t="shared" si="26"/>
        <v>0</v>
      </c>
      <c r="AC152" s="39">
        <f t="shared" si="27"/>
        <v>0</v>
      </c>
      <c r="AD152" s="39">
        <f t="shared" si="21"/>
        <v>0</v>
      </c>
      <c r="AE152" s="39">
        <f t="shared" si="22"/>
        <v>0</v>
      </c>
      <c r="AF152" s="39">
        <f t="shared" si="23"/>
        <v>0</v>
      </c>
      <c r="AG152" s="39">
        <f t="shared" si="24"/>
        <v>0</v>
      </c>
    </row>
    <row r="153" spans="1:33" ht="35.1" hidden="1" customHeight="1" x14ac:dyDescent="0.25">
      <c r="A153" s="61">
        <v>153</v>
      </c>
      <c r="B153" s="23" t="s">
        <v>201</v>
      </c>
      <c r="C153" s="29" t="s">
        <v>13</v>
      </c>
      <c r="D153" s="29" t="s">
        <v>374</v>
      </c>
      <c r="E153" s="22" t="s">
        <v>29</v>
      </c>
      <c r="F153" s="23" t="s">
        <v>566</v>
      </c>
      <c r="G153" s="23" t="s">
        <v>567</v>
      </c>
      <c r="H153" s="29" t="s">
        <v>15</v>
      </c>
      <c r="I153" s="4">
        <v>50</v>
      </c>
      <c r="J153" s="29">
        <v>1</v>
      </c>
      <c r="K153" s="29">
        <v>50</v>
      </c>
      <c r="L153" s="4">
        <v>14.3</v>
      </c>
      <c r="M153" s="29"/>
      <c r="N153" s="29"/>
      <c r="O153" s="35" t="s">
        <v>706</v>
      </c>
      <c r="P153" s="23" t="s">
        <v>731</v>
      </c>
      <c r="Q153" s="24" t="s">
        <v>857</v>
      </c>
      <c r="R153" s="54" t="str">
        <f t="shared" si="28"/>
        <v>OK</v>
      </c>
      <c r="S153" s="29" t="s">
        <v>27</v>
      </c>
      <c r="T153" s="29" t="s">
        <v>32</v>
      </c>
      <c r="U153" s="29"/>
      <c r="V153" s="29"/>
      <c r="W153" s="46"/>
      <c r="X153" s="76"/>
      <c r="Y153" s="76"/>
      <c r="Z153" s="39">
        <f t="shared" si="25"/>
        <v>0</v>
      </c>
      <c r="AA153" s="39">
        <f t="shared" si="20"/>
        <v>1</v>
      </c>
      <c r="AB153" s="39">
        <f t="shared" si="26"/>
        <v>0</v>
      </c>
      <c r="AC153" s="39">
        <f t="shared" si="27"/>
        <v>0</v>
      </c>
      <c r="AD153" s="39">
        <f t="shared" si="21"/>
        <v>0</v>
      </c>
      <c r="AE153" s="39">
        <f t="shared" si="22"/>
        <v>0</v>
      </c>
      <c r="AF153" s="39">
        <f t="shared" si="23"/>
        <v>0</v>
      </c>
      <c r="AG153" s="39">
        <f t="shared" si="24"/>
        <v>0</v>
      </c>
    </row>
    <row r="154" spans="1:33" ht="35.1" customHeight="1" x14ac:dyDescent="0.25">
      <c r="A154" s="61">
        <v>154</v>
      </c>
      <c r="B154" s="23" t="s">
        <v>235</v>
      </c>
      <c r="C154" s="29" t="s">
        <v>13</v>
      </c>
      <c r="D154" s="29" t="s">
        <v>374</v>
      </c>
      <c r="E154" s="22" t="s">
        <v>29</v>
      </c>
      <c r="F154" s="23" t="s">
        <v>566</v>
      </c>
      <c r="G154" s="23" t="s">
        <v>596</v>
      </c>
      <c r="H154" s="29" t="s">
        <v>15</v>
      </c>
      <c r="I154" s="4">
        <v>30.6</v>
      </c>
      <c r="J154" s="29">
        <v>1</v>
      </c>
      <c r="K154" s="29"/>
      <c r="L154" s="4">
        <v>6.03</v>
      </c>
      <c r="M154" s="30"/>
      <c r="N154" s="30"/>
      <c r="O154" s="35" t="s">
        <v>717</v>
      </c>
      <c r="P154" s="23" t="s">
        <v>733</v>
      </c>
      <c r="Q154" s="24" t="s">
        <v>102</v>
      </c>
      <c r="R154" s="54" t="str">
        <f t="shared" si="28"/>
        <v>NARROW</v>
      </c>
      <c r="S154" s="29" t="s">
        <v>102</v>
      </c>
      <c r="T154" s="29" t="s">
        <v>32</v>
      </c>
      <c r="U154" s="29"/>
      <c r="V154" s="29"/>
      <c r="W154" s="46"/>
      <c r="X154" s="76"/>
      <c r="Y154" s="76"/>
      <c r="Z154" s="39">
        <f t="shared" si="25"/>
        <v>1</v>
      </c>
      <c r="AA154" s="39">
        <f t="shared" si="20"/>
        <v>1</v>
      </c>
      <c r="AB154" s="39">
        <f t="shared" si="26"/>
        <v>1</v>
      </c>
      <c r="AC154" s="39" t="str">
        <f t="shared" si="27"/>
        <v>A</v>
      </c>
      <c r="AD154" s="39" t="str">
        <f t="shared" si="21"/>
        <v>B</v>
      </c>
      <c r="AE154" s="39" t="str">
        <f t="shared" si="22"/>
        <v>C</v>
      </c>
      <c r="AF154" s="39" t="str">
        <f t="shared" si="23"/>
        <v>D</v>
      </c>
      <c r="AG154" s="39">
        <f t="shared" si="24"/>
        <v>0</v>
      </c>
    </row>
    <row r="155" spans="1:33" ht="35.1" hidden="1" customHeight="1" x14ac:dyDescent="0.25">
      <c r="A155" s="61">
        <v>155</v>
      </c>
      <c r="B155" s="23" t="s">
        <v>202</v>
      </c>
      <c r="C155" s="29" t="s">
        <v>13</v>
      </c>
      <c r="D155" s="29" t="s">
        <v>374</v>
      </c>
      <c r="E155" s="22" t="s">
        <v>29</v>
      </c>
      <c r="F155" s="23" t="s">
        <v>568</v>
      </c>
      <c r="G155" s="23" t="s">
        <v>569</v>
      </c>
      <c r="H155" s="29" t="s">
        <v>522</v>
      </c>
      <c r="I155" s="29">
        <v>17</v>
      </c>
      <c r="J155" s="29">
        <v>2</v>
      </c>
      <c r="K155" s="29"/>
      <c r="L155" s="29">
        <v>7.3</v>
      </c>
      <c r="M155" s="29"/>
      <c r="N155" s="29"/>
      <c r="O155" s="35" t="s">
        <v>707</v>
      </c>
      <c r="P155" s="23" t="s">
        <v>731</v>
      </c>
      <c r="Q155" s="24" t="s">
        <v>102</v>
      </c>
      <c r="R155" s="54" t="str">
        <f t="shared" si="28"/>
        <v>OK</v>
      </c>
      <c r="S155" s="29" t="s">
        <v>102</v>
      </c>
      <c r="T155" s="29" t="s">
        <v>32</v>
      </c>
      <c r="U155" s="29"/>
      <c r="V155" s="29"/>
      <c r="W155" s="46"/>
      <c r="X155" s="76"/>
      <c r="Y155" s="76"/>
      <c r="Z155" s="39">
        <f t="shared" si="25"/>
        <v>0</v>
      </c>
      <c r="AA155" s="39">
        <f t="shared" si="20"/>
        <v>1</v>
      </c>
      <c r="AB155" s="39">
        <f t="shared" si="26"/>
        <v>1</v>
      </c>
      <c r="AC155" s="39">
        <f t="shared" si="27"/>
        <v>0</v>
      </c>
      <c r="AD155" s="39">
        <f t="shared" si="21"/>
        <v>0</v>
      </c>
      <c r="AE155" s="39" t="str">
        <f t="shared" si="22"/>
        <v>C</v>
      </c>
      <c r="AF155" s="39">
        <f t="shared" si="23"/>
        <v>0</v>
      </c>
      <c r="AG155" s="39">
        <f t="shared" si="24"/>
        <v>0</v>
      </c>
    </row>
    <row r="156" spans="1:33" ht="35.1" hidden="1" customHeight="1" x14ac:dyDescent="0.25">
      <c r="A156" s="61">
        <v>156</v>
      </c>
      <c r="B156" s="23" t="s">
        <v>240</v>
      </c>
      <c r="C156" s="29" t="s">
        <v>13</v>
      </c>
      <c r="D156" s="29" t="s">
        <v>413</v>
      </c>
      <c r="E156" s="22" t="s">
        <v>29</v>
      </c>
      <c r="F156" s="23" t="s">
        <v>602</v>
      </c>
      <c r="G156" s="23" t="s">
        <v>603</v>
      </c>
      <c r="H156" s="29" t="s">
        <v>15</v>
      </c>
      <c r="I156" s="4">
        <v>25.3</v>
      </c>
      <c r="J156" s="29">
        <v>1</v>
      </c>
      <c r="K156" s="29">
        <v>25.3</v>
      </c>
      <c r="L156" s="4">
        <v>4.5</v>
      </c>
      <c r="M156" s="29"/>
      <c r="N156" s="29"/>
      <c r="O156" s="35" t="s">
        <v>673</v>
      </c>
      <c r="P156" s="23" t="s">
        <v>733</v>
      </c>
      <c r="Q156" s="24" t="s">
        <v>102</v>
      </c>
      <c r="R156" s="54" t="str">
        <f t="shared" si="28"/>
        <v>NARROW</v>
      </c>
      <c r="S156" s="29" t="s">
        <v>102</v>
      </c>
      <c r="T156" s="29" t="s">
        <v>33</v>
      </c>
      <c r="U156" s="29"/>
      <c r="V156" s="29"/>
      <c r="W156" s="46"/>
      <c r="X156" s="76"/>
      <c r="Y156" s="76"/>
      <c r="Z156" s="39">
        <f t="shared" si="25"/>
        <v>1</v>
      </c>
      <c r="AA156" s="39">
        <f t="shared" si="20"/>
        <v>0</v>
      </c>
      <c r="AB156" s="39">
        <f t="shared" si="26"/>
        <v>1</v>
      </c>
      <c r="AC156" s="39" t="str">
        <f t="shared" si="27"/>
        <v>A</v>
      </c>
      <c r="AD156" s="39">
        <f t="shared" si="21"/>
        <v>0</v>
      </c>
      <c r="AE156" s="39">
        <f t="shared" si="22"/>
        <v>0</v>
      </c>
      <c r="AF156" s="39">
        <f t="shared" si="23"/>
        <v>0</v>
      </c>
      <c r="AG156" s="39">
        <f t="shared" si="24"/>
        <v>0</v>
      </c>
    </row>
    <row r="157" spans="1:33" ht="35.1" hidden="1" customHeight="1" x14ac:dyDescent="0.25">
      <c r="A157" s="61">
        <v>157</v>
      </c>
      <c r="B157" s="23" t="s">
        <v>236</v>
      </c>
      <c r="C157" s="29" t="s">
        <v>13</v>
      </c>
      <c r="D157" s="29" t="s">
        <v>409</v>
      </c>
      <c r="E157" s="22" t="s">
        <v>29</v>
      </c>
      <c r="F157" s="23" t="s">
        <v>597</v>
      </c>
      <c r="G157" s="23" t="s">
        <v>598</v>
      </c>
      <c r="H157" s="29" t="s">
        <v>15</v>
      </c>
      <c r="I157" s="4">
        <v>50</v>
      </c>
      <c r="J157" s="29">
        <v>1</v>
      </c>
      <c r="K157" s="29">
        <v>50</v>
      </c>
      <c r="L157" s="4">
        <v>8.6</v>
      </c>
      <c r="M157" s="30"/>
      <c r="N157" s="30"/>
      <c r="O157" s="35" t="s">
        <v>69</v>
      </c>
      <c r="P157" s="23" t="s">
        <v>730</v>
      </c>
      <c r="Q157" s="24" t="s">
        <v>27</v>
      </c>
      <c r="R157" s="54" t="str">
        <f t="shared" si="28"/>
        <v>OK</v>
      </c>
      <c r="S157" s="29" t="s">
        <v>27</v>
      </c>
      <c r="T157" s="29" t="s">
        <v>33</v>
      </c>
      <c r="U157" s="29"/>
      <c r="V157" s="29"/>
      <c r="W157" s="46"/>
      <c r="X157" s="76"/>
      <c r="Y157" s="76"/>
      <c r="Z157" s="39">
        <f t="shared" si="25"/>
        <v>0</v>
      </c>
      <c r="AA157" s="39">
        <f t="shared" si="20"/>
        <v>0</v>
      </c>
      <c r="AB157" s="39">
        <f t="shared" si="26"/>
        <v>0</v>
      </c>
      <c r="AC157" s="39">
        <f t="shared" si="27"/>
        <v>0</v>
      </c>
      <c r="AD157" s="39">
        <f t="shared" si="21"/>
        <v>0</v>
      </c>
      <c r="AE157" s="39">
        <f t="shared" si="22"/>
        <v>0</v>
      </c>
      <c r="AF157" s="39">
        <f t="shared" si="23"/>
        <v>0</v>
      </c>
      <c r="AG157" s="39" t="str">
        <f t="shared" si="24"/>
        <v>E</v>
      </c>
    </row>
    <row r="158" spans="1:33" ht="35.1" customHeight="1" x14ac:dyDescent="0.25">
      <c r="A158" s="61">
        <v>158</v>
      </c>
      <c r="B158" s="23" t="s">
        <v>236</v>
      </c>
      <c r="C158" s="29" t="s">
        <v>13</v>
      </c>
      <c r="D158" s="29" t="s">
        <v>409</v>
      </c>
      <c r="E158" s="22" t="s">
        <v>29</v>
      </c>
      <c r="F158" s="23" t="s">
        <v>597</v>
      </c>
      <c r="G158" s="23" t="s">
        <v>598</v>
      </c>
      <c r="H158" s="29" t="s">
        <v>522</v>
      </c>
      <c r="I158" s="29">
        <v>36.799999999999997</v>
      </c>
      <c r="J158" s="29">
        <v>6</v>
      </c>
      <c r="K158" s="29">
        <v>5.2</v>
      </c>
      <c r="L158" s="29">
        <v>5.8</v>
      </c>
      <c r="M158" s="29"/>
      <c r="N158" s="29"/>
      <c r="O158" s="35" t="s">
        <v>882</v>
      </c>
      <c r="P158" s="23" t="s">
        <v>733</v>
      </c>
      <c r="Q158" s="24" t="s">
        <v>102</v>
      </c>
      <c r="R158" s="54" t="str">
        <f t="shared" si="28"/>
        <v>NARROW</v>
      </c>
      <c r="S158" s="29" t="s">
        <v>102</v>
      </c>
      <c r="T158" s="29" t="s">
        <v>32</v>
      </c>
      <c r="U158" s="29"/>
      <c r="V158" s="29"/>
      <c r="W158" s="46"/>
      <c r="X158" s="76"/>
      <c r="Y158" s="76"/>
      <c r="Z158" s="39">
        <f t="shared" si="25"/>
        <v>1</v>
      </c>
      <c r="AA158" s="39">
        <f t="shared" si="20"/>
        <v>1</v>
      </c>
      <c r="AB158" s="39">
        <f t="shared" si="26"/>
        <v>1</v>
      </c>
      <c r="AC158" s="39" t="str">
        <f t="shared" si="27"/>
        <v>A</v>
      </c>
      <c r="AD158" s="39" t="str">
        <f t="shared" si="21"/>
        <v>B</v>
      </c>
      <c r="AE158" s="39" t="str">
        <f t="shared" si="22"/>
        <v>C</v>
      </c>
      <c r="AF158" s="39" t="str">
        <f t="shared" si="23"/>
        <v>D</v>
      </c>
      <c r="AG158" s="39">
        <f t="shared" si="24"/>
        <v>0</v>
      </c>
    </row>
    <row r="159" spans="1:33" ht="35.1" hidden="1" customHeight="1" x14ac:dyDescent="0.25">
      <c r="A159" s="61">
        <v>159</v>
      </c>
      <c r="B159" s="23" t="s">
        <v>203</v>
      </c>
      <c r="C159" s="29" t="s">
        <v>13</v>
      </c>
      <c r="D159" s="29" t="s">
        <v>375</v>
      </c>
      <c r="E159" s="22" t="s">
        <v>29</v>
      </c>
      <c r="F159" s="23" t="s">
        <v>570</v>
      </c>
      <c r="G159" s="23" t="s">
        <v>571</v>
      </c>
      <c r="H159" s="29" t="s">
        <v>522</v>
      </c>
      <c r="I159" s="4">
        <v>39</v>
      </c>
      <c r="J159" s="29">
        <v>1</v>
      </c>
      <c r="K159" s="29">
        <v>39</v>
      </c>
      <c r="L159" s="4">
        <v>11.2</v>
      </c>
      <c r="M159" s="30"/>
      <c r="N159" s="30"/>
      <c r="O159" s="35" t="s">
        <v>708</v>
      </c>
      <c r="P159" s="23" t="s">
        <v>731</v>
      </c>
      <c r="Q159" s="24" t="s">
        <v>857</v>
      </c>
      <c r="R159" s="54" t="str">
        <f t="shared" si="28"/>
        <v>OK</v>
      </c>
      <c r="S159" s="29" t="s">
        <v>27</v>
      </c>
      <c r="T159" s="29" t="s">
        <v>32</v>
      </c>
      <c r="U159" s="29"/>
      <c r="V159" s="29"/>
      <c r="W159" s="46"/>
      <c r="X159" s="76"/>
      <c r="Y159" s="76"/>
      <c r="Z159" s="39">
        <f t="shared" si="25"/>
        <v>0</v>
      </c>
      <c r="AA159" s="39">
        <f t="shared" si="20"/>
        <v>1</v>
      </c>
      <c r="AB159" s="39">
        <f t="shared" si="26"/>
        <v>0</v>
      </c>
      <c r="AC159" s="39">
        <f t="shared" si="27"/>
        <v>0</v>
      </c>
      <c r="AD159" s="39">
        <f t="shared" si="21"/>
        <v>0</v>
      </c>
      <c r="AE159" s="39">
        <f t="shared" si="22"/>
        <v>0</v>
      </c>
      <c r="AF159" s="39">
        <f t="shared" si="23"/>
        <v>0</v>
      </c>
      <c r="AG159" s="39">
        <f t="shared" si="24"/>
        <v>0</v>
      </c>
    </row>
    <row r="160" spans="1:33" ht="35.1" customHeight="1" x14ac:dyDescent="0.25">
      <c r="A160" s="61">
        <v>160</v>
      </c>
      <c r="B160" s="23" t="s">
        <v>237</v>
      </c>
      <c r="C160" s="29" t="s">
        <v>13</v>
      </c>
      <c r="D160" s="29" t="s">
        <v>410</v>
      </c>
      <c r="E160" s="22" t="s">
        <v>29</v>
      </c>
      <c r="F160" s="23" t="s">
        <v>599</v>
      </c>
      <c r="G160" s="23" t="s">
        <v>600</v>
      </c>
      <c r="H160" s="29" t="s">
        <v>522</v>
      </c>
      <c r="I160" s="29">
        <v>14.5</v>
      </c>
      <c r="J160" s="29">
        <v>3</v>
      </c>
      <c r="K160" s="29">
        <v>4.3</v>
      </c>
      <c r="L160" s="29">
        <v>6.2</v>
      </c>
      <c r="M160" s="29"/>
      <c r="N160" s="29"/>
      <c r="O160" s="35" t="s">
        <v>883</v>
      </c>
      <c r="P160" s="23" t="s">
        <v>733</v>
      </c>
      <c r="Q160" s="24" t="s">
        <v>102</v>
      </c>
      <c r="R160" s="54" t="str">
        <f t="shared" si="28"/>
        <v>NARROW</v>
      </c>
      <c r="S160" s="29" t="s">
        <v>102</v>
      </c>
      <c r="T160" s="29" t="s">
        <v>32</v>
      </c>
      <c r="U160" s="29"/>
      <c r="V160" s="29"/>
      <c r="W160" s="46"/>
      <c r="X160" s="76"/>
      <c r="Y160" s="76"/>
      <c r="Z160" s="39">
        <f t="shared" si="25"/>
        <v>1</v>
      </c>
      <c r="AA160" s="39">
        <f t="shared" si="20"/>
        <v>1</v>
      </c>
      <c r="AB160" s="39">
        <f t="shared" si="26"/>
        <v>1</v>
      </c>
      <c r="AC160" s="39" t="str">
        <f t="shared" si="27"/>
        <v>A</v>
      </c>
      <c r="AD160" s="39" t="str">
        <f t="shared" si="21"/>
        <v>B</v>
      </c>
      <c r="AE160" s="39" t="str">
        <f t="shared" si="22"/>
        <v>C</v>
      </c>
      <c r="AF160" s="39" t="str">
        <f t="shared" si="23"/>
        <v>D</v>
      </c>
      <c r="AG160" s="39">
        <f t="shared" si="24"/>
        <v>0</v>
      </c>
    </row>
    <row r="161" spans="1:33" ht="35.1" hidden="1" customHeight="1" x14ac:dyDescent="0.25">
      <c r="A161" s="61">
        <v>161</v>
      </c>
      <c r="B161" s="23" t="s">
        <v>244</v>
      </c>
      <c r="C161" s="29" t="s">
        <v>13</v>
      </c>
      <c r="D161" s="29" t="s">
        <v>759</v>
      </c>
      <c r="E161" s="22" t="s">
        <v>29</v>
      </c>
      <c r="F161" s="23"/>
      <c r="G161" s="23"/>
      <c r="H161" s="29" t="s">
        <v>522</v>
      </c>
      <c r="I161" s="29">
        <v>14.5</v>
      </c>
      <c r="J161" s="29">
        <v>3</v>
      </c>
      <c r="K161" s="29"/>
      <c r="L161" s="29"/>
      <c r="M161" s="30"/>
      <c r="N161" s="30"/>
      <c r="O161" s="23" t="s">
        <v>21</v>
      </c>
      <c r="P161" s="83" t="s">
        <v>730</v>
      </c>
      <c r="Q161" s="24" t="s">
        <v>857</v>
      </c>
      <c r="R161" s="54" t="str">
        <f t="shared" si="28"/>
        <v>NARROW</v>
      </c>
      <c r="S161" s="29" t="s">
        <v>27</v>
      </c>
      <c r="T161" s="29" t="s">
        <v>33</v>
      </c>
      <c r="U161" s="29"/>
      <c r="V161" s="29"/>
      <c r="W161" s="46"/>
      <c r="X161" s="76"/>
      <c r="Y161" s="76"/>
      <c r="Z161" s="39">
        <f t="shared" si="25"/>
        <v>1</v>
      </c>
      <c r="AA161" s="39">
        <f t="shared" si="20"/>
        <v>0</v>
      </c>
      <c r="AB161" s="39">
        <f t="shared" si="26"/>
        <v>0</v>
      </c>
      <c r="AC161" s="39">
        <f t="shared" si="27"/>
        <v>0</v>
      </c>
      <c r="AD161" s="39">
        <f t="shared" si="21"/>
        <v>0</v>
      </c>
      <c r="AE161" s="39">
        <f t="shared" si="22"/>
        <v>0</v>
      </c>
      <c r="AF161" s="39">
        <f t="shared" si="23"/>
        <v>0</v>
      </c>
      <c r="AG161" s="39">
        <f t="shared" si="24"/>
        <v>0</v>
      </c>
    </row>
    <row r="162" spans="1:33" ht="35.1" hidden="1" customHeight="1" x14ac:dyDescent="0.25">
      <c r="A162" s="61">
        <v>162</v>
      </c>
      <c r="B162" s="23" t="s">
        <v>245</v>
      </c>
      <c r="C162" s="29"/>
      <c r="D162" s="29" t="s">
        <v>417</v>
      </c>
      <c r="E162" s="29" t="s">
        <v>49</v>
      </c>
      <c r="F162" s="108"/>
      <c r="G162" s="23"/>
      <c r="H162" s="29" t="s">
        <v>522</v>
      </c>
      <c r="I162" s="29">
        <v>13.7</v>
      </c>
      <c r="J162" s="29">
        <v>2</v>
      </c>
      <c r="K162" s="29">
        <v>4.6500000000000004</v>
      </c>
      <c r="L162" s="29">
        <v>33.799999999999997</v>
      </c>
      <c r="M162" s="29"/>
      <c r="N162" s="29"/>
      <c r="O162" s="23" t="s">
        <v>21</v>
      </c>
      <c r="P162" s="23" t="s">
        <v>730</v>
      </c>
      <c r="Q162" s="24" t="s">
        <v>27</v>
      </c>
      <c r="R162" s="54" t="str">
        <f t="shared" si="28"/>
        <v>OK</v>
      </c>
      <c r="S162" s="29" t="s">
        <v>27</v>
      </c>
      <c r="T162" s="29" t="s">
        <v>33</v>
      </c>
      <c r="U162" s="29"/>
      <c r="V162" s="29"/>
      <c r="W162" s="46"/>
      <c r="X162" s="76"/>
      <c r="Y162" s="76"/>
      <c r="Z162" s="39">
        <f t="shared" si="25"/>
        <v>0</v>
      </c>
      <c r="AA162" s="39">
        <f t="shared" si="20"/>
        <v>0</v>
      </c>
      <c r="AB162" s="39">
        <f t="shared" si="26"/>
        <v>0</v>
      </c>
      <c r="AC162" s="39">
        <f t="shared" si="27"/>
        <v>0</v>
      </c>
      <c r="AD162" s="39">
        <f t="shared" si="21"/>
        <v>0</v>
      </c>
      <c r="AE162" s="39">
        <f t="shared" si="22"/>
        <v>0</v>
      </c>
      <c r="AF162" s="39">
        <f t="shared" si="23"/>
        <v>0</v>
      </c>
      <c r="AG162" s="39" t="str">
        <f t="shared" si="24"/>
        <v>E</v>
      </c>
    </row>
    <row r="163" spans="1:33" ht="35.1" hidden="1" customHeight="1" x14ac:dyDescent="0.25">
      <c r="A163" s="61">
        <v>163</v>
      </c>
      <c r="B163" s="23" t="s">
        <v>246</v>
      </c>
      <c r="C163" s="29" t="s">
        <v>13</v>
      </c>
      <c r="D163" s="29" t="s">
        <v>418</v>
      </c>
      <c r="E163" s="22" t="s">
        <v>49</v>
      </c>
      <c r="F163" s="23" t="s">
        <v>608</v>
      </c>
      <c r="G163" s="23" t="s">
        <v>246</v>
      </c>
      <c r="H163" s="29" t="s">
        <v>851</v>
      </c>
      <c r="I163" s="29">
        <v>23.05</v>
      </c>
      <c r="J163" s="29">
        <v>3</v>
      </c>
      <c r="K163" s="29">
        <v>8.5</v>
      </c>
      <c r="L163" s="29">
        <v>5</v>
      </c>
      <c r="M163" s="29"/>
      <c r="N163" s="29"/>
      <c r="O163" s="23" t="s">
        <v>20</v>
      </c>
      <c r="P163" s="23" t="s">
        <v>730</v>
      </c>
      <c r="Q163" s="24" t="s">
        <v>27</v>
      </c>
      <c r="R163" s="54" t="str">
        <f t="shared" si="28"/>
        <v>NARROW</v>
      </c>
      <c r="S163" s="29" t="s">
        <v>27</v>
      </c>
      <c r="T163" s="29" t="s">
        <v>33</v>
      </c>
      <c r="U163" s="29"/>
      <c r="V163" s="29"/>
      <c r="W163" s="46"/>
      <c r="X163" s="76"/>
      <c r="Y163" s="76"/>
      <c r="Z163" s="39">
        <f t="shared" si="25"/>
        <v>1</v>
      </c>
      <c r="AA163" s="39">
        <f t="shared" si="20"/>
        <v>0</v>
      </c>
      <c r="AB163" s="39">
        <f t="shared" si="26"/>
        <v>0</v>
      </c>
      <c r="AC163" s="39">
        <f t="shared" si="27"/>
        <v>0</v>
      </c>
      <c r="AD163" s="39">
        <f t="shared" si="21"/>
        <v>0</v>
      </c>
      <c r="AE163" s="39">
        <f t="shared" si="22"/>
        <v>0</v>
      </c>
      <c r="AF163" s="39">
        <f t="shared" si="23"/>
        <v>0</v>
      </c>
      <c r="AG163" s="39">
        <f t="shared" si="24"/>
        <v>0</v>
      </c>
    </row>
    <row r="164" spans="1:33" ht="35.1" hidden="1" customHeight="1" x14ac:dyDescent="0.25">
      <c r="A164" s="61">
        <v>164</v>
      </c>
      <c r="B164" s="23" t="s">
        <v>247</v>
      </c>
      <c r="C164" s="29" t="s">
        <v>13</v>
      </c>
      <c r="D164" s="29" t="s">
        <v>419</v>
      </c>
      <c r="E164" s="22" t="s">
        <v>49</v>
      </c>
      <c r="F164" s="23" t="s">
        <v>609</v>
      </c>
      <c r="G164" s="23" t="s">
        <v>610</v>
      </c>
      <c r="H164" s="29" t="s">
        <v>851</v>
      </c>
      <c r="I164" s="29">
        <v>23.05</v>
      </c>
      <c r="J164" s="29">
        <v>3</v>
      </c>
      <c r="K164" s="29">
        <v>12.75</v>
      </c>
      <c r="L164" s="29">
        <v>5</v>
      </c>
      <c r="M164" s="30"/>
      <c r="N164" s="30"/>
      <c r="O164" s="23" t="s">
        <v>677</v>
      </c>
      <c r="P164" s="23" t="s">
        <v>730</v>
      </c>
      <c r="Q164" s="24" t="s">
        <v>857</v>
      </c>
      <c r="R164" s="54" t="str">
        <f t="shared" si="28"/>
        <v>NARROW</v>
      </c>
      <c r="S164" s="29" t="s">
        <v>27</v>
      </c>
      <c r="T164" s="29" t="s">
        <v>33</v>
      </c>
      <c r="U164" s="29"/>
      <c r="V164" s="29"/>
      <c r="W164" s="46"/>
      <c r="X164" s="76"/>
      <c r="Y164" s="76"/>
      <c r="Z164" s="39">
        <f t="shared" si="25"/>
        <v>1</v>
      </c>
      <c r="AA164" s="39">
        <f t="shared" si="20"/>
        <v>0</v>
      </c>
      <c r="AB164" s="39">
        <f t="shared" si="26"/>
        <v>0</v>
      </c>
      <c r="AC164" s="39">
        <f t="shared" si="27"/>
        <v>0</v>
      </c>
      <c r="AD164" s="39">
        <f t="shared" si="21"/>
        <v>0</v>
      </c>
      <c r="AE164" s="39">
        <f t="shared" si="22"/>
        <v>0</v>
      </c>
      <c r="AF164" s="39">
        <f t="shared" si="23"/>
        <v>0</v>
      </c>
      <c r="AG164" s="39">
        <f t="shared" si="24"/>
        <v>0</v>
      </c>
    </row>
    <row r="165" spans="1:33" ht="35.1" hidden="1" customHeight="1" x14ac:dyDescent="0.25">
      <c r="A165" s="61">
        <v>165</v>
      </c>
      <c r="B165" s="23" t="s">
        <v>37</v>
      </c>
      <c r="C165" s="29"/>
      <c r="D165" s="29" t="s">
        <v>420</v>
      </c>
      <c r="E165" s="22" t="s">
        <v>49</v>
      </c>
      <c r="F165" s="23"/>
      <c r="G165" s="23"/>
      <c r="H165" s="29" t="s">
        <v>851</v>
      </c>
      <c r="I165" s="29">
        <v>27.8</v>
      </c>
      <c r="J165" s="29">
        <v>3</v>
      </c>
      <c r="K165" s="29">
        <v>9.27</v>
      </c>
      <c r="L165" s="29">
        <v>8.0500000000000007</v>
      </c>
      <c r="M165" s="29"/>
      <c r="N165" s="29"/>
      <c r="O165" s="23" t="s">
        <v>20</v>
      </c>
      <c r="P165" s="23" t="s">
        <v>730</v>
      </c>
      <c r="Q165" s="24" t="s">
        <v>27</v>
      </c>
      <c r="R165" s="54" t="str">
        <f t="shared" si="28"/>
        <v>OK</v>
      </c>
      <c r="S165" s="29" t="s">
        <v>27</v>
      </c>
      <c r="T165" s="29" t="s">
        <v>33</v>
      </c>
      <c r="U165" s="29"/>
      <c r="V165" s="29"/>
      <c r="W165" s="46"/>
      <c r="X165" s="76"/>
      <c r="Y165" s="76"/>
      <c r="Z165" s="39">
        <f t="shared" si="25"/>
        <v>0</v>
      </c>
      <c r="AA165" s="39">
        <f t="shared" si="20"/>
        <v>0</v>
      </c>
      <c r="AB165" s="39">
        <f t="shared" si="26"/>
        <v>0</v>
      </c>
      <c r="AC165" s="39">
        <f t="shared" si="27"/>
        <v>0</v>
      </c>
      <c r="AD165" s="39">
        <f t="shared" si="21"/>
        <v>0</v>
      </c>
      <c r="AE165" s="39">
        <f t="shared" si="22"/>
        <v>0</v>
      </c>
      <c r="AF165" s="39">
        <f t="shared" si="23"/>
        <v>0</v>
      </c>
      <c r="AG165" s="39" t="str">
        <f t="shared" si="24"/>
        <v>E</v>
      </c>
    </row>
    <row r="166" spans="1:33" ht="35.1" hidden="1" customHeight="1" x14ac:dyDescent="0.25">
      <c r="A166" s="61">
        <v>166</v>
      </c>
      <c r="B166" s="23" t="s">
        <v>248</v>
      </c>
      <c r="C166" s="29" t="s">
        <v>13</v>
      </c>
      <c r="D166" s="29" t="s">
        <v>421</v>
      </c>
      <c r="E166" s="22" t="s">
        <v>49</v>
      </c>
      <c r="F166" s="23" t="s">
        <v>248</v>
      </c>
      <c r="G166" s="23" t="s">
        <v>611</v>
      </c>
      <c r="H166" s="29" t="s">
        <v>851</v>
      </c>
      <c r="I166" s="4">
        <v>26.6</v>
      </c>
      <c r="J166" s="29">
        <v>3</v>
      </c>
      <c r="K166" s="29"/>
      <c r="L166" s="4">
        <v>8.6999999999999993</v>
      </c>
      <c r="M166" s="30"/>
      <c r="N166" s="30"/>
      <c r="O166" s="53"/>
      <c r="P166" s="53"/>
      <c r="Q166" s="24" t="s">
        <v>27</v>
      </c>
      <c r="R166" s="54" t="str">
        <f t="shared" si="28"/>
        <v>OK</v>
      </c>
      <c r="S166" s="29" t="s">
        <v>27</v>
      </c>
      <c r="T166" s="29" t="s">
        <v>33</v>
      </c>
      <c r="U166" s="29"/>
      <c r="V166" s="43">
        <v>2576</v>
      </c>
      <c r="W166" s="46">
        <v>18</v>
      </c>
      <c r="X166" s="76"/>
      <c r="Y166" s="76"/>
      <c r="Z166" s="39">
        <f t="shared" si="25"/>
        <v>0</v>
      </c>
      <c r="AA166" s="39">
        <f t="shared" si="20"/>
        <v>0</v>
      </c>
      <c r="AB166" s="39">
        <f t="shared" si="26"/>
        <v>0</v>
      </c>
      <c r="AC166" s="39">
        <f t="shared" si="27"/>
        <v>0</v>
      </c>
      <c r="AD166" s="39">
        <f t="shared" si="21"/>
        <v>0</v>
      </c>
      <c r="AE166" s="39">
        <f t="shared" si="22"/>
        <v>0</v>
      </c>
      <c r="AF166" s="39">
        <f t="shared" si="23"/>
        <v>0</v>
      </c>
      <c r="AG166" s="39" t="str">
        <f t="shared" si="24"/>
        <v>E</v>
      </c>
    </row>
    <row r="167" spans="1:33" ht="35.1" customHeight="1" x14ac:dyDescent="0.25">
      <c r="A167" s="61">
        <v>167</v>
      </c>
      <c r="B167" s="23" t="s">
        <v>249</v>
      </c>
      <c r="C167" s="29" t="s">
        <v>13</v>
      </c>
      <c r="D167" s="29" t="s">
        <v>422</v>
      </c>
      <c r="E167" s="22" t="s">
        <v>49</v>
      </c>
      <c r="F167" s="23" t="s">
        <v>612</v>
      </c>
      <c r="G167" s="23" t="s">
        <v>613</v>
      </c>
      <c r="H167" s="24" t="s">
        <v>522</v>
      </c>
      <c r="I167" s="29"/>
      <c r="J167" s="29"/>
      <c r="K167" s="29"/>
      <c r="L167" s="29"/>
      <c r="M167" s="29"/>
      <c r="N167" s="29"/>
      <c r="O167" s="23"/>
      <c r="P167" s="23"/>
      <c r="Q167" s="24"/>
      <c r="R167" s="54" t="str">
        <f t="shared" si="28"/>
        <v>NARROW</v>
      </c>
      <c r="S167" s="29"/>
      <c r="T167" s="29"/>
      <c r="U167" s="29"/>
      <c r="V167" s="29"/>
      <c r="W167" s="46"/>
      <c r="X167" s="76"/>
      <c r="Y167" s="76"/>
      <c r="Z167" s="39">
        <f t="shared" si="25"/>
        <v>1</v>
      </c>
      <c r="AA167" s="39">
        <f t="shared" si="20"/>
        <v>0</v>
      </c>
      <c r="AB167" s="39">
        <f t="shared" si="26"/>
        <v>0</v>
      </c>
      <c r="AC167" s="39">
        <f t="shared" si="27"/>
        <v>0</v>
      </c>
      <c r="AD167" s="39">
        <f t="shared" si="21"/>
        <v>0</v>
      </c>
      <c r="AE167" s="39">
        <f t="shared" si="22"/>
        <v>0</v>
      </c>
      <c r="AF167" s="39">
        <f t="shared" si="23"/>
        <v>0</v>
      </c>
      <c r="AG167" s="39">
        <f t="shared" si="24"/>
        <v>0</v>
      </c>
    </row>
    <row r="168" spans="1:33" ht="35.1" hidden="1" customHeight="1" x14ac:dyDescent="0.25">
      <c r="A168" s="61">
        <v>168</v>
      </c>
      <c r="B168" s="23" t="s">
        <v>250</v>
      </c>
      <c r="C168" s="29" t="s">
        <v>13</v>
      </c>
      <c r="D168" s="29" t="s">
        <v>423</v>
      </c>
      <c r="E168" s="22" t="s">
        <v>49</v>
      </c>
      <c r="F168" s="23" t="s">
        <v>250</v>
      </c>
      <c r="G168" s="23" t="s">
        <v>614</v>
      </c>
      <c r="H168" s="29" t="s">
        <v>522</v>
      </c>
      <c r="I168" s="4">
        <v>42.8</v>
      </c>
      <c r="J168" s="29"/>
      <c r="K168" s="29"/>
      <c r="L168" s="4">
        <v>10.8</v>
      </c>
      <c r="M168" s="29"/>
      <c r="N168" s="29"/>
      <c r="O168" s="23"/>
      <c r="P168" s="23"/>
      <c r="Q168" s="24"/>
      <c r="R168" s="54" t="str">
        <f t="shared" si="28"/>
        <v>OK</v>
      </c>
      <c r="S168" s="29"/>
      <c r="T168" s="29"/>
      <c r="U168" s="29"/>
      <c r="V168" s="29"/>
      <c r="W168" s="46"/>
      <c r="X168" s="76"/>
      <c r="Y168" s="76"/>
      <c r="Z168" s="39">
        <f t="shared" si="25"/>
        <v>0</v>
      </c>
      <c r="AA168" s="39">
        <f t="shared" si="20"/>
        <v>0</v>
      </c>
      <c r="AB168" s="39">
        <f t="shared" si="26"/>
        <v>0</v>
      </c>
      <c r="AC168" s="39">
        <f t="shared" si="27"/>
        <v>0</v>
      </c>
      <c r="AD168" s="39">
        <f t="shared" si="21"/>
        <v>0</v>
      </c>
      <c r="AE168" s="39">
        <f t="shared" si="22"/>
        <v>0</v>
      </c>
      <c r="AF168" s="39">
        <f t="shared" si="23"/>
        <v>0</v>
      </c>
      <c r="AG168" s="39" t="str">
        <f t="shared" si="24"/>
        <v>E</v>
      </c>
    </row>
    <row r="169" spans="1:33" ht="35.1" hidden="1" customHeight="1" x14ac:dyDescent="0.25">
      <c r="A169" s="61">
        <v>169</v>
      </c>
      <c r="B169" s="23" t="s">
        <v>760</v>
      </c>
      <c r="C169" s="29" t="s">
        <v>13</v>
      </c>
      <c r="D169" s="29" t="s">
        <v>424</v>
      </c>
      <c r="E169" s="22" t="s">
        <v>49</v>
      </c>
      <c r="F169" s="23" t="s">
        <v>251</v>
      </c>
      <c r="G169" s="23" t="s">
        <v>615</v>
      </c>
      <c r="H169" s="29" t="s">
        <v>522</v>
      </c>
      <c r="I169" s="4">
        <v>30.7</v>
      </c>
      <c r="J169" s="29">
        <v>1</v>
      </c>
      <c r="K169" s="29"/>
      <c r="L169" s="4">
        <v>10.6</v>
      </c>
      <c r="M169" s="30"/>
      <c r="N169" s="30"/>
      <c r="O169" s="23" t="s">
        <v>21</v>
      </c>
      <c r="P169" s="23" t="s">
        <v>730</v>
      </c>
      <c r="Q169" s="24" t="s">
        <v>27</v>
      </c>
      <c r="R169" s="54" t="str">
        <f t="shared" si="28"/>
        <v>OK</v>
      </c>
      <c r="S169" s="29" t="s">
        <v>27</v>
      </c>
      <c r="T169" s="29" t="s">
        <v>33</v>
      </c>
      <c r="U169" s="29"/>
      <c r="V169" s="43">
        <v>2836</v>
      </c>
      <c r="W169" s="46">
        <v>4</v>
      </c>
      <c r="X169" s="76"/>
      <c r="Y169" s="76"/>
      <c r="Z169" s="39">
        <f t="shared" si="25"/>
        <v>0</v>
      </c>
      <c r="AA169" s="39">
        <f t="shared" si="20"/>
        <v>0</v>
      </c>
      <c r="AB169" s="39">
        <f t="shared" si="26"/>
        <v>0</v>
      </c>
      <c r="AC169" s="39">
        <f t="shared" si="27"/>
        <v>0</v>
      </c>
      <c r="AD169" s="39">
        <f t="shared" si="21"/>
        <v>0</v>
      </c>
      <c r="AE169" s="39">
        <f t="shared" si="22"/>
        <v>0</v>
      </c>
      <c r="AF169" s="39">
        <f t="shared" si="23"/>
        <v>0</v>
      </c>
      <c r="AG169" s="39" t="str">
        <f t="shared" si="24"/>
        <v>E</v>
      </c>
    </row>
    <row r="170" spans="1:33" ht="35.1" hidden="1" customHeight="1" x14ac:dyDescent="0.25">
      <c r="A170" s="61">
        <v>170</v>
      </c>
      <c r="B170" s="23" t="s">
        <v>252</v>
      </c>
      <c r="C170" s="29"/>
      <c r="D170" s="29" t="s">
        <v>425</v>
      </c>
      <c r="E170" s="22" t="s">
        <v>49</v>
      </c>
      <c r="F170" s="23"/>
      <c r="G170" s="23"/>
      <c r="H170" s="29" t="s">
        <v>522</v>
      </c>
      <c r="I170" s="29">
        <v>8.3000000000000007</v>
      </c>
      <c r="J170" s="29">
        <v>2</v>
      </c>
      <c r="K170" s="29">
        <v>4.1500000000000004</v>
      </c>
      <c r="L170" s="29">
        <v>11.9</v>
      </c>
      <c r="M170" s="29"/>
      <c r="N170" s="29"/>
      <c r="O170" s="23" t="s">
        <v>720</v>
      </c>
      <c r="P170" s="23" t="s">
        <v>730</v>
      </c>
      <c r="Q170" s="24" t="s">
        <v>27</v>
      </c>
      <c r="R170" s="54" t="str">
        <f t="shared" si="28"/>
        <v>OK</v>
      </c>
      <c r="S170" s="29" t="s">
        <v>27</v>
      </c>
      <c r="T170" s="29" t="s">
        <v>33</v>
      </c>
      <c r="U170" s="29"/>
      <c r="V170" s="43">
        <v>2836</v>
      </c>
      <c r="W170" s="46">
        <v>4</v>
      </c>
      <c r="X170" s="76"/>
      <c r="Y170" s="76"/>
      <c r="Z170" s="39">
        <f t="shared" si="25"/>
        <v>0</v>
      </c>
      <c r="AA170" s="39">
        <f t="shared" si="20"/>
        <v>0</v>
      </c>
      <c r="AB170" s="39">
        <f t="shared" si="26"/>
        <v>0</v>
      </c>
      <c r="AC170" s="39">
        <f t="shared" si="27"/>
        <v>0</v>
      </c>
      <c r="AD170" s="39">
        <f t="shared" si="21"/>
        <v>0</v>
      </c>
      <c r="AE170" s="39">
        <f t="shared" si="22"/>
        <v>0</v>
      </c>
      <c r="AF170" s="39">
        <f t="shared" si="23"/>
        <v>0</v>
      </c>
      <c r="AG170" s="39" t="str">
        <f t="shared" si="24"/>
        <v>E</v>
      </c>
    </row>
    <row r="171" spans="1:33" ht="35.1" hidden="1" customHeight="1" x14ac:dyDescent="0.25">
      <c r="A171" s="61">
        <v>171</v>
      </c>
      <c r="B171" s="23" t="s">
        <v>253</v>
      </c>
      <c r="C171" s="29"/>
      <c r="D171" s="29" t="s">
        <v>426</v>
      </c>
      <c r="E171" s="22" t="s">
        <v>49</v>
      </c>
      <c r="F171" s="23"/>
      <c r="G171" s="23"/>
      <c r="H171" s="29" t="s">
        <v>522</v>
      </c>
      <c r="I171" s="29">
        <v>20.65</v>
      </c>
      <c r="J171" s="29">
        <v>1</v>
      </c>
      <c r="K171" s="29">
        <v>20.65</v>
      </c>
      <c r="L171" s="29">
        <v>10.3</v>
      </c>
      <c r="M171" s="30"/>
      <c r="N171" s="30"/>
      <c r="O171" s="23" t="s">
        <v>20</v>
      </c>
      <c r="P171" s="23" t="s">
        <v>730</v>
      </c>
      <c r="Q171" s="24" t="s">
        <v>27</v>
      </c>
      <c r="R171" s="54" t="str">
        <f t="shared" si="28"/>
        <v>OK</v>
      </c>
      <c r="S171" s="29" t="s">
        <v>27</v>
      </c>
      <c r="T171" s="29" t="s">
        <v>33</v>
      </c>
      <c r="U171" s="29"/>
      <c r="V171" s="43">
        <v>4489</v>
      </c>
      <c r="W171" s="46">
        <v>4</v>
      </c>
      <c r="X171" s="76"/>
      <c r="Y171" s="76"/>
      <c r="Z171" s="39">
        <f t="shared" si="25"/>
        <v>0</v>
      </c>
      <c r="AA171" s="39">
        <f t="shared" si="20"/>
        <v>0</v>
      </c>
      <c r="AB171" s="39">
        <f t="shared" si="26"/>
        <v>0</v>
      </c>
      <c r="AC171" s="39">
        <f t="shared" si="27"/>
        <v>0</v>
      </c>
      <c r="AD171" s="39">
        <f t="shared" si="21"/>
        <v>0</v>
      </c>
      <c r="AE171" s="39">
        <f t="shared" si="22"/>
        <v>0</v>
      </c>
      <c r="AF171" s="39">
        <f t="shared" si="23"/>
        <v>0</v>
      </c>
      <c r="AG171" s="39" t="str">
        <f t="shared" si="24"/>
        <v>E</v>
      </c>
    </row>
    <row r="172" spans="1:33" ht="35.1" hidden="1" customHeight="1" x14ac:dyDescent="0.25">
      <c r="A172" s="61">
        <v>172</v>
      </c>
      <c r="B172" s="23" t="s">
        <v>45</v>
      </c>
      <c r="C172" s="29"/>
      <c r="D172" s="29" t="s">
        <v>427</v>
      </c>
      <c r="E172" s="22" t="s">
        <v>49</v>
      </c>
      <c r="F172" s="23"/>
      <c r="G172" s="23"/>
      <c r="H172" s="29" t="s">
        <v>522</v>
      </c>
      <c r="I172" s="29">
        <v>10.5</v>
      </c>
      <c r="J172" s="29">
        <v>3</v>
      </c>
      <c r="K172" s="29">
        <v>3.55</v>
      </c>
      <c r="L172" s="29">
        <v>12.4</v>
      </c>
      <c r="M172" s="29"/>
      <c r="N172" s="29"/>
      <c r="O172" s="23" t="s">
        <v>677</v>
      </c>
      <c r="P172" s="23" t="s">
        <v>730</v>
      </c>
      <c r="Q172" s="24" t="s">
        <v>27</v>
      </c>
      <c r="R172" s="54" t="str">
        <f t="shared" si="28"/>
        <v>OK</v>
      </c>
      <c r="S172" s="29" t="s">
        <v>27</v>
      </c>
      <c r="T172" s="29" t="s">
        <v>33</v>
      </c>
      <c r="U172" s="29"/>
      <c r="V172" s="43">
        <v>4489</v>
      </c>
      <c r="W172" s="46">
        <v>4</v>
      </c>
      <c r="X172" s="76"/>
      <c r="Y172" s="76"/>
      <c r="Z172" s="39">
        <f t="shared" si="25"/>
        <v>0</v>
      </c>
      <c r="AA172" s="39">
        <f t="shared" si="20"/>
        <v>0</v>
      </c>
      <c r="AB172" s="39">
        <f t="shared" si="26"/>
        <v>0</v>
      </c>
      <c r="AC172" s="39">
        <f t="shared" si="27"/>
        <v>0</v>
      </c>
      <c r="AD172" s="39">
        <f t="shared" si="21"/>
        <v>0</v>
      </c>
      <c r="AE172" s="39">
        <f t="shared" si="22"/>
        <v>0</v>
      </c>
      <c r="AF172" s="39">
        <f t="shared" si="23"/>
        <v>0</v>
      </c>
      <c r="AG172" s="39" t="str">
        <f t="shared" si="24"/>
        <v>E</v>
      </c>
    </row>
    <row r="173" spans="1:33" ht="35.1" hidden="1" customHeight="1" x14ac:dyDescent="0.25">
      <c r="A173" s="61">
        <v>173</v>
      </c>
      <c r="B173" s="23" t="s">
        <v>52</v>
      </c>
      <c r="C173" s="29"/>
      <c r="D173" s="29" t="s">
        <v>428</v>
      </c>
      <c r="E173" s="22" t="s">
        <v>49</v>
      </c>
      <c r="F173" s="23"/>
      <c r="G173" s="23"/>
      <c r="H173" s="29" t="s">
        <v>522</v>
      </c>
      <c r="I173" s="29">
        <v>31</v>
      </c>
      <c r="J173" s="29">
        <v>2</v>
      </c>
      <c r="K173" s="29">
        <v>15.05</v>
      </c>
      <c r="L173" s="29">
        <v>10.199999999999999</v>
      </c>
      <c r="M173" s="30"/>
      <c r="N173" s="30"/>
      <c r="O173" s="23" t="s">
        <v>721</v>
      </c>
      <c r="P173" s="23" t="s">
        <v>731</v>
      </c>
      <c r="Q173" s="24" t="s">
        <v>857</v>
      </c>
      <c r="R173" s="54" t="str">
        <f t="shared" si="28"/>
        <v>OK</v>
      </c>
      <c r="S173" s="29" t="s">
        <v>27</v>
      </c>
      <c r="T173" s="29" t="s">
        <v>33</v>
      </c>
      <c r="U173" s="29"/>
      <c r="V173" s="29"/>
      <c r="W173" s="46"/>
      <c r="X173" s="76"/>
      <c r="Y173" s="76"/>
      <c r="Z173" s="39">
        <f t="shared" si="25"/>
        <v>0</v>
      </c>
      <c r="AA173" s="39">
        <f t="shared" si="20"/>
        <v>0</v>
      </c>
      <c r="AB173" s="39">
        <f t="shared" si="26"/>
        <v>0</v>
      </c>
      <c r="AC173" s="39">
        <f t="shared" si="27"/>
        <v>0</v>
      </c>
      <c r="AD173" s="39">
        <f t="shared" si="21"/>
        <v>0</v>
      </c>
      <c r="AE173" s="39">
        <f t="shared" si="22"/>
        <v>0</v>
      </c>
      <c r="AF173" s="39">
        <f t="shared" si="23"/>
        <v>0</v>
      </c>
      <c r="AG173" s="39" t="str">
        <f t="shared" si="24"/>
        <v>E</v>
      </c>
    </row>
    <row r="174" spans="1:33" ht="35.1" hidden="1" customHeight="1" x14ac:dyDescent="0.25">
      <c r="A174" s="61">
        <v>174</v>
      </c>
      <c r="B174" s="23" t="s">
        <v>45</v>
      </c>
      <c r="C174" s="29" t="s">
        <v>13</v>
      </c>
      <c r="D174" s="29" t="s">
        <v>429</v>
      </c>
      <c r="E174" s="22" t="s">
        <v>49</v>
      </c>
      <c r="F174" s="23" t="s">
        <v>616</v>
      </c>
      <c r="G174" s="23" t="s">
        <v>575</v>
      </c>
      <c r="H174" s="29" t="s">
        <v>522</v>
      </c>
      <c r="I174" s="29">
        <v>12.32</v>
      </c>
      <c r="J174" s="29">
        <v>3</v>
      </c>
      <c r="K174" s="29">
        <v>4.1100000000000003</v>
      </c>
      <c r="L174" s="29">
        <v>12.5</v>
      </c>
      <c r="M174" s="29"/>
      <c r="N174" s="29"/>
      <c r="O174" s="23" t="s">
        <v>20</v>
      </c>
      <c r="P174" s="23" t="s">
        <v>730</v>
      </c>
      <c r="Q174" s="24" t="s">
        <v>27</v>
      </c>
      <c r="R174" s="54" t="str">
        <f t="shared" si="28"/>
        <v>OK</v>
      </c>
      <c r="S174" s="29" t="s">
        <v>27</v>
      </c>
      <c r="T174" s="29" t="s">
        <v>32</v>
      </c>
      <c r="U174" s="29"/>
      <c r="V174" s="29"/>
      <c r="W174" s="46"/>
      <c r="X174" s="76"/>
      <c r="Y174" s="76"/>
      <c r="Z174" s="39">
        <f t="shared" si="25"/>
        <v>0</v>
      </c>
      <c r="AA174" s="39">
        <f t="shared" si="20"/>
        <v>1</v>
      </c>
      <c r="AB174" s="39">
        <f t="shared" si="26"/>
        <v>0</v>
      </c>
      <c r="AC174" s="39">
        <f t="shared" si="27"/>
        <v>0</v>
      </c>
      <c r="AD174" s="39">
        <f t="shared" si="21"/>
        <v>0</v>
      </c>
      <c r="AE174" s="39">
        <f t="shared" si="22"/>
        <v>0</v>
      </c>
      <c r="AF174" s="39">
        <f t="shared" si="23"/>
        <v>0</v>
      </c>
      <c r="AG174" s="39">
        <f t="shared" si="24"/>
        <v>0</v>
      </c>
    </row>
    <row r="175" spans="1:33" ht="35.1" hidden="1" customHeight="1" x14ac:dyDescent="0.25">
      <c r="A175" s="61">
        <v>175</v>
      </c>
      <c r="B175" s="23" t="s">
        <v>254</v>
      </c>
      <c r="C175" s="29"/>
      <c r="D175" s="29" t="s">
        <v>430</v>
      </c>
      <c r="E175" s="22" t="s">
        <v>49</v>
      </c>
      <c r="F175" s="23"/>
      <c r="G175" s="23"/>
      <c r="H175" s="29" t="s">
        <v>522</v>
      </c>
      <c r="I175" s="29">
        <v>10.5</v>
      </c>
      <c r="J175" s="29">
        <v>3</v>
      </c>
      <c r="K175" s="29">
        <v>3.4</v>
      </c>
      <c r="L175" s="29">
        <v>12.4</v>
      </c>
      <c r="M175" s="29"/>
      <c r="N175" s="29"/>
      <c r="O175" s="23" t="s">
        <v>677</v>
      </c>
      <c r="P175" s="23" t="s">
        <v>730</v>
      </c>
      <c r="Q175" s="24" t="s">
        <v>27</v>
      </c>
      <c r="R175" s="54" t="str">
        <f t="shared" si="28"/>
        <v>OK</v>
      </c>
      <c r="S175" s="29" t="s">
        <v>27</v>
      </c>
      <c r="T175" s="29" t="s">
        <v>33</v>
      </c>
      <c r="U175" s="29"/>
      <c r="V175" s="29"/>
      <c r="W175" s="46"/>
      <c r="X175" s="76"/>
      <c r="Y175" s="76"/>
      <c r="Z175" s="39">
        <f t="shared" si="25"/>
        <v>0</v>
      </c>
      <c r="AA175" s="39">
        <f t="shared" si="20"/>
        <v>0</v>
      </c>
      <c r="AB175" s="39">
        <f t="shared" si="26"/>
        <v>0</v>
      </c>
      <c r="AC175" s="39">
        <f t="shared" si="27"/>
        <v>0</v>
      </c>
      <c r="AD175" s="39">
        <f t="shared" si="21"/>
        <v>0</v>
      </c>
      <c r="AE175" s="39">
        <f t="shared" si="22"/>
        <v>0</v>
      </c>
      <c r="AF175" s="39">
        <f t="shared" si="23"/>
        <v>0</v>
      </c>
      <c r="AG175" s="39" t="str">
        <f t="shared" si="24"/>
        <v>E</v>
      </c>
    </row>
    <row r="176" spans="1:33" ht="35.1" hidden="1" customHeight="1" x14ac:dyDescent="0.25">
      <c r="A176" s="61">
        <v>176</v>
      </c>
      <c r="B176" s="23" t="s">
        <v>208</v>
      </c>
      <c r="C176" s="29" t="s">
        <v>13</v>
      </c>
      <c r="D176" s="29" t="s">
        <v>378</v>
      </c>
      <c r="E176" s="22" t="s">
        <v>49</v>
      </c>
      <c r="F176" s="23" t="s">
        <v>574</v>
      </c>
      <c r="G176" s="23" t="s">
        <v>575</v>
      </c>
      <c r="H176" s="29" t="s">
        <v>522</v>
      </c>
      <c r="I176" s="29">
        <v>20.65</v>
      </c>
      <c r="J176" s="29">
        <v>1</v>
      </c>
      <c r="K176" s="29">
        <v>20.65</v>
      </c>
      <c r="L176" s="29">
        <v>10.1</v>
      </c>
      <c r="M176" s="30"/>
      <c r="N176" s="30"/>
      <c r="O176" s="35" t="s">
        <v>711</v>
      </c>
      <c r="P176" s="23" t="s">
        <v>731</v>
      </c>
      <c r="Q176" s="24" t="s">
        <v>857</v>
      </c>
      <c r="R176" s="54" t="str">
        <f t="shared" si="28"/>
        <v>OK</v>
      </c>
      <c r="S176" s="29" t="s">
        <v>27</v>
      </c>
      <c r="T176" s="29" t="s">
        <v>33</v>
      </c>
      <c r="U176" s="29"/>
      <c r="V176" s="29"/>
      <c r="W176" s="46"/>
      <c r="X176" s="76"/>
      <c r="Y176" s="76"/>
      <c r="Z176" s="39">
        <f t="shared" si="25"/>
        <v>0</v>
      </c>
      <c r="AA176" s="39">
        <f t="shared" si="20"/>
        <v>0</v>
      </c>
      <c r="AB176" s="39">
        <f t="shared" si="26"/>
        <v>0</v>
      </c>
      <c r="AC176" s="39">
        <f t="shared" si="27"/>
        <v>0</v>
      </c>
      <c r="AD176" s="39">
        <f t="shared" si="21"/>
        <v>0</v>
      </c>
      <c r="AE176" s="39">
        <f t="shared" si="22"/>
        <v>0</v>
      </c>
      <c r="AF176" s="39">
        <f t="shared" si="23"/>
        <v>0</v>
      </c>
      <c r="AG176" s="39" t="str">
        <f t="shared" si="24"/>
        <v>E</v>
      </c>
    </row>
    <row r="177" spans="1:33" ht="35.1" hidden="1" customHeight="1" x14ac:dyDescent="0.25">
      <c r="A177" s="61">
        <v>177</v>
      </c>
      <c r="B177" s="23" t="s">
        <v>761</v>
      </c>
      <c r="C177" s="29" t="s">
        <v>13</v>
      </c>
      <c r="D177" s="29" t="s">
        <v>431</v>
      </c>
      <c r="E177" s="22" t="s">
        <v>49</v>
      </c>
      <c r="F177" s="23" t="s">
        <v>256</v>
      </c>
      <c r="G177" s="23" t="s">
        <v>618</v>
      </c>
      <c r="H177" s="29" t="s">
        <v>522</v>
      </c>
      <c r="I177" s="4">
        <v>12</v>
      </c>
      <c r="J177" s="29">
        <v>2</v>
      </c>
      <c r="K177" s="29"/>
      <c r="L177" s="4">
        <v>7.3</v>
      </c>
      <c r="M177" s="29"/>
      <c r="N177" s="29"/>
      <c r="O177" s="23" t="s">
        <v>19</v>
      </c>
      <c r="P177" s="23" t="s">
        <v>730</v>
      </c>
      <c r="Q177" s="24" t="s">
        <v>27</v>
      </c>
      <c r="R177" s="54" t="str">
        <f t="shared" si="28"/>
        <v>OK</v>
      </c>
      <c r="S177" s="29" t="s">
        <v>27</v>
      </c>
      <c r="T177" s="29" t="s">
        <v>33</v>
      </c>
      <c r="U177" s="29"/>
      <c r="V177" s="29"/>
      <c r="W177" s="46"/>
      <c r="X177" s="76"/>
      <c r="Y177" s="76"/>
      <c r="Z177" s="39">
        <f t="shared" si="25"/>
        <v>0</v>
      </c>
      <c r="AA177" s="39">
        <f t="shared" si="20"/>
        <v>0</v>
      </c>
      <c r="AB177" s="39">
        <f t="shared" si="26"/>
        <v>0</v>
      </c>
      <c r="AC177" s="39">
        <f t="shared" si="27"/>
        <v>0</v>
      </c>
      <c r="AD177" s="39">
        <f t="shared" si="21"/>
        <v>0</v>
      </c>
      <c r="AE177" s="39">
        <f t="shared" si="22"/>
        <v>0</v>
      </c>
      <c r="AF177" s="39">
        <f t="shared" si="23"/>
        <v>0</v>
      </c>
      <c r="AG177" s="39" t="str">
        <f t="shared" si="24"/>
        <v>E</v>
      </c>
    </row>
    <row r="178" spans="1:33" ht="35.1" hidden="1" customHeight="1" x14ac:dyDescent="0.25">
      <c r="A178" s="61">
        <v>178</v>
      </c>
      <c r="B178" s="23" t="s">
        <v>257</v>
      </c>
      <c r="C178" s="29"/>
      <c r="D178" s="29" t="s">
        <v>432</v>
      </c>
      <c r="E178" s="22" t="s">
        <v>49</v>
      </c>
      <c r="F178" s="23"/>
      <c r="G178" s="23"/>
      <c r="H178" s="29" t="s">
        <v>522</v>
      </c>
      <c r="I178" s="29">
        <v>18</v>
      </c>
      <c r="J178" s="29">
        <v>4</v>
      </c>
      <c r="K178" s="29">
        <v>4.47</v>
      </c>
      <c r="L178" s="29">
        <v>23.45</v>
      </c>
      <c r="M178" s="30"/>
      <c r="N178" s="30"/>
      <c r="O178" s="23" t="s">
        <v>20</v>
      </c>
      <c r="P178" s="23" t="s">
        <v>730</v>
      </c>
      <c r="Q178" s="24" t="s">
        <v>27</v>
      </c>
      <c r="R178" s="54" t="str">
        <f t="shared" si="28"/>
        <v>OK</v>
      </c>
      <c r="S178" s="29" t="s">
        <v>27</v>
      </c>
      <c r="T178" s="29" t="s">
        <v>33</v>
      </c>
      <c r="U178" s="29"/>
      <c r="V178" s="29"/>
      <c r="W178" s="46"/>
      <c r="X178" s="76"/>
      <c r="Y178" s="76"/>
      <c r="Z178" s="39">
        <f t="shared" si="25"/>
        <v>0</v>
      </c>
      <c r="AA178" s="39">
        <f t="shared" si="20"/>
        <v>0</v>
      </c>
      <c r="AB178" s="39">
        <f t="shared" si="26"/>
        <v>0</v>
      </c>
      <c r="AC178" s="39">
        <f t="shared" si="27"/>
        <v>0</v>
      </c>
      <c r="AD178" s="39">
        <f t="shared" si="21"/>
        <v>0</v>
      </c>
      <c r="AE178" s="39">
        <f t="shared" si="22"/>
        <v>0</v>
      </c>
      <c r="AF178" s="39">
        <f t="shared" si="23"/>
        <v>0</v>
      </c>
      <c r="AG178" s="39" t="str">
        <f t="shared" si="24"/>
        <v>E</v>
      </c>
    </row>
    <row r="179" spans="1:33" ht="35.1" hidden="1" customHeight="1" x14ac:dyDescent="0.25">
      <c r="A179" s="61">
        <v>179</v>
      </c>
      <c r="B179" s="23" t="s">
        <v>258</v>
      </c>
      <c r="C179" s="29" t="s">
        <v>13</v>
      </c>
      <c r="D179" s="29" t="s">
        <v>433</v>
      </c>
      <c r="E179" s="22" t="s">
        <v>49</v>
      </c>
      <c r="F179" s="23" t="s">
        <v>259</v>
      </c>
      <c r="G179" s="23" t="s">
        <v>619</v>
      </c>
      <c r="H179" s="29" t="s">
        <v>522</v>
      </c>
      <c r="I179" s="29">
        <v>11.5</v>
      </c>
      <c r="J179" s="29">
        <v>2</v>
      </c>
      <c r="K179" s="29">
        <v>5.85</v>
      </c>
      <c r="L179" s="29">
        <v>7</v>
      </c>
      <c r="M179" s="29"/>
      <c r="N179" s="29"/>
      <c r="O179" s="23" t="s">
        <v>722</v>
      </c>
      <c r="P179" s="23" t="s">
        <v>730</v>
      </c>
      <c r="Q179" s="24" t="s">
        <v>857</v>
      </c>
      <c r="R179" s="54" t="str">
        <f t="shared" si="28"/>
        <v>NARROW</v>
      </c>
      <c r="S179" s="29" t="s">
        <v>27</v>
      </c>
      <c r="T179" s="29" t="s">
        <v>33</v>
      </c>
      <c r="U179" s="29"/>
      <c r="V179" s="29"/>
      <c r="W179" s="46"/>
      <c r="X179" s="76"/>
      <c r="Y179" s="76"/>
      <c r="Z179" s="39">
        <f t="shared" si="25"/>
        <v>1</v>
      </c>
      <c r="AA179" s="39">
        <f t="shared" si="20"/>
        <v>0</v>
      </c>
      <c r="AB179" s="39">
        <f t="shared" si="26"/>
        <v>0</v>
      </c>
      <c r="AC179" s="39">
        <f t="shared" si="27"/>
        <v>0</v>
      </c>
      <c r="AD179" s="39">
        <f t="shared" si="21"/>
        <v>0</v>
      </c>
      <c r="AE179" s="39">
        <f t="shared" si="22"/>
        <v>0</v>
      </c>
      <c r="AF179" s="39">
        <f t="shared" si="23"/>
        <v>0</v>
      </c>
      <c r="AG179" s="39">
        <f t="shared" si="24"/>
        <v>0</v>
      </c>
    </row>
    <row r="180" spans="1:33" ht="35.1" hidden="1" customHeight="1" x14ac:dyDescent="0.25">
      <c r="A180" s="61">
        <v>180</v>
      </c>
      <c r="B180" s="23" t="s">
        <v>259</v>
      </c>
      <c r="C180" s="29" t="s">
        <v>13</v>
      </c>
      <c r="D180" s="29" t="s">
        <v>434</v>
      </c>
      <c r="E180" s="22" t="s">
        <v>49</v>
      </c>
      <c r="F180" s="23" t="s">
        <v>259</v>
      </c>
      <c r="G180" s="23" t="s">
        <v>620</v>
      </c>
      <c r="H180" s="29" t="s">
        <v>522</v>
      </c>
      <c r="I180" s="4">
        <v>39.5</v>
      </c>
      <c r="J180" s="29">
        <v>3</v>
      </c>
      <c r="K180" s="29"/>
      <c r="L180" s="4">
        <v>8.1999999999999993</v>
      </c>
      <c r="M180" s="29"/>
      <c r="N180" s="29"/>
      <c r="O180" s="23" t="s">
        <v>21</v>
      </c>
      <c r="P180" s="23" t="s">
        <v>762</v>
      </c>
      <c r="Q180" s="24" t="s">
        <v>27</v>
      </c>
      <c r="R180" s="54" t="str">
        <f t="shared" si="28"/>
        <v>OK</v>
      </c>
      <c r="S180" s="29" t="s">
        <v>27</v>
      </c>
      <c r="T180" s="29" t="s">
        <v>33</v>
      </c>
      <c r="U180" s="29"/>
      <c r="V180" s="29"/>
      <c r="W180" s="46"/>
      <c r="X180" s="76"/>
      <c r="Y180" s="76"/>
      <c r="Z180" s="39">
        <f t="shared" si="25"/>
        <v>0</v>
      </c>
      <c r="AA180" s="39">
        <f t="shared" si="20"/>
        <v>0</v>
      </c>
      <c r="AB180" s="39">
        <f t="shared" si="26"/>
        <v>0</v>
      </c>
      <c r="AC180" s="39">
        <f t="shared" si="27"/>
        <v>0</v>
      </c>
      <c r="AD180" s="39">
        <f t="shared" si="21"/>
        <v>0</v>
      </c>
      <c r="AE180" s="39">
        <f t="shared" si="22"/>
        <v>0</v>
      </c>
      <c r="AF180" s="39">
        <f t="shared" si="23"/>
        <v>0</v>
      </c>
      <c r="AG180" s="39" t="str">
        <f t="shared" si="24"/>
        <v>E</v>
      </c>
    </row>
    <row r="181" spans="1:33" ht="35.1" hidden="1" customHeight="1" x14ac:dyDescent="0.25">
      <c r="A181" s="61">
        <v>181</v>
      </c>
      <c r="B181" s="23" t="s">
        <v>259</v>
      </c>
      <c r="C181" s="29" t="s">
        <v>13</v>
      </c>
      <c r="D181" s="29" t="s">
        <v>435</v>
      </c>
      <c r="E181" s="22" t="s">
        <v>49</v>
      </c>
      <c r="F181" s="23" t="s">
        <v>259</v>
      </c>
      <c r="G181" s="23" t="s">
        <v>620</v>
      </c>
      <c r="H181" s="29" t="s">
        <v>851</v>
      </c>
      <c r="I181" s="4">
        <v>17</v>
      </c>
      <c r="J181" s="29">
        <v>3</v>
      </c>
      <c r="K181" s="29"/>
      <c r="L181" s="4">
        <v>5.4</v>
      </c>
      <c r="M181" s="30"/>
      <c r="N181" s="30"/>
      <c r="O181" s="23" t="s">
        <v>21</v>
      </c>
      <c r="P181" s="23" t="s">
        <v>730</v>
      </c>
      <c r="Q181" s="24" t="s">
        <v>857</v>
      </c>
      <c r="R181" s="54" t="str">
        <f t="shared" si="28"/>
        <v>NARROW</v>
      </c>
      <c r="S181" s="29" t="s">
        <v>27</v>
      </c>
      <c r="T181" s="29" t="s">
        <v>33</v>
      </c>
      <c r="U181" s="29"/>
      <c r="V181" s="29"/>
      <c r="W181" s="46"/>
      <c r="X181" s="76"/>
      <c r="Y181" s="76"/>
      <c r="Z181" s="39">
        <f t="shared" si="25"/>
        <v>1</v>
      </c>
      <c r="AA181" s="39">
        <f t="shared" si="20"/>
        <v>0</v>
      </c>
      <c r="AB181" s="39">
        <f t="shared" si="26"/>
        <v>0</v>
      </c>
      <c r="AC181" s="39">
        <f t="shared" si="27"/>
        <v>0</v>
      </c>
      <c r="AD181" s="39">
        <f t="shared" si="21"/>
        <v>0</v>
      </c>
      <c r="AE181" s="39">
        <f t="shared" si="22"/>
        <v>0</v>
      </c>
      <c r="AF181" s="39">
        <f t="shared" si="23"/>
        <v>0</v>
      </c>
      <c r="AG181" s="39">
        <f t="shared" si="24"/>
        <v>0</v>
      </c>
    </row>
    <row r="182" spans="1:33" ht="35.1" hidden="1" customHeight="1" x14ac:dyDescent="0.25">
      <c r="A182" s="61">
        <v>182</v>
      </c>
      <c r="B182" s="23" t="s">
        <v>52</v>
      </c>
      <c r="C182" s="29" t="s">
        <v>13</v>
      </c>
      <c r="D182" s="29" t="s">
        <v>436</v>
      </c>
      <c r="E182" s="22" t="s">
        <v>49</v>
      </c>
      <c r="F182" s="23" t="s">
        <v>621</v>
      </c>
      <c r="G182" s="23" t="s">
        <v>622</v>
      </c>
      <c r="H182" s="29" t="s">
        <v>522</v>
      </c>
      <c r="I182" s="29">
        <v>39.25</v>
      </c>
      <c r="J182" s="29">
        <v>3</v>
      </c>
      <c r="K182" s="29"/>
      <c r="L182" s="29">
        <v>7.5</v>
      </c>
      <c r="M182" s="29"/>
      <c r="N182" s="29"/>
      <c r="O182" s="23" t="s">
        <v>21</v>
      </c>
      <c r="P182" s="23" t="s">
        <v>730</v>
      </c>
      <c r="Q182" s="24" t="s">
        <v>27</v>
      </c>
      <c r="R182" s="54" t="str">
        <f t="shared" si="28"/>
        <v>OK</v>
      </c>
      <c r="S182" s="29" t="s">
        <v>27</v>
      </c>
      <c r="T182" s="29" t="s">
        <v>33</v>
      </c>
      <c r="U182" s="29"/>
      <c r="V182" s="29"/>
      <c r="W182" s="46"/>
      <c r="X182" s="76"/>
      <c r="Y182" s="76"/>
      <c r="Z182" s="39">
        <f t="shared" si="25"/>
        <v>0</v>
      </c>
      <c r="AA182" s="39">
        <f t="shared" si="20"/>
        <v>0</v>
      </c>
      <c r="AB182" s="39">
        <f t="shared" si="26"/>
        <v>0</v>
      </c>
      <c r="AC182" s="39">
        <f t="shared" si="27"/>
        <v>0</v>
      </c>
      <c r="AD182" s="39">
        <f t="shared" si="21"/>
        <v>0</v>
      </c>
      <c r="AE182" s="39">
        <f t="shared" si="22"/>
        <v>0</v>
      </c>
      <c r="AF182" s="39">
        <f t="shared" si="23"/>
        <v>0</v>
      </c>
      <c r="AG182" s="39" t="str">
        <f t="shared" si="24"/>
        <v>E</v>
      </c>
    </row>
    <row r="183" spans="1:33" ht="35.1" hidden="1" customHeight="1" x14ac:dyDescent="0.25">
      <c r="A183" s="61">
        <v>183</v>
      </c>
      <c r="B183" s="23" t="s">
        <v>258</v>
      </c>
      <c r="C183" s="29"/>
      <c r="D183" s="29" t="s">
        <v>436</v>
      </c>
      <c r="E183" s="22" t="s">
        <v>49</v>
      </c>
      <c r="F183" s="23"/>
      <c r="G183" s="23"/>
      <c r="H183" s="29" t="s">
        <v>522</v>
      </c>
      <c r="I183" s="29">
        <v>39.25</v>
      </c>
      <c r="J183" s="29">
        <v>3</v>
      </c>
      <c r="K183" s="29">
        <v>13.9</v>
      </c>
      <c r="L183" s="29">
        <v>7.5</v>
      </c>
      <c r="M183" s="30"/>
      <c r="N183" s="30"/>
      <c r="O183" s="23" t="s">
        <v>19</v>
      </c>
      <c r="P183" s="23" t="s">
        <v>730</v>
      </c>
      <c r="Q183" s="24" t="s">
        <v>27</v>
      </c>
      <c r="R183" s="54" t="str">
        <f t="shared" si="28"/>
        <v>OK</v>
      </c>
      <c r="S183" s="29" t="s">
        <v>27</v>
      </c>
      <c r="T183" s="29" t="s">
        <v>33</v>
      </c>
      <c r="U183" s="29"/>
      <c r="V183" s="29"/>
      <c r="W183" s="46"/>
      <c r="X183" s="76"/>
      <c r="Y183" s="76"/>
      <c r="Z183" s="39">
        <f t="shared" si="25"/>
        <v>0</v>
      </c>
      <c r="AA183" s="39">
        <f t="shared" si="20"/>
        <v>0</v>
      </c>
      <c r="AB183" s="39">
        <f t="shared" si="26"/>
        <v>0</v>
      </c>
      <c r="AC183" s="39">
        <f t="shared" si="27"/>
        <v>0</v>
      </c>
      <c r="AD183" s="39">
        <f t="shared" si="21"/>
        <v>0</v>
      </c>
      <c r="AE183" s="39">
        <f t="shared" si="22"/>
        <v>0</v>
      </c>
      <c r="AF183" s="39">
        <f t="shared" si="23"/>
        <v>0</v>
      </c>
      <c r="AG183" s="39" t="str">
        <f t="shared" si="24"/>
        <v>E</v>
      </c>
    </row>
    <row r="184" spans="1:33" ht="35.1" hidden="1" customHeight="1" x14ac:dyDescent="0.25">
      <c r="A184" s="61">
        <v>184</v>
      </c>
      <c r="B184" s="23" t="s">
        <v>257</v>
      </c>
      <c r="C184" s="29"/>
      <c r="D184" s="29" t="s">
        <v>437</v>
      </c>
      <c r="E184" s="22" t="s">
        <v>49</v>
      </c>
      <c r="F184" s="23"/>
      <c r="G184" s="23"/>
      <c r="H184" s="29" t="s">
        <v>522</v>
      </c>
      <c r="I184" s="29">
        <v>18.850000000000001</v>
      </c>
      <c r="J184" s="29">
        <v>1</v>
      </c>
      <c r="K184" s="29"/>
      <c r="L184" s="29">
        <v>11.6</v>
      </c>
      <c r="M184" s="29"/>
      <c r="N184" s="29"/>
      <c r="O184" s="23" t="s">
        <v>20</v>
      </c>
      <c r="P184" s="23" t="s">
        <v>730</v>
      </c>
      <c r="Q184" s="24" t="s">
        <v>27</v>
      </c>
      <c r="R184" s="54" t="str">
        <f t="shared" si="28"/>
        <v>OK</v>
      </c>
      <c r="S184" s="29" t="s">
        <v>27</v>
      </c>
      <c r="T184" s="29" t="s">
        <v>33</v>
      </c>
      <c r="U184" s="29"/>
      <c r="V184" s="29"/>
      <c r="W184" s="46"/>
      <c r="X184" s="76"/>
      <c r="Y184" s="76"/>
      <c r="Z184" s="39">
        <f t="shared" si="25"/>
        <v>0</v>
      </c>
      <c r="AA184" s="39">
        <f t="shared" si="20"/>
        <v>0</v>
      </c>
      <c r="AB184" s="39">
        <f t="shared" si="26"/>
        <v>0</v>
      </c>
      <c r="AC184" s="39">
        <f t="shared" si="27"/>
        <v>0</v>
      </c>
      <c r="AD184" s="39">
        <f t="shared" si="21"/>
        <v>0</v>
      </c>
      <c r="AE184" s="39">
        <f t="shared" si="22"/>
        <v>0</v>
      </c>
      <c r="AF184" s="39">
        <f t="shared" si="23"/>
        <v>0</v>
      </c>
      <c r="AG184" s="39" t="str">
        <f t="shared" si="24"/>
        <v>E</v>
      </c>
    </row>
    <row r="185" spans="1:33" ht="35.1" hidden="1" customHeight="1" x14ac:dyDescent="0.25">
      <c r="A185" s="61">
        <v>185</v>
      </c>
      <c r="B185" s="23" t="s">
        <v>257</v>
      </c>
      <c r="C185" s="29"/>
      <c r="D185" s="29" t="s">
        <v>438</v>
      </c>
      <c r="E185" s="22" t="s">
        <v>49</v>
      </c>
      <c r="F185" s="23"/>
      <c r="G185" s="23"/>
      <c r="H185" s="29" t="s">
        <v>522</v>
      </c>
      <c r="I185" s="29">
        <v>22.6</v>
      </c>
      <c r="J185" s="29">
        <v>1</v>
      </c>
      <c r="K185" s="29"/>
      <c r="L185" s="29">
        <v>12.6</v>
      </c>
      <c r="M185" s="30"/>
      <c r="N185" s="30"/>
      <c r="O185" s="23" t="s">
        <v>21</v>
      </c>
      <c r="P185" s="23" t="s">
        <v>730</v>
      </c>
      <c r="Q185" s="24" t="s">
        <v>27</v>
      </c>
      <c r="R185" s="54" t="str">
        <f t="shared" si="28"/>
        <v>OK</v>
      </c>
      <c r="S185" s="29" t="s">
        <v>27</v>
      </c>
      <c r="T185" s="29" t="s">
        <v>33</v>
      </c>
      <c r="U185" s="29"/>
      <c r="V185" s="29"/>
      <c r="W185" s="46"/>
      <c r="X185" s="76"/>
      <c r="Y185" s="76"/>
      <c r="Z185" s="39">
        <f t="shared" si="25"/>
        <v>0</v>
      </c>
      <c r="AA185" s="39">
        <f t="shared" si="20"/>
        <v>0</v>
      </c>
      <c r="AB185" s="39">
        <f t="shared" si="26"/>
        <v>0</v>
      </c>
      <c r="AC185" s="39">
        <f t="shared" si="27"/>
        <v>0</v>
      </c>
      <c r="AD185" s="39">
        <f t="shared" si="21"/>
        <v>0</v>
      </c>
      <c r="AE185" s="39">
        <f t="shared" si="22"/>
        <v>0</v>
      </c>
      <c r="AF185" s="39">
        <f t="shared" si="23"/>
        <v>0</v>
      </c>
      <c r="AG185" s="39" t="str">
        <f t="shared" si="24"/>
        <v>E</v>
      </c>
    </row>
    <row r="186" spans="1:33" ht="35.1" hidden="1" customHeight="1" x14ac:dyDescent="0.25">
      <c r="A186" s="61">
        <v>186</v>
      </c>
      <c r="B186" s="35" t="s">
        <v>763</v>
      </c>
      <c r="C186" s="29" t="s">
        <v>13</v>
      </c>
      <c r="D186" s="29" t="s">
        <v>764</v>
      </c>
      <c r="E186" s="22" t="s">
        <v>23</v>
      </c>
      <c r="F186" s="35" t="s">
        <v>765</v>
      </c>
      <c r="G186" s="35" t="s">
        <v>260</v>
      </c>
      <c r="H186" s="30" t="s">
        <v>15</v>
      </c>
      <c r="I186" s="26">
        <v>400</v>
      </c>
      <c r="J186" s="29">
        <v>5</v>
      </c>
      <c r="K186" s="29">
        <v>79.400000000000006</v>
      </c>
      <c r="L186" s="26">
        <v>13</v>
      </c>
      <c r="M186" s="29"/>
      <c r="N186" s="29"/>
      <c r="O186" s="28" t="s">
        <v>766</v>
      </c>
      <c r="P186" s="27" t="s">
        <v>731</v>
      </c>
      <c r="Q186" s="24" t="s">
        <v>102</v>
      </c>
      <c r="R186" s="54" t="str">
        <f t="shared" si="28"/>
        <v>OK</v>
      </c>
      <c r="S186" s="29" t="s">
        <v>102</v>
      </c>
      <c r="T186" s="29" t="s">
        <v>33</v>
      </c>
      <c r="U186" s="29"/>
      <c r="V186" s="29"/>
      <c r="W186" s="46"/>
      <c r="X186" s="76"/>
      <c r="Y186" s="76"/>
      <c r="Z186" s="39">
        <f t="shared" si="25"/>
        <v>0</v>
      </c>
      <c r="AA186" s="39">
        <f t="shared" si="20"/>
        <v>0</v>
      </c>
      <c r="AB186" s="39">
        <f t="shared" si="26"/>
        <v>1</v>
      </c>
      <c r="AC186" s="39">
        <f t="shared" si="27"/>
        <v>0</v>
      </c>
      <c r="AD186" s="39">
        <f t="shared" si="21"/>
        <v>0</v>
      </c>
      <c r="AE186" s="39">
        <f t="shared" si="22"/>
        <v>0</v>
      </c>
      <c r="AF186" s="39">
        <f t="shared" si="23"/>
        <v>0</v>
      </c>
      <c r="AG186" s="39">
        <f t="shared" si="24"/>
        <v>0</v>
      </c>
    </row>
    <row r="187" spans="1:33" ht="35.1" customHeight="1" x14ac:dyDescent="0.25">
      <c r="A187" s="61">
        <v>187</v>
      </c>
      <c r="B187" s="35" t="s">
        <v>767</v>
      </c>
      <c r="C187" s="29" t="s">
        <v>13</v>
      </c>
      <c r="D187" s="29" t="s">
        <v>439</v>
      </c>
      <c r="E187" s="22" t="s">
        <v>23</v>
      </c>
      <c r="F187" s="35" t="s">
        <v>261</v>
      </c>
      <c r="G187" s="35" t="s">
        <v>623</v>
      </c>
      <c r="H187" s="30" t="s">
        <v>522</v>
      </c>
      <c r="I187" s="26">
        <v>13.8</v>
      </c>
      <c r="J187" s="29">
        <v>2</v>
      </c>
      <c r="K187" s="29"/>
      <c r="L187" s="26">
        <v>6.7</v>
      </c>
      <c r="M187" s="29"/>
      <c r="N187" s="29"/>
      <c r="O187" s="28"/>
      <c r="P187" s="27"/>
      <c r="Q187" s="24"/>
      <c r="R187" s="54" t="str">
        <f t="shared" si="28"/>
        <v>NARROW</v>
      </c>
      <c r="S187" s="29"/>
      <c r="T187" s="29"/>
      <c r="U187" s="29"/>
      <c r="V187" s="29"/>
      <c r="W187" s="46"/>
      <c r="X187" s="76"/>
      <c r="Y187" s="76"/>
      <c r="Z187" s="39">
        <f t="shared" si="25"/>
        <v>1</v>
      </c>
      <c r="AA187" s="39">
        <f t="shared" si="20"/>
        <v>0</v>
      </c>
      <c r="AB187" s="39">
        <f t="shared" si="26"/>
        <v>0</v>
      </c>
      <c r="AC187" s="39">
        <f t="shared" si="27"/>
        <v>0</v>
      </c>
      <c r="AD187" s="39">
        <f t="shared" si="21"/>
        <v>0</v>
      </c>
      <c r="AE187" s="39">
        <f t="shared" si="22"/>
        <v>0</v>
      </c>
      <c r="AF187" s="39">
        <f t="shared" si="23"/>
        <v>0</v>
      </c>
      <c r="AG187" s="39">
        <f t="shared" si="24"/>
        <v>0</v>
      </c>
    </row>
    <row r="188" spans="1:33" ht="35.1" customHeight="1" x14ac:dyDescent="0.25">
      <c r="A188" s="61">
        <v>188</v>
      </c>
      <c r="B188" s="35" t="s">
        <v>767</v>
      </c>
      <c r="C188" s="29" t="s">
        <v>13</v>
      </c>
      <c r="D188" s="29" t="s">
        <v>440</v>
      </c>
      <c r="E188" s="22" t="s">
        <v>23</v>
      </c>
      <c r="F188" s="35" t="s">
        <v>261</v>
      </c>
      <c r="G188" s="35" t="s">
        <v>623</v>
      </c>
      <c r="H188" s="30" t="s">
        <v>522</v>
      </c>
      <c r="I188" s="26">
        <v>13.4</v>
      </c>
      <c r="J188" s="29">
        <v>2</v>
      </c>
      <c r="K188" s="29"/>
      <c r="L188" s="26">
        <v>6.3</v>
      </c>
      <c r="M188" s="30"/>
      <c r="N188" s="30"/>
      <c r="O188" s="28"/>
      <c r="P188" s="27"/>
      <c r="Q188" s="24"/>
      <c r="R188" s="54" t="str">
        <f t="shared" si="28"/>
        <v>NARROW</v>
      </c>
      <c r="S188" s="29"/>
      <c r="T188" s="29"/>
      <c r="U188" s="29"/>
      <c r="V188" s="43">
        <v>2261</v>
      </c>
      <c r="W188" s="46">
        <v>45</v>
      </c>
      <c r="X188" s="76"/>
      <c r="Y188" s="76"/>
      <c r="Z188" s="39">
        <f t="shared" si="25"/>
        <v>1</v>
      </c>
      <c r="AA188" s="39">
        <f t="shared" si="20"/>
        <v>0</v>
      </c>
      <c r="AB188" s="39">
        <f t="shared" si="26"/>
        <v>0</v>
      </c>
      <c r="AC188" s="39">
        <f t="shared" si="27"/>
        <v>0</v>
      </c>
      <c r="AD188" s="39">
        <f t="shared" si="21"/>
        <v>0</v>
      </c>
      <c r="AE188" s="39">
        <f t="shared" si="22"/>
        <v>0</v>
      </c>
      <c r="AF188" s="39">
        <f t="shared" si="23"/>
        <v>0</v>
      </c>
      <c r="AG188" s="39">
        <f t="shared" si="24"/>
        <v>0</v>
      </c>
    </row>
    <row r="189" spans="1:33" ht="35.1" hidden="1" customHeight="1" x14ac:dyDescent="0.25">
      <c r="A189" s="61">
        <v>189</v>
      </c>
      <c r="B189" s="35" t="s">
        <v>768</v>
      </c>
      <c r="C189" s="29" t="s">
        <v>13</v>
      </c>
      <c r="D189" s="29" t="s">
        <v>441</v>
      </c>
      <c r="E189" s="22" t="s">
        <v>23</v>
      </c>
      <c r="F189" s="35" t="s">
        <v>262</v>
      </c>
      <c r="G189" s="35" t="s">
        <v>624</v>
      </c>
      <c r="H189" s="30" t="s">
        <v>522</v>
      </c>
      <c r="I189" s="26">
        <v>17.5</v>
      </c>
      <c r="J189" s="29">
        <v>3</v>
      </c>
      <c r="K189" s="29"/>
      <c r="L189" s="26">
        <v>10.6</v>
      </c>
      <c r="M189" s="29"/>
      <c r="N189" s="29"/>
      <c r="O189" s="28"/>
      <c r="P189" s="27"/>
      <c r="Q189" s="24"/>
      <c r="R189" s="54" t="str">
        <f t="shared" si="28"/>
        <v>OK</v>
      </c>
      <c r="S189" s="29"/>
      <c r="T189" s="29"/>
      <c r="U189" s="29"/>
      <c r="V189" s="43">
        <v>2261</v>
      </c>
      <c r="W189" s="46">
        <v>45</v>
      </c>
      <c r="X189" s="76"/>
      <c r="Y189" s="76"/>
      <c r="Z189" s="39">
        <f t="shared" si="25"/>
        <v>0</v>
      </c>
      <c r="AA189" s="39">
        <f t="shared" si="20"/>
        <v>0</v>
      </c>
      <c r="AB189" s="39">
        <f t="shared" si="26"/>
        <v>0</v>
      </c>
      <c r="AC189" s="39">
        <f t="shared" si="27"/>
        <v>0</v>
      </c>
      <c r="AD189" s="39">
        <f t="shared" si="21"/>
        <v>0</v>
      </c>
      <c r="AE189" s="39">
        <f t="shared" si="22"/>
        <v>0</v>
      </c>
      <c r="AF189" s="39">
        <f t="shared" si="23"/>
        <v>0</v>
      </c>
      <c r="AG189" s="39" t="str">
        <f t="shared" si="24"/>
        <v>E</v>
      </c>
    </row>
    <row r="190" spans="1:33" ht="35.1" hidden="1" customHeight="1" x14ac:dyDescent="0.25">
      <c r="A190" s="61">
        <v>190</v>
      </c>
      <c r="B190" s="35" t="s">
        <v>769</v>
      </c>
      <c r="C190" s="29" t="s">
        <v>13</v>
      </c>
      <c r="D190" s="29" t="s">
        <v>442</v>
      </c>
      <c r="E190" s="22" t="s">
        <v>23</v>
      </c>
      <c r="F190" s="35" t="s">
        <v>263</v>
      </c>
      <c r="G190" s="35" t="s">
        <v>625</v>
      </c>
      <c r="H190" s="30" t="s">
        <v>522</v>
      </c>
      <c r="I190" s="26">
        <v>18.399999999999999</v>
      </c>
      <c r="J190" s="29">
        <v>5</v>
      </c>
      <c r="K190" s="29"/>
      <c r="L190" s="26">
        <v>10.4</v>
      </c>
      <c r="M190" s="30"/>
      <c r="N190" s="30"/>
      <c r="O190" s="28"/>
      <c r="P190" s="27"/>
      <c r="Q190" s="24"/>
      <c r="R190" s="54" t="str">
        <f t="shared" si="28"/>
        <v>OK</v>
      </c>
      <c r="S190" s="29"/>
      <c r="T190" s="29"/>
      <c r="U190" s="29"/>
      <c r="V190" s="29"/>
      <c r="W190" s="46"/>
      <c r="X190" s="76"/>
      <c r="Y190" s="76"/>
      <c r="Z190" s="39">
        <f t="shared" si="25"/>
        <v>0</v>
      </c>
      <c r="AA190" s="39">
        <f t="shared" si="20"/>
        <v>0</v>
      </c>
      <c r="AB190" s="39">
        <f t="shared" si="26"/>
        <v>0</v>
      </c>
      <c r="AC190" s="39">
        <f t="shared" si="27"/>
        <v>0</v>
      </c>
      <c r="AD190" s="39">
        <f t="shared" si="21"/>
        <v>0</v>
      </c>
      <c r="AE190" s="39">
        <f t="shared" si="22"/>
        <v>0</v>
      </c>
      <c r="AF190" s="39">
        <f t="shared" si="23"/>
        <v>0</v>
      </c>
      <c r="AG190" s="39" t="str">
        <f t="shared" si="24"/>
        <v>E</v>
      </c>
    </row>
    <row r="191" spans="1:33" ht="35.1" hidden="1" customHeight="1" x14ac:dyDescent="0.25">
      <c r="A191" s="61">
        <v>191</v>
      </c>
      <c r="B191" s="35" t="s">
        <v>770</v>
      </c>
      <c r="C191" s="29" t="s">
        <v>13</v>
      </c>
      <c r="D191" s="29" t="s">
        <v>443</v>
      </c>
      <c r="E191" s="22" t="s">
        <v>23</v>
      </c>
      <c r="F191" s="35" t="s">
        <v>626</v>
      </c>
      <c r="G191" s="35" t="s">
        <v>627</v>
      </c>
      <c r="H191" s="30" t="s">
        <v>522</v>
      </c>
      <c r="I191" s="26">
        <v>20.7</v>
      </c>
      <c r="J191" s="29"/>
      <c r="K191" s="29"/>
      <c r="L191" s="26">
        <v>7.9</v>
      </c>
      <c r="M191" s="29"/>
      <c r="N191" s="29"/>
      <c r="O191" s="28"/>
      <c r="P191" s="27"/>
      <c r="Q191" s="24"/>
      <c r="R191" s="54" t="str">
        <f t="shared" si="28"/>
        <v>OK</v>
      </c>
      <c r="S191" s="29"/>
      <c r="T191" s="29"/>
      <c r="U191" s="29"/>
      <c r="V191" s="29"/>
      <c r="W191" s="46"/>
      <c r="X191" s="76"/>
      <c r="Y191" s="76"/>
      <c r="Z191" s="39">
        <f t="shared" si="25"/>
        <v>0</v>
      </c>
      <c r="AA191" s="39">
        <f t="shared" si="20"/>
        <v>0</v>
      </c>
      <c r="AB191" s="39">
        <f t="shared" si="26"/>
        <v>0</v>
      </c>
      <c r="AC191" s="39">
        <f t="shared" si="27"/>
        <v>0</v>
      </c>
      <c r="AD191" s="39">
        <f t="shared" si="21"/>
        <v>0</v>
      </c>
      <c r="AE191" s="39">
        <f t="shared" si="22"/>
        <v>0</v>
      </c>
      <c r="AF191" s="39">
        <f t="shared" si="23"/>
        <v>0</v>
      </c>
      <c r="AG191" s="39" t="str">
        <f t="shared" si="24"/>
        <v>E</v>
      </c>
    </row>
    <row r="192" spans="1:33" ht="35.1" hidden="1" customHeight="1" x14ac:dyDescent="0.25">
      <c r="A192" s="61">
        <v>192</v>
      </c>
      <c r="B192" s="35" t="s">
        <v>771</v>
      </c>
      <c r="C192" s="29" t="s">
        <v>13</v>
      </c>
      <c r="D192" s="29" t="s">
        <v>444</v>
      </c>
      <c r="E192" s="22" t="s">
        <v>23</v>
      </c>
      <c r="F192" s="35" t="s">
        <v>264</v>
      </c>
      <c r="G192" s="35" t="s">
        <v>628</v>
      </c>
      <c r="H192" s="30" t="s">
        <v>522</v>
      </c>
      <c r="I192" s="26">
        <v>47.6</v>
      </c>
      <c r="J192" s="29"/>
      <c r="K192" s="29"/>
      <c r="L192" s="26">
        <v>10.199999999999999</v>
      </c>
      <c r="M192" s="29"/>
      <c r="N192" s="29"/>
      <c r="O192" s="28" t="s">
        <v>772</v>
      </c>
      <c r="P192" s="27"/>
      <c r="Q192" s="24" t="s">
        <v>857</v>
      </c>
      <c r="R192" s="54" t="str">
        <f t="shared" si="28"/>
        <v>OK</v>
      </c>
      <c r="S192" s="29" t="s">
        <v>27</v>
      </c>
      <c r="T192" s="29" t="s">
        <v>32</v>
      </c>
      <c r="U192" s="29"/>
      <c r="V192" s="29"/>
      <c r="W192" s="46"/>
      <c r="X192" s="76"/>
      <c r="Y192" s="76"/>
      <c r="Z192" s="39">
        <f t="shared" si="25"/>
        <v>0</v>
      </c>
      <c r="AA192" s="39">
        <f t="shared" si="20"/>
        <v>1</v>
      </c>
      <c r="AB192" s="39">
        <f t="shared" si="26"/>
        <v>0</v>
      </c>
      <c r="AC192" s="39">
        <f t="shared" si="27"/>
        <v>0</v>
      </c>
      <c r="AD192" s="39">
        <f t="shared" si="21"/>
        <v>0</v>
      </c>
      <c r="AE192" s="39">
        <f t="shared" si="22"/>
        <v>0</v>
      </c>
      <c r="AF192" s="39">
        <f t="shared" si="23"/>
        <v>0</v>
      </c>
      <c r="AG192" s="39">
        <f t="shared" si="24"/>
        <v>0</v>
      </c>
    </row>
    <row r="193" spans="1:35" ht="15.75" hidden="1" x14ac:dyDescent="0.25">
      <c r="A193" s="61">
        <v>193</v>
      </c>
      <c r="B193" s="35" t="s">
        <v>773</v>
      </c>
      <c r="C193" s="29" t="s">
        <v>13</v>
      </c>
      <c r="D193" s="29" t="s">
        <v>774</v>
      </c>
      <c r="E193" s="22" t="s">
        <v>23</v>
      </c>
      <c r="F193" s="35" t="s">
        <v>775</v>
      </c>
      <c r="G193" s="35" t="s">
        <v>776</v>
      </c>
      <c r="H193" s="30" t="s">
        <v>522</v>
      </c>
      <c r="I193" s="26">
        <v>14.8</v>
      </c>
      <c r="J193" s="29">
        <v>1</v>
      </c>
      <c r="K193" s="29"/>
      <c r="L193" s="26">
        <v>10.220000000000001</v>
      </c>
      <c r="M193" s="30"/>
      <c r="N193" s="30"/>
      <c r="O193" s="28" t="s">
        <v>777</v>
      </c>
      <c r="P193" s="27" t="s">
        <v>731</v>
      </c>
      <c r="Q193" s="24" t="s">
        <v>857</v>
      </c>
      <c r="R193" s="54" t="str">
        <f t="shared" si="28"/>
        <v>OK</v>
      </c>
      <c r="S193" s="29" t="s">
        <v>27</v>
      </c>
      <c r="T193" s="29" t="s">
        <v>33</v>
      </c>
      <c r="U193" s="29"/>
      <c r="V193" s="29"/>
      <c r="W193" s="46"/>
      <c r="X193" s="76"/>
      <c r="Y193" s="76"/>
      <c r="Z193" s="39">
        <f t="shared" si="25"/>
        <v>0</v>
      </c>
      <c r="AA193" s="39">
        <f t="shared" si="20"/>
        <v>0</v>
      </c>
      <c r="AB193" s="39">
        <f t="shared" si="26"/>
        <v>0</v>
      </c>
      <c r="AC193" s="39">
        <f t="shared" si="27"/>
        <v>0</v>
      </c>
      <c r="AD193" s="39">
        <f t="shared" si="21"/>
        <v>0</v>
      </c>
      <c r="AE193" s="39">
        <f t="shared" si="22"/>
        <v>0</v>
      </c>
      <c r="AF193" s="39">
        <f t="shared" si="23"/>
        <v>0</v>
      </c>
      <c r="AG193" s="39" t="str">
        <f t="shared" si="24"/>
        <v>E</v>
      </c>
    </row>
    <row r="194" spans="1:35" ht="34.5" hidden="1" customHeight="1" x14ac:dyDescent="0.25">
      <c r="A194" s="61">
        <v>194</v>
      </c>
      <c r="B194" s="35" t="s">
        <v>778</v>
      </c>
      <c r="C194" s="29" t="s">
        <v>13</v>
      </c>
      <c r="D194" s="29" t="s">
        <v>779</v>
      </c>
      <c r="E194" s="22" t="s">
        <v>23</v>
      </c>
      <c r="F194" s="35" t="s">
        <v>780</v>
      </c>
      <c r="G194" s="35" t="s">
        <v>781</v>
      </c>
      <c r="H194" s="30" t="s">
        <v>15</v>
      </c>
      <c r="I194" s="26">
        <v>47.1</v>
      </c>
      <c r="J194" s="29">
        <v>1</v>
      </c>
      <c r="K194" s="29"/>
      <c r="L194" s="26">
        <v>4.7</v>
      </c>
      <c r="M194" s="29">
        <v>1987</v>
      </c>
      <c r="N194" s="29"/>
      <c r="O194" s="53" t="s">
        <v>782</v>
      </c>
      <c r="P194" s="27" t="s">
        <v>731</v>
      </c>
      <c r="Q194" s="24" t="s">
        <v>857</v>
      </c>
      <c r="R194" s="54" t="str">
        <f t="shared" si="28"/>
        <v>NARROW</v>
      </c>
      <c r="S194" s="29" t="s">
        <v>27</v>
      </c>
      <c r="T194" s="29" t="s">
        <v>33</v>
      </c>
      <c r="U194" s="29"/>
      <c r="V194" s="43">
        <v>952</v>
      </c>
      <c r="W194" s="46">
        <v>14</v>
      </c>
      <c r="X194" s="76"/>
      <c r="Y194" s="76"/>
      <c r="Z194" s="39">
        <f t="shared" si="25"/>
        <v>1</v>
      </c>
      <c r="AA194" s="39">
        <f t="shared" ref="AA194:AA216" si="29">IF(T194= "UNSAFE",1,0)</f>
        <v>0</v>
      </c>
      <c r="AB194" s="39">
        <f t="shared" si="26"/>
        <v>0</v>
      </c>
      <c r="AC194" s="39">
        <f t="shared" si="27"/>
        <v>0</v>
      </c>
      <c r="AD194" s="39">
        <f t="shared" ref="AD194:AD216" si="30">IF(Z194+AA194=2,"B",0)</f>
        <v>0</v>
      </c>
      <c r="AE194" s="39">
        <f t="shared" ref="AE194:AE216" si="31">IF(AB194+AA194=2,"C",0)</f>
        <v>0</v>
      </c>
      <c r="AF194" s="39">
        <f t="shared" ref="AF194:AF216" si="32">IF(Z194+AB194+AA194=3,"D",0)</f>
        <v>0</v>
      </c>
      <c r="AG194" s="39">
        <f t="shared" ref="AG194:AG216" si="33">IF(Z194+AB194+AA194=0,"E",0)</f>
        <v>0</v>
      </c>
    </row>
    <row r="195" spans="1:35" ht="31.5" hidden="1" x14ac:dyDescent="0.25">
      <c r="A195" s="61">
        <v>195</v>
      </c>
      <c r="B195" s="35" t="s">
        <v>783</v>
      </c>
      <c r="C195" s="29" t="s">
        <v>13</v>
      </c>
      <c r="D195" s="29" t="s">
        <v>784</v>
      </c>
      <c r="E195" s="22" t="s">
        <v>23</v>
      </c>
      <c r="F195" s="35" t="s">
        <v>785</v>
      </c>
      <c r="G195" s="35" t="s">
        <v>786</v>
      </c>
      <c r="H195" s="30" t="s">
        <v>522</v>
      </c>
      <c r="I195" s="26">
        <v>162</v>
      </c>
      <c r="J195" s="29">
        <v>6</v>
      </c>
      <c r="K195" s="29">
        <v>27</v>
      </c>
      <c r="L195" s="26">
        <v>10.85</v>
      </c>
      <c r="M195" s="30"/>
      <c r="N195" s="30"/>
      <c r="O195" s="35" t="s">
        <v>884</v>
      </c>
      <c r="P195" s="29" t="s">
        <v>731</v>
      </c>
      <c r="Q195" s="24" t="s">
        <v>857</v>
      </c>
      <c r="R195" s="54" t="str">
        <f t="shared" si="28"/>
        <v>OK</v>
      </c>
      <c r="S195" s="29" t="s">
        <v>27</v>
      </c>
      <c r="T195" s="29" t="s">
        <v>32</v>
      </c>
      <c r="U195" s="29"/>
      <c r="V195" s="43">
        <v>952</v>
      </c>
      <c r="W195" s="46">
        <v>14</v>
      </c>
      <c r="X195" s="76"/>
      <c r="Y195" s="76"/>
      <c r="Z195" s="39">
        <f t="shared" ref="Z195:Z212" si="34">IF(R195="NARROW",1,0)</f>
        <v>0</v>
      </c>
      <c r="AA195" s="39">
        <f t="shared" si="29"/>
        <v>1</v>
      </c>
      <c r="AB195" s="39">
        <f t="shared" ref="AB195:AB216" si="35">IF(S195= "POOR",1,0)</f>
        <v>0</v>
      </c>
      <c r="AC195" s="39">
        <f t="shared" si="27"/>
        <v>0</v>
      </c>
      <c r="AD195" s="39">
        <f t="shared" si="30"/>
        <v>0</v>
      </c>
      <c r="AE195" s="39">
        <f t="shared" si="31"/>
        <v>0</v>
      </c>
      <c r="AF195" s="39">
        <f t="shared" si="32"/>
        <v>0</v>
      </c>
      <c r="AG195" s="39">
        <f t="shared" si="33"/>
        <v>0</v>
      </c>
    </row>
    <row r="196" spans="1:35" ht="31.5" hidden="1" x14ac:dyDescent="0.25">
      <c r="A196" s="61">
        <v>196</v>
      </c>
      <c r="B196" s="35" t="s">
        <v>787</v>
      </c>
      <c r="C196" s="29" t="s">
        <v>13</v>
      </c>
      <c r="D196" s="29" t="s">
        <v>788</v>
      </c>
      <c r="E196" s="22" t="s">
        <v>23</v>
      </c>
      <c r="F196" s="35" t="s">
        <v>789</v>
      </c>
      <c r="G196" s="35" t="s">
        <v>790</v>
      </c>
      <c r="H196" s="30" t="s">
        <v>522</v>
      </c>
      <c r="I196" s="26">
        <v>47.4</v>
      </c>
      <c r="J196" s="29">
        <v>5</v>
      </c>
      <c r="K196" s="29"/>
      <c r="L196" s="26">
        <v>8.75</v>
      </c>
      <c r="M196" s="29"/>
      <c r="N196" s="29"/>
      <c r="O196" s="35" t="s">
        <v>791</v>
      </c>
      <c r="P196" s="29" t="s">
        <v>731</v>
      </c>
      <c r="Q196" s="24" t="s">
        <v>857</v>
      </c>
      <c r="R196" s="54" t="str">
        <f t="shared" si="28"/>
        <v>OK</v>
      </c>
      <c r="S196" s="29" t="s">
        <v>27</v>
      </c>
      <c r="T196" s="29" t="s">
        <v>33</v>
      </c>
      <c r="U196" s="29"/>
      <c r="V196" s="43">
        <v>341</v>
      </c>
      <c r="W196" s="46">
        <v>4</v>
      </c>
      <c r="X196" s="76"/>
      <c r="Y196" s="76"/>
      <c r="Z196" s="39">
        <f t="shared" si="34"/>
        <v>0</v>
      </c>
      <c r="AA196" s="39">
        <f t="shared" si="29"/>
        <v>0</v>
      </c>
      <c r="AB196" s="39">
        <f t="shared" si="35"/>
        <v>0</v>
      </c>
      <c r="AC196" s="39">
        <f t="shared" si="27"/>
        <v>0</v>
      </c>
      <c r="AD196" s="39">
        <f t="shared" si="30"/>
        <v>0</v>
      </c>
      <c r="AE196" s="39">
        <f t="shared" si="31"/>
        <v>0</v>
      </c>
      <c r="AF196" s="39">
        <f t="shared" si="32"/>
        <v>0</v>
      </c>
      <c r="AG196" s="39" t="str">
        <f t="shared" si="33"/>
        <v>E</v>
      </c>
    </row>
    <row r="197" spans="1:35" ht="31.5" hidden="1" x14ac:dyDescent="0.25">
      <c r="A197" s="61">
        <v>197</v>
      </c>
      <c r="B197" s="35" t="s">
        <v>792</v>
      </c>
      <c r="C197" s="29" t="s">
        <v>13</v>
      </c>
      <c r="D197" s="29" t="s">
        <v>793</v>
      </c>
      <c r="E197" s="22" t="s">
        <v>23</v>
      </c>
      <c r="F197" s="35" t="s">
        <v>794</v>
      </c>
      <c r="G197" s="35" t="s">
        <v>795</v>
      </c>
      <c r="H197" s="30" t="s">
        <v>40</v>
      </c>
      <c r="I197" s="26">
        <v>36.9</v>
      </c>
      <c r="J197" s="29">
        <v>1</v>
      </c>
      <c r="K197" s="29"/>
      <c r="L197" s="26">
        <v>4.26</v>
      </c>
      <c r="M197" s="30"/>
      <c r="N197" s="30"/>
      <c r="O197" s="35" t="s">
        <v>796</v>
      </c>
      <c r="P197" s="29"/>
      <c r="Q197" s="24" t="s">
        <v>857</v>
      </c>
      <c r="R197" s="54" t="str">
        <f t="shared" si="28"/>
        <v>NARROW</v>
      </c>
      <c r="S197" s="29" t="s">
        <v>27</v>
      </c>
      <c r="T197" s="29" t="s">
        <v>33</v>
      </c>
      <c r="U197" s="29"/>
      <c r="V197" s="51">
        <v>341</v>
      </c>
      <c r="W197" s="46">
        <v>4</v>
      </c>
      <c r="X197" s="76"/>
      <c r="Y197" s="76"/>
      <c r="Z197" s="39">
        <f t="shared" si="34"/>
        <v>1</v>
      </c>
      <c r="AA197" s="39">
        <f t="shared" si="29"/>
        <v>0</v>
      </c>
      <c r="AB197" s="39">
        <f t="shared" si="35"/>
        <v>0</v>
      </c>
      <c r="AC197" s="39">
        <f t="shared" si="27"/>
        <v>0</v>
      </c>
      <c r="AD197" s="39">
        <f t="shared" si="30"/>
        <v>0</v>
      </c>
      <c r="AE197" s="39">
        <f t="shared" si="31"/>
        <v>0</v>
      </c>
      <c r="AF197" s="39">
        <f t="shared" si="32"/>
        <v>0</v>
      </c>
      <c r="AG197" s="39">
        <f t="shared" si="33"/>
        <v>0</v>
      </c>
      <c r="AI197" s="1">
        <f>I197</f>
        <v>36.9</v>
      </c>
    </row>
    <row r="198" spans="1:35" ht="31.5" hidden="1" x14ac:dyDescent="0.25">
      <c r="A198" s="61">
        <v>198</v>
      </c>
      <c r="B198" s="35" t="s">
        <v>797</v>
      </c>
      <c r="C198" s="29" t="s">
        <v>13</v>
      </c>
      <c r="D198" s="29" t="s">
        <v>798</v>
      </c>
      <c r="E198" s="22" t="s">
        <v>23</v>
      </c>
      <c r="F198" s="35" t="s">
        <v>799</v>
      </c>
      <c r="G198" s="35" t="s">
        <v>800</v>
      </c>
      <c r="H198" s="30" t="s">
        <v>522</v>
      </c>
      <c r="I198" s="26">
        <v>104.5</v>
      </c>
      <c r="J198" s="29">
        <v>4</v>
      </c>
      <c r="K198" s="29">
        <v>26.4</v>
      </c>
      <c r="L198" s="26">
        <v>5.6</v>
      </c>
      <c r="M198" s="29"/>
      <c r="N198" s="29"/>
      <c r="O198" s="35" t="s">
        <v>801</v>
      </c>
      <c r="P198" s="29" t="s">
        <v>731</v>
      </c>
      <c r="Q198" s="24" t="s">
        <v>857</v>
      </c>
      <c r="R198" s="54" t="str">
        <f t="shared" si="28"/>
        <v>NARROW</v>
      </c>
      <c r="S198" s="29" t="s">
        <v>27</v>
      </c>
      <c r="T198" s="29" t="s">
        <v>33</v>
      </c>
      <c r="U198" s="29"/>
      <c r="V198" s="29"/>
      <c r="W198" s="46"/>
      <c r="X198" s="76"/>
      <c r="Y198" s="76"/>
      <c r="Z198" s="39">
        <f t="shared" si="34"/>
        <v>1</v>
      </c>
      <c r="AA198" s="39">
        <f t="shared" si="29"/>
        <v>0</v>
      </c>
      <c r="AB198" s="39">
        <f t="shared" si="35"/>
        <v>0</v>
      </c>
      <c r="AC198" s="39">
        <f t="shared" si="27"/>
        <v>0</v>
      </c>
      <c r="AD198" s="39">
        <f t="shared" si="30"/>
        <v>0</v>
      </c>
      <c r="AE198" s="39">
        <f t="shared" si="31"/>
        <v>0</v>
      </c>
      <c r="AF198" s="39">
        <f t="shared" si="32"/>
        <v>0</v>
      </c>
      <c r="AG198" s="39">
        <f t="shared" si="33"/>
        <v>0</v>
      </c>
    </row>
    <row r="199" spans="1:35" ht="33" hidden="1" customHeight="1" x14ac:dyDescent="0.25">
      <c r="A199" s="61">
        <v>199</v>
      </c>
      <c r="B199" s="35" t="s">
        <v>265</v>
      </c>
      <c r="C199" s="29" t="s">
        <v>13</v>
      </c>
      <c r="D199" s="29" t="s">
        <v>445</v>
      </c>
      <c r="E199" s="22" t="s">
        <v>23</v>
      </c>
      <c r="F199" s="35" t="s">
        <v>265</v>
      </c>
      <c r="G199" s="35" t="s">
        <v>629</v>
      </c>
      <c r="H199" s="30" t="s">
        <v>522</v>
      </c>
      <c r="I199" s="26">
        <v>25.5</v>
      </c>
      <c r="J199" s="29">
        <v>3</v>
      </c>
      <c r="K199" s="29">
        <v>15.3</v>
      </c>
      <c r="L199" s="26">
        <v>7.3</v>
      </c>
      <c r="M199" s="29"/>
      <c r="N199" s="29"/>
      <c r="O199" s="35" t="s">
        <v>802</v>
      </c>
      <c r="P199" s="29" t="s">
        <v>731</v>
      </c>
      <c r="Q199" s="24" t="s">
        <v>857</v>
      </c>
      <c r="R199" s="54" t="str">
        <f t="shared" si="28"/>
        <v>OK</v>
      </c>
      <c r="S199" s="29" t="s">
        <v>27</v>
      </c>
      <c r="T199" s="29" t="s">
        <v>32</v>
      </c>
      <c r="U199" s="29"/>
      <c r="V199" s="29"/>
      <c r="W199" s="46"/>
      <c r="X199" s="76"/>
      <c r="Y199" s="76"/>
      <c r="Z199" s="39">
        <f t="shared" si="34"/>
        <v>0</v>
      </c>
      <c r="AA199" s="39">
        <f t="shared" si="29"/>
        <v>1</v>
      </c>
      <c r="AB199" s="39">
        <f t="shared" si="35"/>
        <v>0</v>
      </c>
      <c r="AC199" s="39">
        <f t="shared" si="27"/>
        <v>0</v>
      </c>
      <c r="AD199" s="39">
        <f t="shared" si="30"/>
        <v>0</v>
      </c>
      <c r="AE199" s="39">
        <f t="shared" si="31"/>
        <v>0</v>
      </c>
      <c r="AF199" s="39">
        <f t="shared" si="32"/>
        <v>0</v>
      </c>
      <c r="AG199" s="39">
        <f t="shared" si="33"/>
        <v>0</v>
      </c>
    </row>
    <row r="200" spans="1:35" ht="15.75" hidden="1" x14ac:dyDescent="0.25">
      <c r="A200" s="61">
        <v>200</v>
      </c>
      <c r="B200" s="35" t="s">
        <v>266</v>
      </c>
      <c r="C200" s="29" t="s">
        <v>13</v>
      </c>
      <c r="D200" s="29" t="s">
        <v>446</v>
      </c>
      <c r="E200" s="22" t="s">
        <v>23</v>
      </c>
      <c r="F200" s="35" t="s">
        <v>266</v>
      </c>
      <c r="G200" s="35" t="s">
        <v>630</v>
      </c>
      <c r="H200" s="30" t="s">
        <v>15</v>
      </c>
      <c r="I200" s="26">
        <v>51.7</v>
      </c>
      <c r="J200" s="29">
        <v>1</v>
      </c>
      <c r="K200" s="29">
        <v>51.7</v>
      </c>
      <c r="L200" s="26">
        <v>5.9</v>
      </c>
      <c r="M200" s="30"/>
      <c r="N200" s="30"/>
      <c r="O200" s="23" t="s">
        <v>803</v>
      </c>
      <c r="P200" s="29" t="s">
        <v>733</v>
      </c>
      <c r="Q200" s="24" t="s">
        <v>102</v>
      </c>
      <c r="R200" s="54" t="str">
        <f t="shared" si="28"/>
        <v>NARROW</v>
      </c>
      <c r="S200" s="29" t="s">
        <v>27</v>
      </c>
      <c r="T200" s="29" t="s">
        <v>32</v>
      </c>
      <c r="U200" s="29"/>
      <c r="V200" s="29"/>
      <c r="W200" s="46"/>
      <c r="X200" s="76"/>
      <c r="Y200" s="76"/>
      <c r="Z200" s="39">
        <f t="shared" si="34"/>
        <v>1</v>
      </c>
      <c r="AA200" s="39">
        <f t="shared" si="29"/>
        <v>1</v>
      </c>
      <c r="AB200" s="39">
        <f t="shared" si="35"/>
        <v>0</v>
      </c>
      <c r="AC200" s="39">
        <f t="shared" si="27"/>
        <v>0</v>
      </c>
      <c r="AD200" s="39" t="str">
        <f t="shared" si="30"/>
        <v>B</v>
      </c>
      <c r="AE200" s="39">
        <f t="shared" si="31"/>
        <v>0</v>
      </c>
      <c r="AF200" s="39">
        <f t="shared" si="32"/>
        <v>0</v>
      </c>
      <c r="AG200" s="39">
        <f t="shared" si="33"/>
        <v>0</v>
      </c>
    </row>
    <row r="201" spans="1:35" ht="31.5" hidden="1" x14ac:dyDescent="0.25">
      <c r="A201" s="61">
        <v>201</v>
      </c>
      <c r="B201" s="35" t="s">
        <v>804</v>
      </c>
      <c r="C201" s="29" t="s">
        <v>13</v>
      </c>
      <c r="D201" s="29" t="s">
        <v>805</v>
      </c>
      <c r="E201" s="22" t="s">
        <v>23</v>
      </c>
      <c r="F201" s="35" t="s">
        <v>806</v>
      </c>
      <c r="G201" s="35" t="s">
        <v>795</v>
      </c>
      <c r="H201" s="30" t="s">
        <v>522</v>
      </c>
      <c r="I201" s="26">
        <v>46.8</v>
      </c>
      <c r="J201" s="29">
        <v>3</v>
      </c>
      <c r="K201" s="29">
        <v>18</v>
      </c>
      <c r="L201" s="26">
        <v>9.8000000000000007</v>
      </c>
      <c r="M201" s="29"/>
      <c r="N201" s="29"/>
      <c r="O201" s="35" t="s">
        <v>884</v>
      </c>
      <c r="P201" s="29" t="s">
        <v>731</v>
      </c>
      <c r="Q201" s="24" t="s">
        <v>857</v>
      </c>
      <c r="R201" s="54" t="str">
        <f t="shared" si="28"/>
        <v>OK</v>
      </c>
      <c r="S201" s="29" t="s">
        <v>27</v>
      </c>
      <c r="T201" s="29" t="s">
        <v>33</v>
      </c>
      <c r="U201" s="29"/>
      <c r="V201" s="29"/>
      <c r="W201" s="46"/>
      <c r="X201" s="76"/>
      <c r="Y201" s="76"/>
      <c r="Z201" s="39">
        <f t="shared" si="34"/>
        <v>0</v>
      </c>
      <c r="AA201" s="39">
        <f t="shared" si="29"/>
        <v>0</v>
      </c>
      <c r="AB201" s="39">
        <f t="shared" si="35"/>
        <v>0</v>
      </c>
      <c r="AC201" s="39">
        <f t="shared" si="27"/>
        <v>0</v>
      </c>
      <c r="AD201" s="39">
        <f t="shared" si="30"/>
        <v>0</v>
      </c>
      <c r="AE201" s="39">
        <f t="shared" si="31"/>
        <v>0</v>
      </c>
      <c r="AF201" s="39">
        <f t="shared" si="32"/>
        <v>0</v>
      </c>
      <c r="AG201" s="39" t="str">
        <f t="shared" si="33"/>
        <v>E</v>
      </c>
    </row>
    <row r="202" spans="1:35" ht="15.75" hidden="1" x14ac:dyDescent="0.25">
      <c r="A202" s="61">
        <v>202</v>
      </c>
      <c r="B202" s="35" t="s">
        <v>267</v>
      </c>
      <c r="C202" s="29" t="s">
        <v>13</v>
      </c>
      <c r="D202" s="29" t="s">
        <v>447</v>
      </c>
      <c r="E202" s="22" t="s">
        <v>23</v>
      </c>
      <c r="F202" s="35" t="s">
        <v>267</v>
      </c>
      <c r="G202" s="35" t="s">
        <v>631</v>
      </c>
      <c r="H202" s="30" t="s">
        <v>522</v>
      </c>
      <c r="I202" s="26">
        <v>19.399999999999999</v>
      </c>
      <c r="J202" s="29">
        <v>3</v>
      </c>
      <c r="K202" s="29"/>
      <c r="L202" s="26">
        <v>7.8</v>
      </c>
      <c r="M202" s="30"/>
      <c r="N202" s="30"/>
      <c r="O202" s="35"/>
      <c r="P202" s="29"/>
      <c r="Q202" s="24"/>
      <c r="R202" s="54" t="str">
        <f t="shared" si="28"/>
        <v>OK</v>
      </c>
      <c r="S202" s="29"/>
      <c r="T202" s="29"/>
      <c r="U202" s="29"/>
      <c r="V202" s="29"/>
      <c r="W202" s="46"/>
      <c r="X202" s="76"/>
      <c r="Y202" s="76"/>
      <c r="Z202" s="39">
        <f t="shared" si="34"/>
        <v>0</v>
      </c>
      <c r="AA202" s="39">
        <f t="shared" si="29"/>
        <v>0</v>
      </c>
      <c r="AB202" s="39">
        <f t="shared" si="35"/>
        <v>0</v>
      </c>
      <c r="AC202" s="39">
        <f t="shared" si="27"/>
        <v>0</v>
      </c>
      <c r="AD202" s="39">
        <f t="shared" si="30"/>
        <v>0</v>
      </c>
      <c r="AE202" s="39">
        <f t="shared" si="31"/>
        <v>0</v>
      </c>
      <c r="AF202" s="39">
        <f t="shared" si="32"/>
        <v>0</v>
      </c>
      <c r="AG202" s="39" t="str">
        <f t="shared" si="33"/>
        <v>E</v>
      </c>
    </row>
    <row r="203" spans="1:35" ht="15.75" x14ac:dyDescent="0.25">
      <c r="A203" s="61">
        <v>203</v>
      </c>
      <c r="B203" s="35" t="s">
        <v>268</v>
      </c>
      <c r="C203" s="29"/>
      <c r="D203" s="29" t="s">
        <v>448</v>
      </c>
      <c r="E203" s="22" t="s">
        <v>24</v>
      </c>
      <c r="F203" s="35" t="s">
        <v>268</v>
      </c>
      <c r="G203" s="35" t="s">
        <v>28</v>
      </c>
      <c r="H203" s="30" t="s">
        <v>15</v>
      </c>
      <c r="I203" s="4">
        <v>25.4</v>
      </c>
      <c r="J203" s="29">
        <v>1</v>
      </c>
      <c r="K203" s="29">
        <v>25.4</v>
      </c>
      <c r="L203" s="26">
        <v>5.6</v>
      </c>
      <c r="M203" s="29"/>
      <c r="N203" s="29"/>
      <c r="O203" s="53" t="s">
        <v>723</v>
      </c>
      <c r="P203" s="53" t="s">
        <v>733</v>
      </c>
      <c r="Q203" s="24" t="s">
        <v>102</v>
      </c>
      <c r="R203" s="54" t="str">
        <f t="shared" si="28"/>
        <v>NARROW</v>
      </c>
      <c r="S203" s="29" t="s">
        <v>102</v>
      </c>
      <c r="T203" s="29" t="s">
        <v>32</v>
      </c>
      <c r="U203" s="29"/>
      <c r="V203" s="29"/>
      <c r="W203" s="46"/>
      <c r="X203" s="76"/>
      <c r="Y203" s="76"/>
      <c r="Z203" s="39">
        <f t="shared" si="34"/>
        <v>1</v>
      </c>
      <c r="AA203" s="39">
        <f t="shared" si="29"/>
        <v>1</v>
      </c>
      <c r="AB203" s="39">
        <f t="shared" si="35"/>
        <v>1</v>
      </c>
      <c r="AC203" s="39" t="str">
        <f t="shared" si="27"/>
        <v>A</v>
      </c>
      <c r="AD203" s="39" t="str">
        <f t="shared" si="30"/>
        <v>B</v>
      </c>
      <c r="AE203" s="39" t="str">
        <f t="shared" si="31"/>
        <v>C</v>
      </c>
      <c r="AF203" s="39" t="str">
        <f t="shared" si="32"/>
        <v>D</v>
      </c>
      <c r="AG203" s="39">
        <f t="shared" si="33"/>
        <v>0</v>
      </c>
    </row>
    <row r="204" spans="1:35" ht="35.1" hidden="1" customHeight="1" x14ac:dyDescent="0.25">
      <c r="A204" s="61">
        <v>204</v>
      </c>
      <c r="B204" s="35" t="s">
        <v>269</v>
      </c>
      <c r="C204" s="29"/>
      <c r="D204" s="29" t="s">
        <v>449</v>
      </c>
      <c r="E204" s="22" t="s">
        <v>24</v>
      </c>
      <c r="F204" s="35" t="s">
        <v>25</v>
      </c>
      <c r="G204" s="35" t="s">
        <v>26</v>
      </c>
      <c r="H204" s="30" t="s">
        <v>522</v>
      </c>
      <c r="I204" s="26">
        <v>13.2</v>
      </c>
      <c r="J204" s="29">
        <v>5</v>
      </c>
      <c r="K204" s="29"/>
      <c r="L204" s="26">
        <v>9.7799999999999994</v>
      </c>
      <c r="M204" s="29"/>
      <c r="N204" s="29"/>
      <c r="O204" s="53" t="s">
        <v>21</v>
      </c>
      <c r="P204" s="53" t="s">
        <v>730</v>
      </c>
      <c r="Q204" s="24" t="s">
        <v>102</v>
      </c>
      <c r="R204" s="54" t="str">
        <f t="shared" si="28"/>
        <v>OK</v>
      </c>
      <c r="S204" s="29" t="s">
        <v>102</v>
      </c>
      <c r="T204" s="29" t="s">
        <v>32</v>
      </c>
      <c r="U204" s="29"/>
      <c r="V204" s="29"/>
      <c r="W204" s="46"/>
      <c r="X204" s="76"/>
      <c r="Y204" s="76"/>
      <c r="Z204" s="39">
        <f t="shared" si="34"/>
        <v>0</v>
      </c>
      <c r="AA204" s="39">
        <f t="shared" si="29"/>
        <v>1</v>
      </c>
      <c r="AB204" s="39">
        <f t="shared" si="35"/>
        <v>1</v>
      </c>
      <c r="AC204" s="39">
        <f t="shared" si="27"/>
        <v>0</v>
      </c>
      <c r="AD204" s="39">
        <f t="shared" si="30"/>
        <v>0</v>
      </c>
      <c r="AE204" s="39" t="str">
        <f t="shared" si="31"/>
        <v>C</v>
      </c>
      <c r="AF204" s="39">
        <f t="shared" si="32"/>
        <v>0</v>
      </c>
      <c r="AG204" s="39">
        <f t="shared" si="33"/>
        <v>0</v>
      </c>
    </row>
    <row r="205" spans="1:35" ht="35.1" hidden="1" customHeight="1" x14ac:dyDescent="0.25">
      <c r="A205" s="61">
        <v>205</v>
      </c>
      <c r="B205" s="35" t="s">
        <v>47</v>
      </c>
      <c r="C205" s="29"/>
      <c r="D205" s="29" t="s">
        <v>450</v>
      </c>
      <c r="E205" s="22" t="s">
        <v>24</v>
      </c>
      <c r="F205" s="35" t="s">
        <v>47</v>
      </c>
      <c r="G205" s="35" t="s">
        <v>46</v>
      </c>
      <c r="H205" s="30" t="s">
        <v>522</v>
      </c>
      <c r="I205" s="26">
        <v>22.63</v>
      </c>
      <c r="J205" s="29">
        <v>4</v>
      </c>
      <c r="K205" s="29"/>
      <c r="L205" s="26">
        <v>12.3</v>
      </c>
      <c r="M205" s="30"/>
      <c r="N205" s="30"/>
      <c r="O205" s="53" t="s">
        <v>21</v>
      </c>
      <c r="P205" s="53" t="s">
        <v>730</v>
      </c>
      <c r="Q205" s="24" t="s">
        <v>857</v>
      </c>
      <c r="R205" s="54" t="str">
        <f t="shared" si="28"/>
        <v>OK</v>
      </c>
      <c r="S205" s="29" t="s">
        <v>27</v>
      </c>
      <c r="T205" s="29" t="s">
        <v>32</v>
      </c>
      <c r="U205" s="29"/>
      <c r="V205" s="29"/>
      <c r="W205" s="46"/>
      <c r="X205" s="76"/>
      <c r="Y205" s="76"/>
      <c r="Z205" s="39">
        <f t="shared" si="34"/>
        <v>0</v>
      </c>
      <c r="AA205" s="39">
        <f t="shared" si="29"/>
        <v>1</v>
      </c>
      <c r="AB205" s="39">
        <f t="shared" si="35"/>
        <v>0</v>
      </c>
      <c r="AC205" s="39">
        <f t="shared" si="27"/>
        <v>0</v>
      </c>
      <c r="AD205" s="39">
        <f t="shared" si="30"/>
        <v>0</v>
      </c>
      <c r="AE205" s="39">
        <f t="shared" si="31"/>
        <v>0</v>
      </c>
      <c r="AF205" s="39">
        <f t="shared" si="32"/>
        <v>0</v>
      </c>
      <c r="AG205" s="39">
        <f t="shared" si="33"/>
        <v>0</v>
      </c>
    </row>
    <row r="206" spans="1:35" ht="35.1" hidden="1" customHeight="1" x14ac:dyDescent="0.25">
      <c r="A206" s="61">
        <v>206</v>
      </c>
      <c r="B206" s="35" t="s">
        <v>270</v>
      </c>
      <c r="C206" s="29"/>
      <c r="D206" s="29" t="s">
        <v>451</v>
      </c>
      <c r="E206" s="22" t="s">
        <v>24</v>
      </c>
      <c r="F206" s="35" t="s">
        <v>270</v>
      </c>
      <c r="G206" s="35" t="s">
        <v>47</v>
      </c>
      <c r="H206" s="30" t="s">
        <v>522</v>
      </c>
      <c r="I206" s="26">
        <v>78</v>
      </c>
      <c r="J206" s="29">
        <v>3</v>
      </c>
      <c r="K206" s="29"/>
      <c r="L206" s="26">
        <v>10.199999999999999</v>
      </c>
      <c r="M206" s="29"/>
      <c r="N206" s="29"/>
      <c r="O206" s="23" t="s">
        <v>21</v>
      </c>
      <c r="P206" s="23" t="s">
        <v>730</v>
      </c>
      <c r="Q206" s="24" t="s">
        <v>857</v>
      </c>
      <c r="R206" s="54" t="str">
        <f t="shared" si="28"/>
        <v>OK</v>
      </c>
      <c r="S206" s="29" t="s">
        <v>27</v>
      </c>
      <c r="T206" s="29" t="s">
        <v>32</v>
      </c>
      <c r="U206" s="29"/>
      <c r="V206" s="29"/>
      <c r="W206" s="46"/>
      <c r="X206" s="76"/>
      <c r="Y206" s="76"/>
      <c r="Z206" s="39">
        <f t="shared" si="34"/>
        <v>0</v>
      </c>
      <c r="AA206" s="39">
        <f t="shared" si="29"/>
        <v>1</v>
      </c>
      <c r="AB206" s="39">
        <f t="shared" si="35"/>
        <v>0</v>
      </c>
      <c r="AC206" s="39">
        <f t="shared" si="27"/>
        <v>0</v>
      </c>
      <c r="AD206" s="39">
        <f t="shared" si="30"/>
        <v>0</v>
      </c>
      <c r="AE206" s="39">
        <f t="shared" si="31"/>
        <v>0</v>
      </c>
      <c r="AF206" s="39">
        <f t="shared" si="32"/>
        <v>0</v>
      </c>
      <c r="AG206" s="39">
        <f t="shared" si="33"/>
        <v>0</v>
      </c>
    </row>
    <row r="207" spans="1:35" ht="35.1" hidden="1" customHeight="1" x14ac:dyDescent="0.25">
      <c r="A207" s="61">
        <v>207</v>
      </c>
      <c r="B207" s="35" t="s">
        <v>271</v>
      </c>
      <c r="C207" s="29"/>
      <c r="D207" s="29" t="s">
        <v>452</v>
      </c>
      <c r="E207" s="22" t="s">
        <v>24</v>
      </c>
      <c r="F207" s="35" t="s">
        <v>28</v>
      </c>
      <c r="G207" s="35" t="s">
        <v>632</v>
      </c>
      <c r="H207" s="30" t="s">
        <v>851</v>
      </c>
      <c r="I207" s="26">
        <v>76.099999999999994</v>
      </c>
      <c r="J207" s="29">
        <v>3</v>
      </c>
      <c r="K207" s="29"/>
      <c r="L207" s="26">
        <v>9.34</v>
      </c>
      <c r="M207" s="30"/>
      <c r="N207" s="30"/>
      <c r="O207" s="23" t="s">
        <v>21</v>
      </c>
      <c r="P207" s="23" t="s">
        <v>730</v>
      </c>
      <c r="Q207" s="24" t="s">
        <v>857</v>
      </c>
      <c r="R207" s="54" t="str">
        <f t="shared" si="28"/>
        <v>OK</v>
      </c>
      <c r="S207" s="29" t="s">
        <v>27</v>
      </c>
      <c r="T207" s="29" t="s">
        <v>32</v>
      </c>
      <c r="U207" s="29"/>
      <c r="V207" s="29"/>
      <c r="W207" s="46"/>
      <c r="X207" s="76"/>
      <c r="Y207" s="76"/>
      <c r="Z207" s="39">
        <f t="shared" si="34"/>
        <v>0</v>
      </c>
      <c r="AA207" s="39">
        <f t="shared" si="29"/>
        <v>1</v>
      </c>
      <c r="AB207" s="39">
        <f t="shared" si="35"/>
        <v>0</v>
      </c>
      <c r="AC207" s="39">
        <f t="shared" si="27"/>
        <v>0</v>
      </c>
      <c r="AD207" s="39">
        <f t="shared" si="30"/>
        <v>0</v>
      </c>
      <c r="AE207" s="39">
        <f t="shared" si="31"/>
        <v>0</v>
      </c>
      <c r="AF207" s="39">
        <f t="shared" si="32"/>
        <v>0</v>
      </c>
      <c r="AG207" s="39">
        <f t="shared" si="33"/>
        <v>0</v>
      </c>
    </row>
    <row r="208" spans="1:35" ht="35.1" customHeight="1" x14ac:dyDescent="0.25">
      <c r="A208" s="61">
        <v>208</v>
      </c>
      <c r="B208" s="71" t="s">
        <v>238</v>
      </c>
      <c r="C208" s="64"/>
      <c r="D208" s="64" t="s">
        <v>411</v>
      </c>
      <c r="E208" s="61" t="s">
        <v>24</v>
      </c>
      <c r="F208" s="71" t="s">
        <v>25</v>
      </c>
      <c r="G208" s="71" t="s">
        <v>26</v>
      </c>
      <c r="H208" s="72" t="s">
        <v>40</v>
      </c>
      <c r="I208" s="72">
        <v>30.5</v>
      </c>
      <c r="J208" s="64">
        <v>1</v>
      </c>
      <c r="K208" s="64">
        <v>30.5</v>
      </c>
      <c r="L208" s="72">
        <v>4.0999999999999996</v>
      </c>
      <c r="M208" s="29"/>
      <c r="N208" s="29"/>
      <c r="O208" s="70" t="s">
        <v>718</v>
      </c>
      <c r="P208" s="70" t="s">
        <v>733</v>
      </c>
      <c r="Q208" s="24" t="s">
        <v>102</v>
      </c>
      <c r="R208" s="54" t="str">
        <f t="shared" si="28"/>
        <v>NARROW</v>
      </c>
      <c r="S208" s="29" t="s">
        <v>102</v>
      </c>
      <c r="T208" s="29" t="s">
        <v>32</v>
      </c>
      <c r="U208" s="29"/>
      <c r="V208" s="29"/>
      <c r="W208" s="46"/>
      <c r="X208" s="76"/>
      <c r="Y208" s="76"/>
      <c r="Z208" s="39">
        <f t="shared" si="34"/>
        <v>1</v>
      </c>
      <c r="AA208" s="39">
        <f t="shared" si="29"/>
        <v>1</v>
      </c>
      <c r="AB208" s="39">
        <f t="shared" si="35"/>
        <v>1</v>
      </c>
      <c r="AC208" s="39" t="str">
        <f t="shared" ref="AC208:AC216" si="36">IF(Z208+AB208=2,"A",0)</f>
        <v>A</v>
      </c>
      <c r="AD208" s="39" t="str">
        <f t="shared" si="30"/>
        <v>B</v>
      </c>
      <c r="AE208" s="39" t="str">
        <f t="shared" si="31"/>
        <v>C</v>
      </c>
      <c r="AF208" s="39" t="str">
        <f t="shared" si="32"/>
        <v>D</v>
      </c>
      <c r="AG208" s="39">
        <f t="shared" si="33"/>
        <v>0</v>
      </c>
      <c r="AI208" s="1">
        <f>I208</f>
        <v>30.5</v>
      </c>
    </row>
    <row r="209" spans="1:35" ht="35.1" hidden="1" customHeight="1" x14ac:dyDescent="0.25">
      <c r="A209" s="61">
        <v>209</v>
      </c>
      <c r="B209" s="71" t="s">
        <v>239</v>
      </c>
      <c r="C209" s="64"/>
      <c r="D209" s="64" t="s">
        <v>412</v>
      </c>
      <c r="E209" s="61" t="s">
        <v>24</v>
      </c>
      <c r="F209" s="71" t="s">
        <v>26</v>
      </c>
      <c r="G209" s="71" t="s">
        <v>601</v>
      </c>
      <c r="H209" s="72" t="s">
        <v>15</v>
      </c>
      <c r="I209" s="72">
        <v>30.5</v>
      </c>
      <c r="J209" s="64">
        <v>1</v>
      </c>
      <c r="K209" s="64">
        <v>30.5</v>
      </c>
      <c r="L209" s="72">
        <v>4.0999999999999996</v>
      </c>
      <c r="M209" s="30"/>
      <c r="N209" s="30"/>
      <c r="O209" s="70" t="s">
        <v>718</v>
      </c>
      <c r="P209" s="70" t="s">
        <v>733</v>
      </c>
      <c r="Q209" s="24" t="s">
        <v>857</v>
      </c>
      <c r="R209" s="54" t="str">
        <f t="shared" si="28"/>
        <v>NARROW</v>
      </c>
      <c r="S209" s="29" t="s">
        <v>27</v>
      </c>
      <c r="T209" s="29" t="s">
        <v>32</v>
      </c>
      <c r="U209" s="29"/>
      <c r="V209" s="29"/>
      <c r="W209" s="46"/>
      <c r="X209" s="76"/>
      <c r="Y209" s="76"/>
      <c r="Z209" s="39">
        <f t="shared" si="34"/>
        <v>1</v>
      </c>
      <c r="AA209" s="39">
        <f t="shared" si="29"/>
        <v>1</v>
      </c>
      <c r="AB209" s="39">
        <f t="shared" si="35"/>
        <v>0</v>
      </c>
      <c r="AC209" s="39">
        <f t="shared" si="36"/>
        <v>0</v>
      </c>
      <c r="AD209" s="39" t="str">
        <f t="shared" si="30"/>
        <v>B</v>
      </c>
      <c r="AE209" s="39">
        <f t="shared" si="31"/>
        <v>0</v>
      </c>
      <c r="AF209" s="39">
        <f t="shared" si="32"/>
        <v>0</v>
      </c>
      <c r="AG209" s="39">
        <f t="shared" si="33"/>
        <v>0</v>
      </c>
    </row>
    <row r="210" spans="1:35" ht="35.1" hidden="1" customHeight="1" x14ac:dyDescent="0.25">
      <c r="A210" s="61">
        <v>210</v>
      </c>
      <c r="B210" s="71" t="s">
        <v>241</v>
      </c>
      <c r="C210" s="64" t="s">
        <v>13</v>
      </c>
      <c r="D210" s="64" t="s">
        <v>414</v>
      </c>
      <c r="E210" s="61" t="s">
        <v>50</v>
      </c>
      <c r="F210" s="71" t="s">
        <v>241</v>
      </c>
      <c r="G210" s="71" t="s">
        <v>604</v>
      </c>
      <c r="H210" s="72" t="s">
        <v>15</v>
      </c>
      <c r="I210" s="72">
        <v>49.7</v>
      </c>
      <c r="J210" s="64">
        <v>3</v>
      </c>
      <c r="K210" s="64">
        <v>15</v>
      </c>
      <c r="L210" s="72">
        <v>3.5</v>
      </c>
      <c r="M210" s="29"/>
      <c r="N210" s="29"/>
      <c r="O210" s="53" t="s">
        <v>51</v>
      </c>
      <c r="P210" s="53" t="s">
        <v>733</v>
      </c>
      <c r="Q210" s="24" t="s">
        <v>857</v>
      </c>
      <c r="R210" s="54" t="str">
        <f t="shared" si="28"/>
        <v>NARROW</v>
      </c>
      <c r="S210" s="29" t="s">
        <v>27</v>
      </c>
      <c r="T210" s="29" t="s">
        <v>32</v>
      </c>
      <c r="U210" s="29"/>
      <c r="V210" s="29"/>
      <c r="W210" s="46"/>
      <c r="X210" s="76"/>
      <c r="Y210" s="76"/>
      <c r="Z210" s="39">
        <f t="shared" si="34"/>
        <v>1</v>
      </c>
      <c r="AA210" s="39">
        <f t="shared" si="29"/>
        <v>1</v>
      </c>
      <c r="AB210" s="39">
        <f t="shared" si="35"/>
        <v>0</v>
      </c>
      <c r="AC210" s="39">
        <f t="shared" si="36"/>
        <v>0</v>
      </c>
      <c r="AD210" s="39" t="str">
        <f t="shared" si="30"/>
        <v>B</v>
      </c>
      <c r="AE210" s="39">
        <f t="shared" si="31"/>
        <v>0</v>
      </c>
      <c r="AF210" s="39">
        <f t="shared" si="32"/>
        <v>0</v>
      </c>
      <c r="AG210" s="39">
        <f t="shared" si="33"/>
        <v>0</v>
      </c>
    </row>
    <row r="211" spans="1:35" ht="35.1" hidden="1" customHeight="1" x14ac:dyDescent="0.25">
      <c r="A211" s="61">
        <v>211</v>
      </c>
      <c r="B211" s="71" t="s">
        <v>242</v>
      </c>
      <c r="C211" s="64" t="s">
        <v>13</v>
      </c>
      <c r="D211" s="64" t="s">
        <v>415</v>
      </c>
      <c r="E211" s="61" t="s">
        <v>50</v>
      </c>
      <c r="F211" s="71" t="s">
        <v>605</v>
      </c>
      <c r="G211" s="71" t="s">
        <v>606</v>
      </c>
      <c r="H211" s="72" t="s">
        <v>40</v>
      </c>
      <c r="I211" s="72">
        <v>61.05</v>
      </c>
      <c r="J211" s="64">
        <v>1</v>
      </c>
      <c r="K211" s="64">
        <v>61.05</v>
      </c>
      <c r="L211" s="72">
        <v>4.1500000000000004</v>
      </c>
      <c r="M211" s="29"/>
      <c r="N211" s="29"/>
      <c r="O211" s="53" t="s">
        <v>51</v>
      </c>
      <c r="P211" s="53" t="s">
        <v>733</v>
      </c>
      <c r="Q211" s="24" t="s">
        <v>857</v>
      </c>
      <c r="R211" s="54" t="str">
        <f t="shared" si="28"/>
        <v>NARROW</v>
      </c>
      <c r="S211" s="29" t="s">
        <v>27</v>
      </c>
      <c r="T211" s="29" t="s">
        <v>32</v>
      </c>
      <c r="U211" s="29"/>
      <c r="V211" s="29"/>
      <c r="W211" s="46"/>
      <c r="X211" s="76"/>
      <c r="Y211" s="76"/>
      <c r="Z211" s="39">
        <f t="shared" si="34"/>
        <v>1</v>
      </c>
      <c r="AA211" s="39">
        <f t="shared" si="29"/>
        <v>1</v>
      </c>
      <c r="AB211" s="39">
        <f t="shared" si="35"/>
        <v>0</v>
      </c>
      <c r="AC211" s="39">
        <f t="shared" si="36"/>
        <v>0</v>
      </c>
      <c r="AD211" s="39" t="str">
        <f t="shared" si="30"/>
        <v>B</v>
      </c>
      <c r="AE211" s="39">
        <f t="shared" si="31"/>
        <v>0</v>
      </c>
      <c r="AF211" s="39">
        <f t="shared" si="32"/>
        <v>0</v>
      </c>
      <c r="AG211" s="39">
        <f t="shared" si="33"/>
        <v>0</v>
      </c>
      <c r="AI211" s="1">
        <f>I211</f>
        <v>61.05</v>
      </c>
    </row>
    <row r="212" spans="1:35" ht="35.1" hidden="1" customHeight="1" x14ac:dyDescent="0.25">
      <c r="A212" s="61">
        <v>212</v>
      </c>
      <c r="B212" s="71" t="s">
        <v>209</v>
      </c>
      <c r="C212" s="64" t="s">
        <v>13</v>
      </c>
      <c r="D212" s="64" t="s">
        <v>379</v>
      </c>
      <c r="E212" s="61" t="s">
        <v>50</v>
      </c>
      <c r="F212" s="71" t="s">
        <v>576</v>
      </c>
      <c r="G212" s="71" t="s">
        <v>577</v>
      </c>
      <c r="H212" s="29" t="s">
        <v>522</v>
      </c>
      <c r="I212" s="29">
        <v>18.399999999999999</v>
      </c>
      <c r="J212" s="64">
        <v>1</v>
      </c>
      <c r="K212" s="64">
        <v>18.399999999999999</v>
      </c>
      <c r="L212" s="64">
        <v>11.35</v>
      </c>
      <c r="M212" s="30"/>
      <c r="N212" s="30"/>
      <c r="O212" s="52" t="s">
        <v>712</v>
      </c>
      <c r="P212" s="28" t="s">
        <v>731</v>
      </c>
      <c r="Q212" s="46" t="s">
        <v>857</v>
      </c>
      <c r="R212" s="54" t="str">
        <f t="shared" ref="R212:R216" si="37">IF(L212&lt;7.3,"NARROW","OK")</f>
        <v>OK</v>
      </c>
      <c r="S212" s="46" t="s">
        <v>27</v>
      </c>
      <c r="T212" s="46" t="s">
        <v>32</v>
      </c>
      <c r="U212" s="46"/>
      <c r="V212" s="46"/>
      <c r="W212" s="46"/>
      <c r="X212" s="38"/>
      <c r="Y212" s="38"/>
      <c r="Z212" s="39">
        <f t="shared" si="34"/>
        <v>0</v>
      </c>
      <c r="AA212" s="39">
        <f t="shared" si="29"/>
        <v>1</v>
      </c>
      <c r="AB212" s="39">
        <f t="shared" si="35"/>
        <v>0</v>
      </c>
      <c r="AC212" s="39">
        <f t="shared" si="36"/>
        <v>0</v>
      </c>
      <c r="AD212" s="39">
        <f t="shared" si="30"/>
        <v>0</v>
      </c>
      <c r="AE212" s="39">
        <f t="shared" si="31"/>
        <v>0</v>
      </c>
      <c r="AF212" s="39">
        <f t="shared" si="32"/>
        <v>0</v>
      </c>
      <c r="AG212" s="39">
        <f t="shared" si="33"/>
        <v>0</v>
      </c>
    </row>
    <row r="213" spans="1:35" ht="35.1" customHeight="1" x14ac:dyDescent="0.25">
      <c r="A213" s="61">
        <v>213</v>
      </c>
      <c r="B213" s="71" t="s">
        <v>243</v>
      </c>
      <c r="C213" s="64" t="s">
        <v>13</v>
      </c>
      <c r="D213" s="64" t="s">
        <v>416</v>
      </c>
      <c r="E213" s="61" t="s">
        <v>50</v>
      </c>
      <c r="F213" s="71" t="s">
        <v>243</v>
      </c>
      <c r="G213" s="71" t="s">
        <v>607</v>
      </c>
      <c r="H213" s="72" t="s">
        <v>522</v>
      </c>
      <c r="I213" s="72">
        <v>28.7</v>
      </c>
      <c r="J213" s="64">
        <v>6</v>
      </c>
      <c r="K213" s="64"/>
      <c r="L213" s="72">
        <v>3.65</v>
      </c>
      <c r="M213" s="29"/>
      <c r="N213" s="29"/>
      <c r="O213" s="70" t="s">
        <v>719</v>
      </c>
      <c r="P213" s="70" t="s">
        <v>733</v>
      </c>
      <c r="Q213" s="46" t="s">
        <v>102</v>
      </c>
      <c r="R213" s="54" t="str">
        <f t="shared" si="37"/>
        <v>NARROW</v>
      </c>
      <c r="S213" s="46" t="s">
        <v>102</v>
      </c>
      <c r="T213" s="46" t="s">
        <v>32</v>
      </c>
      <c r="U213" s="46"/>
      <c r="V213" s="46"/>
      <c r="W213" s="46"/>
      <c r="X213" s="38"/>
      <c r="Y213" s="38"/>
      <c r="Z213" s="39">
        <f>IF(R213="NARROW",1,0)</f>
        <v>1</v>
      </c>
      <c r="AA213" s="39">
        <f t="shared" si="29"/>
        <v>1</v>
      </c>
      <c r="AB213" s="39">
        <f t="shared" si="35"/>
        <v>1</v>
      </c>
      <c r="AC213" s="39" t="str">
        <f t="shared" si="36"/>
        <v>A</v>
      </c>
      <c r="AD213" s="39" t="str">
        <f t="shared" si="30"/>
        <v>B</v>
      </c>
      <c r="AE213" s="39" t="str">
        <f t="shared" si="31"/>
        <v>C</v>
      </c>
      <c r="AF213" s="39" t="str">
        <f t="shared" si="32"/>
        <v>D</v>
      </c>
      <c r="AG213" s="39">
        <f t="shared" si="33"/>
        <v>0</v>
      </c>
    </row>
    <row r="214" spans="1:35" ht="35.1" hidden="1" customHeight="1" x14ac:dyDescent="0.25">
      <c r="A214" s="61">
        <v>214</v>
      </c>
      <c r="B214" s="71" t="s">
        <v>255</v>
      </c>
      <c r="C214" s="64" t="s">
        <v>13</v>
      </c>
      <c r="D214" s="64" t="s">
        <v>414</v>
      </c>
      <c r="E214" s="61" t="s">
        <v>50</v>
      </c>
      <c r="F214" s="71" t="s">
        <v>617</v>
      </c>
      <c r="G214" s="71" t="s">
        <v>241</v>
      </c>
      <c r="H214" s="72" t="s">
        <v>15</v>
      </c>
      <c r="I214" s="72">
        <v>25</v>
      </c>
      <c r="J214" s="64">
        <v>1</v>
      </c>
      <c r="K214" s="64">
        <v>25</v>
      </c>
      <c r="L214" s="72">
        <v>3.5</v>
      </c>
      <c r="M214" s="30"/>
      <c r="N214" s="30"/>
      <c r="O214" s="70" t="s">
        <v>51</v>
      </c>
      <c r="P214" s="70" t="s">
        <v>733</v>
      </c>
      <c r="Q214" s="46" t="s">
        <v>857</v>
      </c>
      <c r="R214" s="54" t="str">
        <f t="shared" si="37"/>
        <v>NARROW</v>
      </c>
      <c r="S214" s="46" t="s">
        <v>27</v>
      </c>
      <c r="T214" s="46" t="s">
        <v>33</v>
      </c>
      <c r="U214" s="46"/>
      <c r="V214" s="46"/>
      <c r="W214" s="46"/>
      <c r="X214" s="38"/>
      <c r="Y214" s="38"/>
      <c r="Z214" s="39">
        <f t="shared" ref="Z214:Z216" si="38">IF(R214="NARROW",1,0)</f>
        <v>1</v>
      </c>
      <c r="AA214" s="39">
        <f t="shared" si="29"/>
        <v>0</v>
      </c>
      <c r="AB214" s="39">
        <f t="shared" si="35"/>
        <v>0</v>
      </c>
      <c r="AC214" s="39">
        <f t="shared" si="36"/>
        <v>0</v>
      </c>
      <c r="AD214" s="39">
        <f t="shared" si="30"/>
        <v>0</v>
      </c>
      <c r="AE214" s="39">
        <f t="shared" si="31"/>
        <v>0</v>
      </c>
      <c r="AF214" s="39">
        <f t="shared" si="32"/>
        <v>0</v>
      </c>
      <c r="AG214" s="39">
        <f t="shared" si="33"/>
        <v>0</v>
      </c>
    </row>
    <row r="215" spans="1:35" ht="35.1" hidden="1" customHeight="1" x14ac:dyDescent="0.25">
      <c r="A215" s="61">
        <v>215</v>
      </c>
      <c r="B215" s="71" t="s">
        <v>272</v>
      </c>
      <c r="C215" s="64" t="s">
        <v>13</v>
      </c>
      <c r="D215" s="64" t="s">
        <v>414</v>
      </c>
      <c r="E215" s="61" t="s">
        <v>50</v>
      </c>
      <c r="F215" s="71" t="s">
        <v>633</v>
      </c>
      <c r="G215" s="71" t="s">
        <v>634</v>
      </c>
      <c r="H215" s="72" t="s">
        <v>15</v>
      </c>
      <c r="I215" s="72">
        <v>25</v>
      </c>
      <c r="J215" s="64">
        <v>1</v>
      </c>
      <c r="K215" s="64">
        <v>25</v>
      </c>
      <c r="L215" s="72">
        <v>3.5</v>
      </c>
      <c r="M215" s="29"/>
      <c r="N215" s="29"/>
      <c r="O215" s="70" t="s">
        <v>51</v>
      </c>
      <c r="P215" s="70" t="s">
        <v>733</v>
      </c>
      <c r="Q215" s="84" t="s">
        <v>857</v>
      </c>
      <c r="R215" s="54" t="str">
        <f t="shared" si="37"/>
        <v>NARROW</v>
      </c>
      <c r="S215" s="84" t="s">
        <v>27</v>
      </c>
      <c r="T215" s="84" t="s">
        <v>33</v>
      </c>
      <c r="U215" s="84"/>
      <c r="V215" s="84"/>
      <c r="W215" s="84"/>
      <c r="Z215" s="39">
        <f t="shared" si="38"/>
        <v>1</v>
      </c>
      <c r="AA215" s="39">
        <f t="shared" si="29"/>
        <v>0</v>
      </c>
      <c r="AB215" s="39">
        <f t="shared" si="35"/>
        <v>0</v>
      </c>
      <c r="AC215" s="39">
        <f t="shared" si="36"/>
        <v>0</v>
      </c>
      <c r="AD215" s="39">
        <f t="shared" si="30"/>
        <v>0</v>
      </c>
      <c r="AE215" s="39">
        <f t="shared" si="31"/>
        <v>0</v>
      </c>
      <c r="AF215" s="39">
        <f t="shared" si="32"/>
        <v>0</v>
      </c>
      <c r="AG215" s="39">
        <f t="shared" si="33"/>
        <v>0</v>
      </c>
    </row>
    <row r="216" spans="1:35" ht="35.1" hidden="1" customHeight="1" x14ac:dyDescent="0.25">
      <c r="A216" s="61">
        <v>216</v>
      </c>
      <c r="B216" s="71" t="s">
        <v>216</v>
      </c>
      <c r="C216" s="64" t="s">
        <v>13</v>
      </c>
      <c r="D216" s="64" t="s">
        <v>387</v>
      </c>
      <c r="E216" s="61" t="s">
        <v>50</v>
      </c>
      <c r="F216" s="71" t="s">
        <v>584</v>
      </c>
      <c r="G216" s="71" t="s">
        <v>216</v>
      </c>
      <c r="H216" s="72" t="s">
        <v>522</v>
      </c>
      <c r="I216" s="72">
        <v>18</v>
      </c>
      <c r="J216" s="64">
        <v>3</v>
      </c>
      <c r="K216" s="64">
        <v>6</v>
      </c>
      <c r="L216" s="72">
        <v>8.9</v>
      </c>
      <c r="M216" s="29"/>
      <c r="N216" s="29"/>
      <c r="O216" s="65" t="s">
        <v>714</v>
      </c>
      <c r="P216" s="65" t="s">
        <v>731</v>
      </c>
      <c r="Q216" s="84" t="s">
        <v>857</v>
      </c>
      <c r="R216" s="54" t="str">
        <f t="shared" si="37"/>
        <v>OK</v>
      </c>
      <c r="S216" s="84" t="s">
        <v>27</v>
      </c>
      <c r="T216" s="84" t="s">
        <v>32</v>
      </c>
      <c r="U216" s="84"/>
      <c r="V216" s="84"/>
      <c r="W216" s="84"/>
      <c r="Z216" s="39">
        <f t="shared" si="38"/>
        <v>0</v>
      </c>
      <c r="AA216" s="39">
        <f t="shared" si="29"/>
        <v>1</v>
      </c>
      <c r="AB216" s="39">
        <f t="shared" si="35"/>
        <v>0</v>
      </c>
      <c r="AC216" s="39">
        <f t="shared" si="36"/>
        <v>0</v>
      </c>
      <c r="AD216" s="39">
        <f t="shared" si="30"/>
        <v>0</v>
      </c>
      <c r="AE216" s="39">
        <f t="shared" si="31"/>
        <v>0</v>
      </c>
      <c r="AF216" s="39">
        <f t="shared" si="32"/>
        <v>0</v>
      </c>
      <c r="AG216" s="39">
        <f t="shared" si="33"/>
        <v>0</v>
      </c>
    </row>
    <row r="217" spans="1:35" ht="15.75" x14ac:dyDescent="0.25">
      <c r="A217" s="17"/>
      <c r="B217" s="17"/>
      <c r="C217" s="17"/>
      <c r="D217" s="17"/>
      <c r="E217" s="17"/>
      <c r="F217" s="17"/>
      <c r="G217" s="17"/>
      <c r="H217" s="17"/>
      <c r="I217" s="17">
        <f>SUM(I20:I216)</f>
        <v>6010.94</v>
      </c>
      <c r="J217" s="17"/>
      <c r="K217" s="17"/>
      <c r="L217" s="17"/>
      <c r="M217" s="85"/>
      <c r="N217" s="104"/>
      <c r="O217" s="111"/>
      <c r="P217" s="17"/>
      <c r="Q217" s="109">
        <v>41</v>
      </c>
      <c r="R217" s="112">
        <f>COUNTBLANK(R20:R216)</f>
        <v>1</v>
      </c>
      <c r="S217" s="112">
        <f>COUNTBLANK(S20:S216)</f>
        <v>20</v>
      </c>
      <c r="T217" s="112">
        <f>COUNTBLANK(T20:T216)</f>
        <v>20</v>
      </c>
      <c r="U217" s="17"/>
      <c r="V217" s="17"/>
      <c r="W217" s="17"/>
      <c r="Z217" s="86">
        <f>COUNTIF(Z7:Z216,1)</f>
        <v>97</v>
      </c>
      <c r="AA217" s="86">
        <f>COUNTIF(AA7:AA216,1)</f>
        <v>97</v>
      </c>
      <c r="AB217" s="86">
        <f>COUNTIF(AB7:AB216,1)</f>
        <v>57</v>
      </c>
      <c r="AC217" s="86">
        <f>COUNTIF(AC7:AC216,"A")</f>
        <v>39</v>
      </c>
      <c r="AD217" s="86">
        <f>COUNTIF(AD7:AD216,"B")</f>
        <v>50</v>
      </c>
      <c r="AE217" s="86">
        <f>COUNTIF(AE7:AE216,"C")</f>
        <v>46</v>
      </c>
      <c r="AF217" s="86">
        <f>COUNTIF(AF7:AF216,"D")</f>
        <v>33</v>
      </c>
      <c r="AG217" s="86">
        <f>COUNTIF(AG7:AG216,"E")</f>
        <v>60</v>
      </c>
      <c r="AI217" s="1">
        <f>SUM(AI2:AI216)</f>
        <v>653.6</v>
      </c>
    </row>
    <row r="218" spans="1:35" ht="15.75" x14ac:dyDescent="0.25">
      <c r="I218" s="1">
        <f>AVERAGE(I2:I216)</f>
        <v>30.585428571428569</v>
      </c>
      <c r="M218" s="55"/>
      <c r="N218" s="55"/>
    </row>
    <row r="219" spans="1:35" x14ac:dyDescent="0.25">
      <c r="M219" s="17"/>
      <c r="N219" s="17"/>
    </row>
    <row r="227" spans="7:9" ht="15.75" x14ac:dyDescent="0.25">
      <c r="G227" s="106" t="s">
        <v>40</v>
      </c>
      <c r="H227" s="106">
        <f>COUNTIF(H2:H216,"BAILEY")</f>
        <v>16</v>
      </c>
      <c r="I227" s="1" t="s">
        <v>856</v>
      </c>
    </row>
    <row r="228" spans="7:9" ht="15.75" x14ac:dyDescent="0.25">
      <c r="G228" s="106" t="s">
        <v>15</v>
      </c>
      <c r="H228" s="106">
        <f>COUNTIF(H2:H216,"STEEL")</f>
        <v>17</v>
      </c>
    </row>
    <row r="229" spans="7:9" ht="15.75" x14ac:dyDescent="0.25">
      <c r="G229" s="106" t="s">
        <v>522</v>
      </c>
      <c r="H229" s="106">
        <f>COUNTIF(H2:H216,"R.C.")</f>
        <v>141</v>
      </c>
    </row>
    <row r="230" spans="7:9" ht="15.75" x14ac:dyDescent="0.25">
      <c r="G230" s="106" t="s">
        <v>851</v>
      </c>
      <c r="H230" s="106">
        <f>COUNTIF(H2:H216,"COMPOSITE")</f>
        <v>25</v>
      </c>
    </row>
    <row r="231" spans="7:9" ht="15.75" x14ac:dyDescent="0.25">
      <c r="G231" s="106" t="s">
        <v>852</v>
      </c>
      <c r="H231" s="106">
        <f>COUNTIF(H2:H216,"R.C. BOX CULVERT")</f>
        <v>0</v>
      </c>
    </row>
    <row r="232" spans="7:9" ht="15.75" x14ac:dyDescent="0.25">
      <c r="G232" s="106" t="s">
        <v>72</v>
      </c>
      <c r="H232" s="106">
        <f>SUM(H227:H231)</f>
        <v>199</v>
      </c>
    </row>
    <row r="242" spans="15:17" x14ac:dyDescent="0.25">
      <c r="O242" s="34" t="s">
        <v>27</v>
      </c>
      <c r="Q242" s="110">
        <f>COUNTIF(Q2:Q216, "GOOD")</f>
        <v>47</v>
      </c>
    </row>
    <row r="243" spans="15:17" x14ac:dyDescent="0.25">
      <c r="O243" s="34" t="s">
        <v>857</v>
      </c>
      <c r="Q243" s="110">
        <f>COUNTIF(Q2:Q216, "FAIR")</f>
        <v>91</v>
      </c>
    </row>
    <row r="244" spans="15:17" x14ac:dyDescent="0.25">
      <c r="O244" s="34" t="s">
        <v>102</v>
      </c>
      <c r="Q244" s="110">
        <f>COUNTIF(Q2:Q216, "POOR")</f>
        <v>57</v>
      </c>
    </row>
    <row r="245" spans="15:17" x14ac:dyDescent="0.25">
      <c r="O245" s="34" t="s">
        <v>75</v>
      </c>
      <c r="Q245" s="1">
        <f>COUNTBLANK(Q2:Q216)</f>
        <v>20</v>
      </c>
    </row>
    <row r="246" spans="15:17" x14ac:dyDescent="0.25">
      <c r="Q246" s="1">
        <f>SUM(Q242:Q245)</f>
        <v>215</v>
      </c>
    </row>
    <row r="263" spans="17:25" x14ac:dyDescent="0.25">
      <c r="Q263" s="17"/>
      <c r="V263" s="17"/>
      <c r="W263" s="17"/>
      <c r="X263" s="17"/>
      <c r="Y263" s="17"/>
    </row>
    <row r="264" spans="17:25" x14ac:dyDescent="0.25">
      <c r="Q264" s="17"/>
      <c r="V264" s="18"/>
      <c r="W264" s="18"/>
      <c r="X264" s="18"/>
      <c r="Y264" s="18"/>
    </row>
    <row r="265" spans="17:25" x14ac:dyDescent="0.25">
      <c r="Q265" s="17"/>
      <c r="V265" s="18"/>
      <c r="W265" s="18"/>
      <c r="X265" s="18"/>
      <c r="Y265" s="18"/>
    </row>
    <row r="266" spans="17:25" x14ac:dyDescent="0.25">
      <c r="Q266" s="17"/>
      <c r="V266" s="18"/>
      <c r="W266" s="18"/>
      <c r="X266" s="18"/>
      <c r="Y266" s="18"/>
    </row>
    <row r="267" spans="17:25" x14ac:dyDescent="0.25">
      <c r="Q267" s="17"/>
      <c r="V267" s="18"/>
      <c r="W267" s="18"/>
      <c r="X267" s="18"/>
      <c r="Y267" s="18"/>
    </row>
    <row r="268" spans="17:25" x14ac:dyDescent="0.25">
      <c r="Q268" s="17"/>
      <c r="V268" s="18"/>
      <c r="W268" s="18"/>
      <c r="X268" s="18"/>
      <c r="Y268" s="18"/>
    </row>
    <row r="269" spans="17:25" x14ac:dyDescent="0.25">
      <c r="Q269" s="17"/>
      <c r="V269" s="18"/>
      <c r="W269" s="18"/>
      <c r="X269" s="18"/>
      <c r="Y269" s="18"/>
    </row>
    <row r="270" spans="17:25" x14ac:dyDescent="0.25">
      <c r="Q270" s="17"/>
      <c r="V270" s="18"/>
      <c r="W270" s="18"/>
      <c r="X270" s="18"/>
      <c r="Y270" s="18"/>
    </row>
    <row r="271" spans="17:25" x14ac:dyDescent="0.25">
      <c r="Q271" s="17"/>
      <c r="V271" s="18"/>
      <c r="W271" s="18"/>
      <c r="X271" s="18"/>
      <c r="Y271" s="18"/>
    </row>
    <row r="272" spans="17:25" x14ac:dyDescent="0.25">
      <c r="Q272" s="17"/>
      <c r="V272" s="18"/>
      <c r="W272" s="18"/>
      <c r="X272" s="18"/>
      <c r="Y272" s="18"/>
    </row>
    <row r="273" spans="17:25" x14ac:dyDescent="0.25">
      <c r="Q273" s="17"/>
      <c r="V273" s="17"/>
      <c r="W273" s="17"/>
      <c r="X273" s="17"/>
      <c r="Y273" s="17"/>
    </row>
  </sheetData>
  <autoFilter ref="A1:W218">
    <filterColumn colId="17">
      <filters blank="1">
        <filter val="1"/>
        <filter val="NARROW"/>
      </filters>
    </filterColumn>
    <filterColumn colId="18">
      <filters blank="1">
        <filter val="20"/>
        <filter val="POOR"/>
      </filters>
    </filterColumn>
    <filterColumn colId="19">
      <filters blank="1">
        <filter val="20"/>
        <filter val="UNSAFE"/>
      </filters>
    </filterColumn>
  </autoFilter>
  <pageMargins left="0.35" right="0.35" top="0.35" bottom="0.41" header="0.3" footer="0.3"/>
  <pageSetup paperSize="9" scale="28" fitToHeight="0" orientation="landscape" horizontalDpi="4294967295" verticalDpi="4294967295" r:id="rId1"/>
  <rowBreaks count="1" manualBreakCount="1">
    <brk id="33" max="1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H18" zoomScale="59" zoomScaleNormal="59" workbookViewId="0">
      <selection activeCell="V31" sqref="V31"/>
    </sheetView>
  </sheetViews>
  <sheetFormatPr defaultRowHeight="15" x14ac:dyDescent="0.25"/>
  <cols>
    <col min="2" max="2" width="24.85546875" customWidth="1"/>
    <col min="3" max="3" width="15.7109375" hidden="1" customWidth="1"/>
    <col min="4" max="4" width="18.85546875" customWidth="1"/>
    <col min="5" max="5" width="19.85546875" customWidth="1"/>
    <col min="6" max="6" width="19.5703125" bestFit="1" customWidth="1"/>
    <col min="7" max="7" width="17.5703125" customWidth="1"/>
    <col min="8" max="8" width="19.140625" customWidth="1"/>
    <col min="9" max="9" width="18.85546875" customWidth="1"/>
    <col min="10" max="10" width="16.140625" customWidth="1"/>
    <col min="11" max="11" width="13.140625" customWidth="1"/>
    <col min="12" max="12" width="16.140625" customWidth="1"/>
    <col min="13" max="13" width="20.28515625" customWidth="1"/>
    <col min="14" max="14" width="26.5703125" customWidth="1"/>
    <col min="15" max="15" width="49.28515625" customWidth="1"/>
    <col min="16" max="16" width="23" hidden="1" customWidth="1"/>
    <col min="17" max="17" width="13.5703125" customWidth="1"/>
    <col min="18" max="19" width="22.7109375" customWidth="1"/>
    <col min="20" max="20" width="26.28515625" customWidth="1"/>
  </cols>
  <sheetData>
    <row r="1" spans="1:20" ht="34.5" customHeight="1" x14ac:dyDescent="0.25">
      <c r="A1" s="40" t="s">
        <v>739</v>
      </c>
      <c r="B1" s="19" t="s">
        <v>0</v>
      </c>
      <c r="C1" s="19" t="s">
        <v>1</v>
      </c>
      <c r="D1" s="19" t="s">
        <v>2</v>
      </c>
      <c r="E1" s="19" t="s">
        <v>3</v>
      </c>
      <c r="F1" s="107" t="s">
        <v>4</v>
      </c>
      <c r="G1" s="107" t="s">
        <v>5</v>
      </c>
      <c r="H1" s="19" t="s">
        <v>6</v>
      </c>
      <c r="I1" s="40" t="s">
        <v>743</v>
      </c>
      <c r="J1" s="40" t="s">
        <v>7</v>
      </c>
      <c r="K1" s="40" t="s">
        <v>88</v>
      </c>
      <c r="L1" s="40" t="s">
        <v>741</v>
      </c>
      <c r="M1" s="105" t="s">
        <v>742</v>
      </c>
      <c r="N1" s="105" t="s">
        <v>850</v>
      </c>
      <c r="O1" s="40" t="s">
        <v>8</v>
      </c>
      <c r="P1" s="40" t="s">
        <v>10</v>
      </c>
      <c r="Q1" s="40" t="s">
        <v>9</v>
      </c>
      <c r="R1" s="40" t="s">
        <v>55</v>
      </c>
      <c r="S1" s="40" t="s">
        <v>56</v>
      </c>
      <c r="T1" s="40" t="s">
        <v>740</v>
      </c>
    </row>
    <row r="2" spans="1:20" ht="44.25" customHeight="1" x14ac:dyDescent="0.25">
      <c r="A2" s="61">
        <v>1</v>
      </c>
      <c r="B2" s="62" t="s">
        <v>229</v>
      </c>
      <c r="C2" s="61" t="s">
        <v>13</v>
      </c>
      <c r="D2" s="61" t="s">
        <v>402</v>
      </c>
      <c r="E2" s="61" t="s">
        <v>885</v>
      </c>
      <c r="F2" s="62" t="s">
        <v>229</v>
      </c>
      <c r="G2" s="62" t="s">
        <v>114</v>
      </c>
      <c r="H2" s="63" t="s">
        <v>40</v>
      </c>
      <c r="I2" s="29">
        <v>33.799999999999997</v>
      </c>
      <c r="J2" s="64">
        <v>1</v>
      </c>
      <c r="K2" s="64">
        <v>33.799999999999997</v>
      </c>
      <c r="L2" s="29">
        <v>4.9000000000000004</v>
      </c>
      <c r="M2" s="29"/>
      <c r="N2" s="29"/>
      <c r="O2" s="113" t="s">
        <v>716</v>
      </c>
      <c r="P2" s="70" t="s">
        <v>733</v>
      </c>
      <c r="Q2" s="24" t="s">
        <v>102</v>
      </c>
      <c r="R2" s="54" t="s">
        <v>74</v>
      </c>
      <c r="S2" s="29" t="s">
        <v>102</v>
      </c>
      <c r="T2" s="29" t="s">
        <v>32</v>
      </c>
    </row>
    <row r="3" spans="1:20" ht="40.5" customHeight="1" x14ac:dyDescent="0.25">
      <c r="A3" s="61">
        <v>2</v>
      </c>
      <c r="B3" s="62" t="s">
        <v>220</v>
      </c>
      <c r="C3" s="61" t="s">
        <v>13</v>
      </c>
      <c r="D3" s="61" t="s">
        <v>391</v>
      </c>
      <c r="E3" s="61" t="s">
        <v>885</v>
      </c>
      <c r="F3" s="62" t="s">
        <v>220</v>
      </c>
      <c r="G3" s="62" t="s">
        <v>587</v>
      </c>
      <c r="H3" s="63" t="s">
        <v>522</v>
      </c>
      <c r="I3" s="29">
        <v>9.15</v>
      </c>
      <c r="J3" s="64">
        <v>3</v>
      </c>
      <c r="K3" s="64">
        <v>3.1</v>
      </c>
      <c r="L3" s="29">
        <v>5.7</v>
      </c>
      <c r="M3" s="29"/>
      <c r="N3" s="29"/>
      <c r="O3" s="113" t="s">
        <v>861</v>
      </c>
      <c r="P3" s="70" t="s">
        <v>732</v>
      </c>
      <c r="Q3" s="24" t="s">
        <v>102</v>
      </c>
      <c r="R3" s="54" t="s">
        <v>74</v>
      </c>
      <c r="S3" s="29" t="s">
        <v>102</v>
      </c>
      <c r="T3" s="29" t="s">
        <v>32</v>
      </c>
    </row>
    <row r="4" spans="1:20" ht="24.75" customHeight="1" x14ac:dyDescent="0.25">
      <c r="A4" s="61">
        <v>3</v>
      </c>
      <c r="B4" s="62" t="s">
        <v>117</v>
      </c>
      <c r="C4" s="61" t="s">
        <v>13</v>
      </c>
      <c r="D4" s="27" t="s">
        <v>294</v>
      </c>
      <c r="E4" s="61" t="s">
        <v>885</v>
      </c>
      <c r="F4" s="62" t="s">
        <v>472</v>
      </c>
      <c r="G4" s="62" t="s">
        <v>473</v>
      </c>
      <c r="H4" s="63" t="s">
        <v>522</v>
      </c>
      <c r="I4" s="29">
        <v>34</v>
      </c>
      <c r="J4" s="64">
        <v>7</v>
      </c>
      <c r="K4" s="64">
        <v>4.9000000000000004</v>
      </c>
      <c r="L4" s="29">
        <v>5.4</v>
      </c>
      <c r="M4" s="29"/>
      <c r="N4" s="29"/>
      <c r="O4" s="113" t="s">
        <v>858</v>
      </c>
      <c r="P4" s="70" t="s">
        <v>731</v>
      </c>
      <c r="Q4" s="24" t="s">
        <v>102</v>
      </c>
      <c r="R4" s="54" t="s">
        <v>74</v>
      </c>
      <c r="S4" s="29" t="s">
        <v>102</v>
      </c>
      <c r="T4" s="29" t="s">
        <v>32</v>
      </c>
    </row>
    <row r="5" spans="1:20" ht="30.75" customHeight="1" x14ac:dyDescent="0.25">
      <c r="A5" s="61">
        <v>4</v>
      </c>
      <c r="B5" s="62" t="s">
        <v>121</v>
      </c>
      <c r="C5" s="61" t="s">
        <v>13</v>
      </c>
      <c r="D5" s="61" t="s">
        <v>296</v>
      </c>
      <c r="E5" s="61" t="s">
        <v>885</v>
      </c>
      <c r="F5" s="62" t="s">
        <v>121</v>
      </c>
      <c r="G5" s="62" t="s">
        <v>116</v>
      </c>
      <c r="H5" s="63" t="s">
        <v>40</v>
      </c>
      <c r="I5" s="29">
        <v>6.4</v>
      </c>
      <c r="J5" s="64">
        <v>1</v>
      </c>
      <c r="K5" s="64">
        <v>6.4</v>
      </c>
      <c r="L5" s="29">
        <v>6.9</v>
      </c>
      <c r="M5" s="29"/>
      <c r="N5" s="29"/>
      <c r="O5" s="113" t="s">
        <v>865</v>
      </c>
      <c r="P5" s="70" t="s">
        <v>731</v>
      </c>
      <c r="Q5" s="24" t="s">
        <v>102</v>
      </c>
      <c r="R5" s="54" t="s">
        <v>74</v>
      </c>
      <c r="S5" s="29" t="s">
        <v>102</v>
      </c>
      <c r="T5" s="29" t="s">
        <v>32</v>
      </c>
    </row>
    <row r="6" spans="1:20" ht="39" customHeight="1" x14ac:dyDescent="0.25">
      <c r="A6" s="61">
        <v>5</v>
      </c>
      <c r="B6" s="62" t="s">
        <v>230</v>
      </c>
      <c r="C6" s="61" t="s">
        <v>13</v>
      </c>
      <c r="D6" s="61" t="s">
        <v>404</v>
      </c>
      <c r="E6" s="61" t="s">
        <v>885</v>
      </c>
      <c r="F6" s="62" t="s">
        <v>230</v>
      </c>
      <c r="G6" s="62" t="s">
        <v>477</v>
      </c>
      <c r="H6" s="63" t="s">
        <v>851</v>
      </c>
      <c r="I6" s="29">
        <v>16.2</v>
      </c>
      <c r="J6" s="64">
        <v>2</v>
      </c>
      <c r="K6" s="64">
        <v>8.1</v>
      </c>
      <c r="L6" s="29">
        <v>4.3</v>
      </c>
      <c r="M6" s="29"/>
      <c r="N6" s="29"/>
      <c r="O6" s="113" t="s">
        <v>866</v>
      </c>
      <c r="P6" s="70" t="s">
        <v>733</v>
      </c>
      <c r="Q6" s="24" t="s">
        <v>102</v>
      </c>
      <c r="R6" s="54" t="s">
        <v>74</v>
      </c>
      <c r="S6" s="29" t="s">
        <v>102</v>
      </c>
      <c r="T6" s="29" t="s">
        <v>32</v>
      </c>
    </row>
    <row r="7" spans="1:20" ht="24" customHeight="1" x14ac:dyDescent="0.25">
      <c r="A7" s="61">
        <v>6</v>
      </c>
      <c r="B7" s="62" t="s">
        <v>124</v>
      </c>
      <c r="C7" s="61" t="s">
        <v>13</v>
      </c>
      <c r="D7" s="61" t="s">
        <v>300</v>
      </c>
      <c r="E7" s="61" t="s">
        <v>885</v>
      </c>
      <c r="F7" s="62" t="s">
        <v>230</v>
      </c>
      <c r="G7" s="62" t="s">
        <v>477</v>
      </c>
      <c r="H7" s="63" t="s">
        <v>851</v>
      </c>
      <c r="I7" s="29">
        <v>4.5</v>
      </c>
      <c r="J7" s="64">
        <v>1</v>
      </c>
      <c r="K7" s="64"/>
      <c r="L7" s="29">
        <v>4.5</v>
      </c>
      <c r="M7" s="29"/>
      <c r="N7" s="29"/>
      <c r="O7" s="113" t="s">
        <v>655</v>
      </c>
      <c r="P7" s="70" t="s">
        <v>731</v>
      </c>
      <c r="Q7" s="24" t="s">
        <v>102</v>
      </c>
      <c r="R7" s="54" t="s">
        <v>74</v>
      </c>
      <c r="S7" s="29" t="s">
        <v>102</v>
      </c>
      <c r="T7" s="29" t="s">
        <v>32</v>
      </c>
    </row>
    <row r="8" spans="1:20" ht="35.1" customHeight="1" x14ac:dyDescent="0.25">
      <c r="A8" s="61">
        <v>7</v>
      </c>
      <c r="B8" s="62" t="s">
        <v>132</v>
      </c>
      <c r="C8" s="61" t="s">
        <v>13</v>
      </c>
      <c r="D8" s="64" t="s">
        <v>310</v>
      </c>
      <c r="E8" s="61" t="s">
        <v>885</v>
      </c>
      <c r="F8" s="62" t="s">
        <v>486</v>
      </c>
      <c r="G8" s="62" t="s">
        <v>123</v>
      </c>
      <c r="H8" s="63" t="s">
        <v>851</v>
      </c>
      <c r="I8" s="29">
        <v>6</v>
      </c>
      <c r="J8" s="64">
        <v>1</v>
      </c>
      <c r="K8" s="64">
        <v>6</v>
      </c>
      <c r="L8" s="29">
        <v>6.6</v>
      </c>
      <c r="M8" s="29">
        <v>1928</v>
      </c>
      <c r="N8" s="29"/>
      <c r="O8" s="113" t="s">
        <v>867</v>
      </c>
      <c r="P8" s="70" t="s">
        <v>731</v>
      </c>
      <c r="Q8" s="24" t="s">
        <v>102</v>
      </c>
      <c r="R8" s="54" t="s">
        <v>74</v>
      </c>
      <c r="S8" s="29" t="s">
        <v>102</v>
      </c>
      <c r="T8" s="29" t="s">
        <v>32</v>
      </c>
    </row>
    <row r="9" spans="1:20" ht="35.1" customHeight="1" x14ac:dyDescent="0.25">
      <c r="A9" s="61">
        <v>8</v>
      </c>
      <c r="B9" s="62" t="s">
        <v>135</v>
      </c>
      <c r="C9" s="61" t="s">
        <v>13</v>
      </c>
      <c r="D9" s="61" t="s">
        <v>314</v>
      </c>
      <c r="E9" s="61" t="s">
        <v>885</v>
      </c>
      <c r="F9" s="62" t="s">
        <v>135</v>
      </c>
      <c r="G9" s="62" t="s">
        <v>16</v>
      </c>
      <c r="H9" s="63" t="s">
        <v>851</v>
      </c>
      <c r="I9" s="29">
        <v>7.3</v>
      </c>
      <c r="J9" s="64">
        <v>1</v>
      </c>
      <c r="K9" s="64">
        <v>7.3</v>
      </c>
      <c r="L9" s="29">
        <v>7</v>
      </c>
      <c r="M9" s="29">
        <v>1928</v>
      </c>
      <c r="N9" s="29"/>
      <c r="O9" s="113" t="s">
        <v>666</v>
      </c>
      <c r="P9" s="70" t="s">
        <v>731</v>
      </c>
      <c r="Q9" s="24" t="s">
        <v>102</v>
      </c>
      <c r="R9" s="54" t="s">
        <v>74</v>
      </c>
      <c r="S9" s="29" t="s">
        <v>102</v>
      </c>
      <c r="T9" s="29" t="s">
        <v>32</v>
      </c>
    </row>
    <row r="10" spans="1:20" ht="35.1" customHeight="1" x14ac:dyDescent="0.25">
      <c r="A10" s="61">
        <v>9</v>
      </c>
      <c r="B10" s="66" t="s">
        <v>231</v>
      </c>
      <c r="C10" s="67" t="s">
        <v>13</v>
      </c>
      <c r="D10" s="67" t="s">
        <v>405</v>
      </c>
      <c r="E10" s="68" t="s">
        <v>14</v>
      </c>
      <c r="F10" s="66" t="s">
        <v>231</v>
      </c>
      <c r="G10" s="66" t="s">
        <v>232</v>
      </c>
      <c r="H10" s="69" t="s">
        <v>522</v>
      </c>
      <c r="I10" s="30">
        <v>17.350000000000001</v>
      </c>
      <c r="J10" s="67">
        <v>3</v>
      </c>
      <c r="K10" s="67">
        <v>6.2</v>
      </c>
      <c r="L10" s="30">
        <v>3.25</v>
      </c>
      <c r="M10" s="30">
        <v>1980</v>
      </c>
      <c r="N10" s="30"/>
      <c r="O10" s="114" t="s">
        <v>870</v>
      </c>
      <c r="P10" s="53" t="s">
        <v>733</v>
      </c>
      <c r="Q10" s="24" t="s">
        <v>102</v>
      </c>
      <c r="R10" s="54" t="s">
        <v>74</v>
      </c>
      <c r="S10" s="29" t="s">
        <v>102</v>
      </c>
      <c r="T10" s="29" t="s">
        <v>32</v>
      </c>
    </row>
    <row r="11" spans="1:20" ht="35.1" customHeight="1" x14ac:dyDescent="0.25">
      <c r="A11" s="61">
        <v>10</v>
      </c>
      <c r="B11" s="66" t="s">
        <v>232</v>
      </c>
      <c r="C11" s="67" t="s">
        <v>13</v>
      </c>
      <c r="D11" s="67" t="s">
        <v>406</v>
      </c>
      <c r="E11" s="68" t="s">
        <v>14</v>
      </c>
      <c r="F11" s="66" t="s">
        <v>232</v>
      </c>
      <c r="G11" s="66" t="s">
        <v>591</v>
      </c>
      <c r="H11" s="69" t="s">
        <v>522</v>
      </c>
      <c r="I11" s="30">
        <v>16.899999999999999</v>
      </c>
      <c r="J11" s="67">
        <v>3</v>
      </c>
      <c r="K11" s="67">
        <v>6.2</v>
      </c>
      <c r="L11" s="30">
        <v>3.55</v>
      </c>
      <c r="M11" s="30">
        <v>1952</v>
      </c>
      <c r="N11" s="30"/>
      <c r="O11" s="114" t="s">
        <v>859</v>
      </c>
      <c r="P11" s="53" t="s">
        <v>733</v>
      </c>
      <c r="Q11" s="24" t="s">
        <v>102</v>
      </c>
      <c r="R11" s="54" t="s">
        <v>74</v>
      </c>
      <c r="S11" s="29" t="s">
        <v>102</v>
      </c>
      <c r="T11" s="29" t="s">
        <v>32</v>
      </c>
    </row>
    <row r="12" spans="1:20" ht="35.1" customHeight="1" x14ac:dyDescent="0.25">
      <c r="A12" s="61">
        <v>11</v>
      </c>
      <c r="B12" s="66" t="s">
        <v>103</v>
      </c>
      <c r="C12" s="67" t="s">
        <v>13</v>
      </c>
      <c r="D12" s="67" t="s">
        <v>279</v>
      </c>
      <c r="E12" s="68" t="s">
        <v>14</v>
      </c>
      <c r="F12" s="66" t="s">
        <v>103</v>
      </c>
      <c r="G12" s="66" t="s">
        <v>457</v>
      </c>
      <c r="H12" s="69" t="s">
        <v>40</v>
      </c>
      <c r="I12" s="30">
        <v>18.5</v>
      </c>
      <c r="J12" s="67">
        <v>2</v>
      </c>
      <c r="K12" s="67">
        <v>9.5500000000000007</v>
      </c>
      <c r="L12" s="30">
        <v>5.2</v>
      </c>
      <c r="M12" s="29"/>
      <c r="N12" s="29"/>
      <c r="O12" s="113" t="s">
        <v>752</v>
      </c>
      <c r="P12" s="70" t="s">
        <v>753</v>
      </c>
      <c r="Q12" s="24" t="s">
        <v>102</v>
      </c>
      <c r="R12" s="54" t="s">
        <v>74</v>
      </c>
      <c r="S12" s="29" t="s">
        <v>102</v>
      </c>
      <c r="T12" s="29" t="s">
        <v>32</v>
      </c>
    </row>
    <row r="13" spans="1:20" ht="35.1" customHeight="1" x14ac:dyDescent="0.25">
      <c r="A13" s="61">
        <v>12</v>
      </c>
      <c r="B13" s="66" t="s">
        <v>104</v>
      </c>
      <c r="C13" s="67" t="s">
        <v>13</v>
      </c>
      <c r="D13" s="67" t="s">
        <v>280</v>
      </c>
      <c r="E13" s="68" t="s">
        <v>14</v>
      </c>
      <c r="F13" s="66" t="s">
        <v>458</v>
      </c>
      <c r="G13" s="66" t="s">
        <v>459</v>
      </c>
      <c r="H13" s="69" t="s">
        <v>40</v>
      </c>
      <c r="I13" s="30">
        <v>12.4</v>
      </c>
      <c r="J13" s="67">
        <v>1</v>
      </c>
      <c r="K13" s="67">
        <v>12.4</v>
      </c>
      <c r="L13" s="30">
        <v>5.13</v>
      </c>
      <c r="M13" s="29"/>
      <c r="N13" s="29"/>
      <c r="O13" s="113" t="s">
        <v>638</v>
      </c>
      <c r="P13" s="70" t="s">
        <v>753</v>
      </c>
      <c r="Q13" s="24" t="s">
        <v>102</v>
      </c>
      <c r="R13" s="54" t="s">
        <v>74</v>
      </c>
      <c r="S13" s="29" t="s">
        <v>102</v>
      </c>
      <c r="T13" s="29" t="s">
        <v>32</v>
      </c>
    </row>
    <row r="14" spans="1:20" ht="35.1" customHeight="1" x14ac:dyDescent="0.25">
      <c r="A14" s="61">
        <v>13</v>
      </c>
      <c r="B14" s="66" t="s">
        <v>106</v>
      </c>
      <c r="C14" s="67" t="s">
        <v>13</v>
      </c>
      <c r="D14" s="67" t="s">
        <v>282</v>
      </c>
      <c r="E14" s="68" t="s">
        <v>14</v>
      </c>
      <c r="F14" s="66" t="s">
        <v>461</v>
      </c>
      <c r="G14" s="66" t="s">
        <v>34</v>
      </c>
      <c r="H14" s="69" t="s">
        <v>851</v>
      </c>
      <c r="I14" s="30">
        <v>18.5</v>
      </c>
      <c r="J14" s="67">
        <v>2</v>
      </c>
      <c r="K14" s="67">
        <v>9.25</v>
      </c>
      <c r="L14" s="30">
        <v>6.03</v>
      </c>
      <c r="M14" s="29"/>
      <c r="N14" s="29"/>
      <c r="O14" s="113" t="s">
        <v>640</v>
      </c>
      <c r="P14" s="70" t="s">
        <v>753</v>
      </c>
      <c r="Q14" s="24" t="s">
        <v>102</v>
      </c>
      <c r="R14" s="54" t="s">
        <v>74</v>
      </c>
      <c r="S14" s="29" t="s">
        <v>102</v>
      </c>
      <c r="T14" s="29" t="s">
        <v>32</v>
      </c>
    </row>
    <row r="15" spans="1:20" ht="35.1" customHeight="1" x14ac:dyDescent="0.25">
      <c r="A15" s="61">
        <v>14</v>
      </c>
      <c r="B15" s="66" t="s">
        <v>52</v>
      </c>
      <c r="C15" s="67" t="s">
        <v>13</v>
      </c>
      <c r="D15" s="67" t="s">
        <v>284</v>
      </c>
      <c r="E15" s="68" t="s">
        <v>14</v>
      </c>
      <c r="F15" s="66" t="s">
        <v>464</v>
      </c>
      <c r="G15" s="66" t="s">
        <v>465</v>
      </c>
      <c r="H15" s="69" t="s">
        <v>853</v>
      </c>
      <c r="I15" s="30">
        <v>83</v>
      </c>
      <c r="J15" s="67">
        <v>4</v>
      </c>
      <c r="K15" s="67">
        <v>27.5</v>
      </c>
      <c r="L15" s="30">
        <v>6</v>
      </c>
      <c r="M15" s="30"/>
      <c r="N15" s="30"/>
      <c r="O15" s="113" t="s">
        <v>641</v>
      </c>
      <c r="P15" s="70" t="s">
        <v>753</v>
      </c>
      <c r="Q15" s="24" t="s">
        <v>102</v>
      </c>
      <c r="R15" s="54" t="s">
        <v>74</v>
      </c>
      <c r="S15" s="29" t="s">
        <v>102</v>
      </c>
      <c r="T15" s="29" t="s">
        <v>32</v>
      </c>
    </row>
    <row r="16" spans="1:20" ht="35.1" customHeight="1" x14ac:dyDescent="0.25">
      <c r="A16" s="61">
        <v>15</v>
      </c>
      <c r="B16" s="66" t="s">
        <v>108</v>
      </c>
      <c r="C16" s="67" t="s">
        <v>13</v>
      </c>
      <c r="D16" s="67" t="s">
        <v>285</v>
      </c>
      <c r="E16" s="68" t="s">
        <v>14</v>
      </c>
      <c r="F16" s="66" t="s">
        <v>187</v>
      </c>
      <c r="G16" s="66" t="s">
        <v>466</v>
      </c>
      <c r="H16" s="69" t="s">
        <v>40</v>
      </c>
      <c r="I16" s="30">
        <v>27.8</v>
      </c>
      <c r="J16" s="67">
        <v>1</v>
      </c>
      <c r="K16" s="67">
        <v>27.8</v>
      </c>
      <c r="L16" s="30">
        <v>6.5</v>
      </c>
      <c r="M16" s="29"/>
      <c r="N16" s="29"/>
      <c r="O16" s="113" t="s">
        <v>642</v>
      </c>
      <c r="P16" s="70" t="s">
        <v>753</v>
      </c>
      <c r="Q16" s="24" t="s">
        <v>102</v>
      </c>
      <c r="R16" s="54" t="s">
        <v>74</v>
      </c>
      <c r="S16" s="29" t="s">
        <v>102</v>
      </c>
      <c r="T16" s="29" t="s">
        <v>32</v>
      </c>
    </row>
    <row r="17" spans="1:20" ht="35.1" customHeight="1" x14ac:dyDescent="0.25">
      <c r="A17" s="61">
        <v>16</v>
      </c>
      <c r="B17" s="66" t="s">
        <v>52</v>
      </c>
      <c r="C17" s="67" t="s">
        <v>13</v>
      </c>
      <c r="D17" s="67" t="s">
        <v>328</v>
      </c>
      <c r="E17" s="68" t="s">
        <v>14</v>
      </c>
      <c r="F17" s="66" t="s">
        <v>504</v>
      </c>
      <c r="G17" s="66" t="s">
        <v>505</v>
      </c>
      <c r="H17" s="69" t="s">
        <v>522</v>
      </c>
      <c r="I17" s="30">
        <v>56.9</v>
      </c>
      <c r="J17" s="67">
        <v>5</v>
      </c>
      <c r="K17" s="67">
        <v>12.45</v>
      </c>
      <c r="L17" s="30">
        <v>5.95</v>
      </c>
      <c r="M17" s="29"/>
      <c r="N17" s="29"/>
      <c r="O17" s="113" t="s">
        <v>862</v>
      </c>
      <c r="P17" s="70" t="s">
        <v>731</v>
      </c>
      <c r="Q17" s="24" t="s">
        <v>102</v>
      </c>
      <c r="R17" s="54" t="s">
        <v>74</v>
      </c>
      <c r="S17" s="29" t="s">
        <v>102</v>
      </c>
      <c r="T17" s="29" t="s">
        <v>32</v>
      </c>
    </row>
    <row r="18" spans="1:20" ht="35.1" customHeight="1" x14ac:dyDescent="0.25">
      <c r="A18" s="61">
        <v>17</v>
      </c>
      <c r="B18" s="66" t="s">
        <v>109</v>
      </c>
      <c r="C18" s="67" t="s">
        <v>13</v>
      </c>
      <c r="D18" s="67" t="s">
        <v>286</v>
      </c>
      <c r="E18" s="68" t="s">
        <v>14</v>
      </c>
      <c r="F18" s="66" t="s">
        <v>109</v>
      </c>
      <c r="G18" s="66" t="s">
        <v>139</v>
      </c>
      <c r="H18" s="69" t="s">
        <v>40</v>
      </c>
      <c r="I18" s="30">
        <v>31</v>
      </c>
      <c r="J18" s="67">
        <v>1</v>
      </c>
      <c r="K18" s="67">
        <v>31</v>
      </c>
      <c r="L18" s="30">
        <v>6.53</v>
      </c>
      <c r="M18" s="30">
        <v>1997</v>
      </c>
      <c r="N18" s="30"/>
      <c r="O18" s="113" t="s">
        <v>643</v>
      </c>
      <c r="P18" s="70" t="s">
        <v>753</v>
      </c>
      <c r="Q18" s="24" t="s">
        <v>857</v>
      </c>
      <c r="R18" s="54" t="s">
        <v>74</v>
      </c>
      <c r="S18" s="29" t="s">
        <v>102</v>
      </c>
      <c r="T18" s="29" t="s">
        <v>32</v>
      </c>
    </row>
    <row r="19" spans="1:20" ht="35.1" customHeight="1" x14ac:dyDescent="0.25">
      <c r="A19" s="61">
        <v>18</v>
      </c>
      <c r="B19" s="66" t="s">
        <v>151</v>
      </c>
      <c r="C19" s="67" t="s">
        <v>13</v>
      </c>
      <c r="D19" s="68" t="s">
        <v>334</v>
      </c>
      <c r="E19" s="68" t="s">
        <v>14</v>
      </c>
      <c r="F19" s="66" t="s">
        <v>43</v>
      </c>
      <c r="G19" s="66" t="s">
        <v>512</v>
      </c>
      <c r="H19" s="69" t="s">
        <v>522</v>
      </c>
      <c r="I19" s="30">
        <v>50</v>
      </c>
      <c r="J19" s="67">
        <v>1</v>
      </c>
      <c r="K19" s="67">
        <v>20</v>
      </c>
      <c r="L19" s="30">
        <v>6.7</v>
      </c>
      <c r="M19" s="30"/>
      <c r="N19" s="30"/>
      <c r="O19" s="113" t="s">
        <v>875</v>
      </c>
      <c r="P19" s="70" t="s">
        <v>731</v>
      </c>
      <c r="Q19" s="24" t="s">
        <v>102</v>
      </c>
      <c r="R19" s="54" t="s">
        <v>74</v>
      </c>
      <c r="S19" s="29" t="s">
        <v>102</v>
      </c>
      <c r="T19" s="29" t="s">
        <v>32</v>
      </c>
    </row>
    <row r="20" spans="1:20" ht="27.75" customHeight="1" x14ac:dyDescent="0.25">
      <c r="A20" s="61">
        <v>19</v>
      </c>
      <c r="B20" s="62" t="s">
        <v>227</v>
      </c>
      <c r="C20" s="61" t="s">
        <v>13</v>
      </c>
      <c r="D20" s="61" t="s">
        <v>399</v>
      </c>
      <c r="E20" s="61" t="s">
        <v>42</v>
      </c>
      <c r="F20" s="62" t="s">
        <v>227</v>
      </c>
      <c r="G20" s="62" t="s">
        <v>548</v>
      </c>
      <c r="H20" s="63" t="s">
        <v>522</v>
      </c>
      <c r="I20" s="29">
        <v>17</v>
      </c>
      <c r="J20" s="64">
        <v>2</v>
      </c>
      <c r="K20" s="64">
        <v>8.3000000000000007</v>
      </c>
      <c r="L20" s="29">
        <v>6.9</v>
      </c>
      <c r="M20" s="29"/>
      <c r="N20" s="29"/>
      <c r="O20" s="113" t="s">
        <v>878</v>
      </c>
      <c r="P20" s="70" t="s">
        <v>732</v>
      </c>
      <c r="Q20" s="24" t="s">
        <v>102</v>
      </c>
      <c r="R20" s="54" t="s">
        <v>74</v>
      </c>
      <c r="S20" s="29" t="s">
        <v>102</v>
      </c>
      <c r="T20" s="29" t="s">
        <v>32</v>
      </c>
    </row>
    <row r="21" spans="1:20" ht="35.1" customHeight="1" x14ac:dyDescent="0.25">
      <c r="A21" s="61">
        <v>20</v>
      </c>
      <c r="B21" s="62" t="s">
        <v>277</v>
      </c>
      <c r="C21" s="61" t="s">
        <v>13</v>
      </c>
      <c r="D21" s="64" t="s">
        <v>369</v>
      </c>
      <c r="E21" s="61" t="s">
        <v>42</v>
      </c>
      <c r="F21" s="62" t="s">
        <v>186</v>
      </c>
      <c r="G21" s="62" t="s">
        <v>527</v>
      </c>
      <c r="H21" s="63" t="s">
        <v>854</v>
      </c>
      <c r="I21" s="29">
        <v>21.3</v>
      </c>
      <c r="J21" s="64">
        <v>2</v>
      </c>
      <c r="K21" s="64">
        <v>10.199999999999999</v>
      </c>
      <c r="L21" s="29">
        <v>6.8</v>
      </c>
      <c r="M21" s="29"/>
      <c r="N21" s="29"/>
      <c r="O21" s="113" t="s">
        <v>728</v>
      </c>
      <c r="P21" s="70" t="s">
        <v>734</v>
      </c>
      <c r="Q21" s="24" t="s">
        <v>102</v>
      </c>
      <c r="R21" s="54" t="s">
        <v>74</v>
      </c>
      <c r="S21" s="29" t="s">
        <v>102</v>
      </c>
      <c r="T21" s="29" t="s">
        <v>32</v>
      </c>
    </row>
    <row r="22" spans="1:20" ht="35.1" customHeight="1" x14ac:dyDescent="0.25">
      <c r="A22" s="61">
        <v>21</v>
      </c>
      <c r="B22" s="62" t="s">
        <v>163</v>
      </c>
      <c r="C22" s="61" t="s">
        <v>13</v>
      </c>
      <c r="D22" s="61" t="s">
        <v>347</v>
      </c>
      <c r="E22" s="61" t="s">
        <v>42</v>
      </c>
      <c r="F22" s="62" t="s">
        <v>186</v>
      </c>
      <c r="G22" s="62" t="s">
        <v>527</v>
      </c>
      <c r="H22" s="63" t="s">
        <v>854</v>
      </c>
      <c r="I22" s="29">
        <v>21.5</v>
      </c>
      <c r="J22" s="64">
        <v>2</v>
      </c>
      <c r="K22" s="64">
        <v>10.5</v>
      </c>
      <c r="L22" s="29">
        <v>6.75</v>
      </c>
      <c r="M22" s="29"/>
      <c r="N22" s="29"/>
      <c r="O22" s="113" t="s">
        <v>688</v>
      </c>
      <c r="P22" s="70" t="s">
        <v>731</v>
      </c>
      <c r="Q22" s="24" t="s">
        <v>102</v>
      </c>
      <c r="R22" s="54" t="s">
        <v>74</v>
      </c>
      <c r="S22" s="29" t="s">
        <v>102</v>
      </c>
      <c r="T22" s="29" t="s">
        <v>32</v>
      </c>
    </row>
    <row r="23" spans="1:20" ht="35.1" customHeight="1" x14ac:dyDescent="0.25">
      <c r="A23" s="61">
        <v>22</v>
      </c>
      <c r="B23" s="62" t="s">
        <v>278</v>
      </c>
      <c r="C23" s="61" t="s">
        <v>13</v>
      </c>
      <c r="D23" s="61" t="s">
        <v>456</v>
      </c>
      <c r="E23" s="61" t="s">
        <v>42</v>
      </c>
      <c r="F23" s="62" t="s">
        <v>530</v>
      </c>
      <c r="G23" s="62" t="s">
        <v>525</v>
      </c>
      <c r="H23" s="63" t="s">
        <v>854</v>
      </c>
      <c r="I23" s="29">
        <v>64</v>
      </c>
      <c r="J23" s="64">
        <v>4</v>
      </c>
      <c r="K23" s="64"/>
      <c r="L23" s="29">
        <v>7.1</v>
      </c>
      <c r="M23" s="29"/>
      <c r="N23" s="29"/>
      <c r="O23" s="113" t="s">
        <v>729</v>
      </c>
      <c r="P23" s="70" t="s">
        <v>734</v>
      </c>
      <c r="Q23" s="24" t="s">
        <v>102</v>
      </c>
      <c r="R23" s="54" t="s">
        <v>74</v>
      </c>
      <c r="S23" s="29" t="s">
        <v>102</v>
      </c>
      <c r="T23" s="29" t="s">
        <v>32</v>
      </c>
    </row>
    <row r="24" spans="1:20" ht="33" customHeight="1" x14ac:dyDescent="0.25">
      <c r="A24" s="61">
        <v>23</v>
      </c>
      <c r="B24" s="62" t="s">
        <v>165</v>
      </c>
      <c r="C24" s="61" t="s">
        <v>13</v>
      </c>
      <c r="D24" s="61" t="s">
        <v>349</v>
      </c>
      <c r="E24" s="61" t="s">
        <v>42</v>
      </c>
      <c r="F24" s="62" t="s">
        <v>530</v>
      </c>
      <c r="G24" s="62" t="s">
        <v>525</v>
      </c>
      <c r="H24" s="63" t="s">
        <v>522</v>
      </c>
      <c r="I24" s="29">
        <v>14</v>
      </c>
      <c r="J24" s="64">
        <v>2</v>
      </c>
      <c r="K24" s="64"/>
      <c r="L24" s="29">
        <v>7.2</v>
      </c>
      <c r="M24" s="30"/>
      <c r="N24" s="30"/>
      <c r="O24" s="113" t="s">
        <v>881</v>
      </c>
      <c r="P24" s="70" t="s">
        <v>731</v>
      </c>
      <c r="Q24" s="24" t="s">
        <v>102</v>
      </c>
      <c r="R24" s="54" t="s">
        <v>74</v>
      </c>
      <c r="S24" s="29" t="s">
        <v>102</v>
      </c>
      <c r="T24" s="29" t="s">
        <v>32</v>
      </c>
    </row>
    <row r="25" spans="1:20" ht="30.75" customHeight="1" x14ac:dyDescent="0.25">
      <c r="A25" s="61">
        <v>24</v>
      </c>
      <c r="B25" s="62" t="s">
        <v>111</v>
      </c>
      <c r="C25" s="61" t="s">
        <v>13</v>
      </c>
      <c r="D25" s="61" t="s">
        <v>288</v>
      </c>
      <c r="E25" s="61" t="s">
        <v>42</v>
      </c>
      <c r="F25" s="62" t="s">
        <v>111</v>
      </c>
      <c r="G25" s="62" t="s">
        <v>469</v>
      </c>
      <c r="H25" s="63" t="s">
        <v>40</v>
      </c>
      <c r="I25" s="29">
        <v>36.5</v>
      </c>
      <c r="J25" s="64">
        <v>1</v>
      </c>
      <c r="K25" s="64">
        <v>36.5</v>
      </c>
      <c r="L25" s="29">
        <v>4.75</v>
      </c>
      <c r="M25" s="30"/>
      <c r="N25" s="30"/>
      <c r="O25" s="113" t="s">
        <v>645</v>
      </c>
      <c r="P25" s="70" t="s">
        <v>753</v>
      </c>
      <c r="Q25" s="24" t="s">
        <v>102</v>
      </c>
      <c r="R25" s="54" t="s">
        <v>74</v>
      </c>
      <c r="S25" s="29" t="s">
        <v>102</v>
      </c>
      <c r="T25" s="29" t="s">
        <v>32</v>
      </c>
    </row>
    <row r="26" spans="1:20" ht="42.75" customHeight="1" x14ac:dyDescent="0.25">
      <c r="A26" s="61">
        <v>25</v>
      </c>
      <c r="B26" s="70" t="s">
        <v>175</v>
      </c>
      <c r="C26" s="64" t="s">
        <v>13</v>
      </c>
      <c r="D26" s="64" t="s">
        <v>354</v>
      </c>
      <c r="E26" s="64" t="s">
        <v>42</v>
      </c>
      <c r="F26" s="70" t="s">
        <v>544</v>
      </c>
      <c r="G26" s="70" t="s">
        <v>545</v>
      </c>
      <c r="H26" s="64" t="s">
        <v>40</v>
      </c>
      <c r="I26" s="64">
        <v>61</v>
      </c>
      <c r="J26" s="61">
        <v>3</v>
      </c>
      <c r="K26" s="61">
        <v>20.5</v>
      </c>
      <c r="L26" s="61">
        <v>3.9</v>
      </c>
      <c r="M26" s="22">
        <v>1964</v>
      </c>
      <c r="N26" s="22"/>
      <c r="O26" s="115" t="s">
        <v>692</v>
      </c>
      <c r="P26" s="70" t="s">
        <v>731</v>
      </c>
      <c r="Q26" s="24" t="s">
        <v>102</v>
      </c>
      <c r="R26" s="54" t="s">
        <v>74</v>
      </c>
      <c r="S26" s="29" t="s">
        <v>102</v>
      </c>
      <c r="T26" s="29" t="s">
        <v>32</v>
      </c>
    </row>
    <row r="27" spans="1:20" ht="35.1" customHeight="1" x14ac:dyDescent="0.25">
      <c r="A27" s="61">
        <v>26</v>
      </c>
      <c r="B27" s="23" t="s">
        <v>180</v>
      </c>
      <c r="C27" s="29"/>
      <c r="D27" s="29" t="s">
        <v>358</v>
      </c>
      <c r="E27" s="22" t="s">
        <v>17</v>
      </c>
      <c r="F27" s="23" t="s">
        <v>180</v>
      </c>
      <c r="G27" s="23" t="s">
        <v>552</v>
      </c>
      <c r="H27" s="29" t="s">
        <v>522</v>
      </c>
      <c r="I27" s="29">
        <v>18.600000000000001</v>
      </c>
      <c r="J27" s="29">
        <v>1</v>
      </c>
      <c r="K27" s="29">
        <v>6.6</v>
      </c>
      <c r="L27" s="29">
        <v>7</v>
      </c>
      <c r="M27" s="30"/>
      <c r="N27" s="30"/>
      <c r="O27" s="117" t="s">
        <v>41</v>
      </c>
      <c r="P27" s="23" t="s">
        <v>731</v>
      </c>
      <c r="Q27" s="24" t="s">
        <v>102</v>
      </c>
      <c r="R27" s="54" t="s">
        <v>74</v>
      </c>
      <c r="S27" s="29" t="s">
        <v>102</v>
      </c>
      <c r="T27" s="29" t="s">
        <v>32</v>
      </c>
    </row>
    <row r="28" spans="1:20" ht="35.1" customHeight="1" x14ac:dyDescent="0.25">
      <c r="A28" s="61">
        <v>27</v>
      </c>
      <c r="B28" s="23" t="s">
        <v>18</v>
      </c>
      <c r="C28" s="29"/>
      <c r="D28" s="29" t="s">
        <v>454</v>
      </c>
      <c r="E28" s="22" t="s">
        <v>17</v>
      </c>
      <c r="F28" s="23"/>
      <c r="G28" s="23"/>
      <c r="H28" s="29" t="s">
        <v>851</v>
      </c>
      <c r="I28" s="29">
        <v>32.700000000000003</v>
      </c>
      <c r="J28" s="29">
        <v>1</v>
      </c>
      <c r="K28" s="29">
        <v>32.700000000000003</v>
      </c>
      <c r="L28" s="29">
        <v>2.78</v>
      </c>
      <c r="M28" s="29"/>
      <c r="N28" s="29"/>
      <c r="O28" s="117" t="s">
        <v>726</v>
      </c>
      <c r="P28" s="23" t="s">
        <v>730</v>
      </c>
      <c r="Q28" s="24"/>
      <c r="R28" s="54" t="s">
        <v>74</v>
      </c>
      <c r="S28" s="29" t="s">
        <v>102</v>
      </c>
      <c r="T28" s="29" t="s">
        <v>32</v>
      </c>
    </row>
    <row r="29" spans="1:20" ht="35.1" customHeight="1" x14ac:dyDescent="0.25">
      <c r="A29" s="61">
        <v>28</v>
      </c>
      <c r="B29" s="23" t="s">
        <v>758</v>
      </c>
      <c r="C29" s="29" t="s">
        <v>13</v>
      </c>
      <c r="D29" s="29" t="s">
        <v>395</v>
      </c>
      <c r="E29" s="22" t="s">
        <v>17</v>
      </c>
      <c r="F29" s="23" t="s">
        <v>223</v>
      </c>
      <c r="G29" s="23" t="s">
        <v>590</v>
      </c>
      <c r="H29" s="29" t="s">
        <v>522</v>
      </c>
      <c r="I29" s="4">
        <v>20</v>
      </c>
      <c r="J29" s="29">
        <v>2</v>
      </c>
      <c r="K29" s="29"/>
      <c r="L29" s="4">
        <v>6.5</v>
      </c>
      <c r="M29" s="29"/>
      <c r="N29" s="29"/>
      <c r="O29" s="117" t="s">
        <v>21</v>
      </c>
      <c r="P29" s="23" t="s">
        <v>730</v>
      </c>
      <c r="Q29" s="24"/>
      <c r="R29" s="54" t="s">
        <v>74</v>
      </c>
      <c r="S29" s="29"/>
      <c r="T29" s="29"/>
    </row>
    <row r="30" spans="1:20" ht="35.1" customHeight="1" x14ac:dyDescent="0.25">
      <c r="A30" s="61">
        <v>29</v>
      </c>
      <c r="B30" s="23" t="s">
        <v>182</v>
      </c>
      <c r="C30" s="29"/>
      <c r="D30" s="29" t="s">
        <v>360</v>
      </c>
      <c r="E30" s="22" t="s">
        <v>17</v>
      </c>
      <c r="F30" s="23"/>
      <c r="G30" s="23"/>
      <c r="H30" s="29" t="s">
        <v>522</v>
      </c>
      <c r="I30" s="29">
        <v>12.4</v>
      </c>
      <c r="J30" s="29">
        <v>3</v>
      </c>
      <c r="K30" s="29">
        <v>4.95</v>
      </c>
      <c r="L30" s="29">
        <v>6.8</v>
      </c>
      <c r="M30" s="30"/>
      <c r="N30" s="30"/>
      <c r="O30" s="118" t="s">
        <v>693</v>
      </c>
      <c r="P30" s="23" t="s">
        <v>731</v>
      </c>
      <c r="Q30" s="24" t="s">
        <v>102</v>
      </c>
      <c r="R30" s="54" t="s">
        <v>74</v>
      </c>
      <c r="S30" s="29" t="s">
        <v>102</v>
      </c>
      <c r="T30" s="29" t="s">
        <v>32</v>
      </c>
    </row>
    <row r="31" spans="1:20" ht="35.1" customHeight="1" x14ac:dyDescent="0.25">
      <c r="A31" s="61">
        <v>30</v>
      </c>
      <c r="B31" s="23" t="s">
        <v>235</v>
      </c>
      <c r="C31" s="29" t="s">
        <v>13</v>
      </c>
      <c r="D31" s="29" t="s">
        <v>374</v>
      </c>
      <c r="E31" s="22" t="s">
        <v>29</v>
      </c>
      <c r="F31" s="23" t="s">
        <v>566</v>
      </c>
      <c r="G31" s="23" t="s">
        <v>596</v>
      </c>
      <c r="H31" s="29" t="s">
        <v>15</v>
      </c>
      <c r="I31" s="4">
        <v>30.6</v>
      </c>
      <c r="J31" s="29">
        <v>1</v>
      </c>
      <c r="K31" s="29"/>
      <c r="L31" s="4">
        <v>6.03</v>
      </c>
      <c r="M31" s="30"/>
      <c r="N31" s="30"/>
      <c r="O31" s="118" t="s">
        <v>717</v>
      </c>
      <c r="P31" s="23" t="s">
        <v>733</v>
      </c>
      <c r="Q31" s="24" t="s">
        <v>102</v>
      </c>
      <c r="R31" s="54" t="s">
        <v>74</v>
      </c>
      <c r="S31" s="29" t="s">
        <v>102</v>
      </c>
      <c r="T31" s="29" t="s">
        <v>32</v>
      </c>
    </row>
    <row r="32" spans="1:20" ht="35.1" customHeight="1" x14ac:dyDescent="0.25">
      <c r="A32" s="61">
        <v>31</v>
      </c>
      <c r="B32" s="23" t="s">
        <v>236</v>
      </c>
      <c r="C32" s="29" t="s">
        <v>13</v>
      </c>
      <c r="D32" s="29" t="s">
        <v>409</v>
      </c>
      <c r="E32" s="22" t="s">
        <v>29</v>
      </c>
      <c r="F32" s="23" t="s">
        <v>597</v>
      </c>
      <c r="G32" s="23" t="s">
        <v>598</v>
      </c>
      <c r="H32" s="29" t="s">
        <v>522</v>
      </c>
      <c r="I32" s="29">
        <v>36.799999999999997</v>
      </c>
      <c r="J32" s="29">
        <v>6</v>
      </c>
      <c r="K32" s="29">
        <v>5.2</v>
      </c>
      <c r="L32" s="29">
        <v>5.8</v>
      </c>
      <c r="M32" s="29"/>
      <c r="N32" s="29"/>
      <c r="O32" s="118" t="s">
        <v>882</v>
      </c>
      <c r="P32" s="23" t="s">
        <v>733</v>
      </c>
      <c r="Q32" s="24" t="s">
        <v>102</v>
      </c>
      <c r="R32" s="54" t="s">
        <v>74</v>
      </c>
      <c r="S32" s="29" t="s">
        <v>102</v>
      </c>
      <c r="T32" s="29" t="s">
        <v>32</v>
      </c>
    </row>
    <row r="33" spans="1:20" ht="35.1" customHeight="1" x14ac:dyDescent="0.25">
      <c r="A33" s="61">
        <v>32</v>
      </c>
      <c r="B33" s="23" t="s">
        <v>237</v>
      </c>
      <c r="C33" s="29" t="s">
        <v>13</v>
      </c>
      <c r="D33" s="29" t="s">
        <v>410</v>
      </c>
      <c r="E33" s="22" t="s">
        <v>29</v>
      </c>
      <c r="F33" s="23" t="s">
        <v>599</v>
      </c>
      <c r="G33" s="23" t="s">
        <v>600</v>
      </c>
      <c r="H33" s="29" t="s">
        <v>522</v>
      </c>
      <c r="I33" s="29">
        <v>14.5</v>
      </c>
      <c r="J33" s="29">
        <v>3</v>
      </c>
      <c r="K33" s="29">
        <v>4.3</v>
      </c>
      <c r="L33" s="29">
        <v>6.2</v>
      </c>
      <c r="M33" s="29"/>
      <c r="N33" s="29"/>
      <c r="O33" s="118" t="s">
        <v>883</v>
      </c>
      <c r="P33" s="23" t="s">
        <v>733</v>
      </c>
      <c r="Q33" s="24" t="s">
        <v>102</v>
      </c>
      <c r="R33" s="54" t="s">
        <v>74</v>
      </c>
      <c r="S33" s="29" t="s">
        <v>102</v>
      </c>
      <c r="T33" s="29" t="s">
        <v>32</v>
      </c>
    </row>
    <row r="34" spans="1:20" ht="35.1" customHeight="1" x14ac:dyDescent="0.25">
      <c r="A34" s="61">
        <v>33</v>
      </c>
      <c r="B34" s="35" t="s">
        <v>268</v>
      </c>
      <c r="C34" s="29"/>
      <c r="D34" s="29" t="s">
        <v>448</v>
      </c>
      <c r="E34" s="22" t="s">
        <v>24</v>
      </c>
      <c r="F34" s="35" t="s">
        <v>268</v>
      </c>
      <c r="G34" s="35" t="s">
        <v>28</v>
      </c>
      <c r="H34" s="30" t="s">
        <v>15</v>
      </c>
      <c r="I34" s="4">
        <v>25.4</v>
      </c>
      <c r="J34" s="29">
        <v>1</v>
      </c>
      <c r="K34" s="29">
        <v>25.4</v>
      </c>
      <c r="L34" s="26">
        <v>5.6</v>
      </c>
      <c r="M34" s="29"/>
      <c r="N34" s="29"/>
      <c r="O34" s="116" t="s">
        <v>723</v>
      </c>
      <c r="P34" s="53" t="s">
        <v>733</v>
      </c>
      <c r="Q34" s="24" t="s">
        <v>102</v>
      </c>
      <c r="R34" s="54" t="s">
        <v>74</v>
      </c>
      <c r="S34" s="29" t="s">
        <v>102</v>
      </c>
      <c r="T34" s="29" t="s">
        <v>32</v>
      </c>
    </row>
    <row r="35" spans="1:20" ht="35.1" customHeight="1" x14ac:dyDescent="0.25">
      <c r="A35" s="61">
        <v>34</v>
      </c>
      <c r="B35" s="71" t="s">
        <v>238</v>
      </c>
      <c r="C35" s="64"/>
      <c r="D35" s="64" t="s">
        <v>411</v>
      </c>
      <c r="E35" s="61" t="s">
        <v>24</v>
      </c>
      <c r="F35" s="71" t="s">
        <v>25</v>
      </c>
      <c r="G35" s="71" t="s">
        <v>26</v>
      </c>
      <c r="H35" s="72" t="s">
        <v>40</v>
      </c>
      <c r="I35" s="72">
        <v>30.5</v>
      </c>
      <c r="J35" s="64">
        <v>1</v>
      </c>
      <c r="K35" s="64">
        <v>30.5</v>
      </c>
      <c r="L35" s="72">
        <v>4.0999999999999996</v>
      </c>
      <c r="M35" s="29"/>
      <c r="N35" s="29"/>
      <c r="O35" s="119" t="s">
        <v>718</v>
      </c>
      <c r="P35" s="70" t="s">
        <v>733</v>
      </c>
      <c r="Q35" s="24" t="s">
        <v>102</v>
      </c>
      <c r="R35" s="54" t="s">
        <v>74</v>
      </c>
      <c r="S35" s="29" t="s">
        <v>102</v>
      </c>
      <c r="T35" s="29" t="s">
        <v>32</v>
      </c>
    </row>
    <row r="36" spans="1:20" ht="35.1" customHeight="1" x14ac:dyDescent="0.25">
      <c r="A36" s="61">
        <v>35</v>
      </c>
      <c r="B36" s="71" t="s">
        <v>243</v>
      </c>
      <c r="C36" s="64" t="s">
        <v>13</v>
      </c>
      <c r="D36" s="64" t="s">
        <v>416</v>
      </c>
      <c r="E36" s="61" t="s">
        <v>50</v>
      </c>
      <c r="F36" s="71" t="s">
        <v>243</v>
      </c>
      <c r="G36" s="71" t="s">
        <v>607</v>
      </c>
      <c r="H36" s="72" t="s">
        <v>522</v>
      </c>
      <c r="I36" s="72">
        <v>28.7</v>
      </c>
      <c r="J36" s="64">
        <v>6</v>
      </c>
      <c r="K36" s="64"/>
      <c r="L36" s="72">
        <v>3.65</v>
      </c>
      <c r="M36" s="29"/>
      <c r="N36" s="29"/>
      <c r="O36" s="119" t="s">
        <v>719</v>
      </c>
      <c r="P36" s="70" t="s">
        <v>733</v>
      </c>
      <c r="Q36" s="46" t="s">
        <v>102</v>
      </c>
      <c r="R36" s="54" t="s">
        <v>74</v>
      </c>
      <c r="S36" s="46" t="s">
        <v>102</v>
      </c>
      <c r="T36" s="46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Sheet1</vt:lpstr>
      <vt:lpstr>VENN DIAGRAM</vt:lpstr>
      <vt:lpstr>YEAR BUILT</vt:lpstr>
      <vt:lpstr>TEMPORARY VS PERMANENT</vt:lpstr>
      <vt:lpstr>LENGTH OF BRIDGES</vt:lpstr>
      <vt:lpstr>MAXIMUM SPAN</vt:lpstr>
      <vt:lpstr>ADT</vt:lpstr>
      <vt:lpstr>Sheet1 (2)</vt:lpstr>
      <vt:lpstr>POOR BRIDGES</vt:lpstr>
      <vt:lpstr>Sheet1!Print_Area</vt:lpstr>
      <vt:lpstr>'Sheet1 (2)'!Print_Area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Annang</dc:creator>
  <cp:lastModifiedBy>Raphael Natsui</cp:lastModifiedBy>
  <cp:lastPrinted>2018-11-26T19:01:14Z</cp:lastPrinted>
  <dcterms:created xsi:type="dcterms:W3CDTF">2018-04-10T15:02:12Z</dcterms:created>
  <dcterms:modified xsi:type="dcterms:W3CDTF">2021-03-03T15:33:57Z</dcterms:modified>
</cp:coreProperties>
</file>