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WINDOWS-10\Desktop\project outside compile\forage\aig\actuary\"/>
    </mc:Choice>
  </mc:AlternateContent>
  <xr:revisionPtr revIDLastSave="0" documentId="13_ncr:1_{5C5E0AD2-44CD-4D78-BBEE-5BF00B3AF395}" xr6:coauthVersionLast="47" xr6:coauthVersionMax="47" xr10:uidLastSave="{00000000-0000-0000-0000-000000000000}"/>
  <bookViews>
    <workbookView xWindow="9015" yWindow="3510" windowWidth="13575" windowHeight="13095" firstSheet="2" activeTab="3" xr2:uid="{DBE5CE84-00A1-1C47-A184-6FDC23602198}"/>
  </bookViews>
  <sheets>
    <sheet name="Claims Data" sheetId="1" r:id="rId1"/>
    <sheet name="Exploratory Template" sheetId="10" r:id="rId2"/>
    <sheet name="Pure Premium Work" sheetId="2" r:id="rId3"/>
    <sheet name="Report" sheetId="14" r:id="rId4"/>
    <sheet name="Report instruction" sheetId="9" r:id="rId5"/>
  </sheets>
  <definedNames>
    <definedName name="_xlnm._FilterDatabase" localSheetId="0" hidden="1">'Claims Data'!$A$1:$S$101</definedName>
    <definedName name="_xlnm._FilterDatabase" localSheetId="2" hidden="1">'Pure Premium Work'!$N$49:$N$55</definedName>
    <definedName name="_xlchart.v1.0" hidden="1">'Claims Data'!$F$1</definedName>
    <definedName name="_xlchart.v1.1" hidden="1">'Claims Data'!$F$2:$F$101</definedName>
    <definedName name="_xlchart.v1.2" hidden="1">'Claims Data'!$F$1</definedName>
    <definedName name="_xlchart.v1.3" hidden="1">'Claims Data'!$F$2:$F$101</definedName>
  </definedNames>
  <calcPr calcId="191029"/>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H66" i="2" l="1"/>
  <c r="H65" i="2"/>
  <c r="H64" i="2"/>
  <c r="G58" i="2"/>
  <c r="G52" i="2"/>
  <c r="B47" i="2"/>
  <c r="B39" i="2"/>
  <c r="H42" i="2"/>
  <c r="H41" i="2"/>
  <c r="I32" i="2"/>
  <c r="I33" i="2"/>
  <c r="I34" i="2"/>
  <c r="I35" i="2"/>
  <c r="I36" i="2"/>
  <c r="J31" i="2"/>
  <c r="I31" i="2"/>
  <c r="H36" i="2"/>
  <c r="J36" i="2" s="1"/>
  <c r="H35" i="2"/>
  <c r="J34" i="2"/>
  <c r="H34" i="2"/>
  <c r="J33" i="2"/>
  <c r="H33" i="2"/>
  <c r="H32" i="2"/>
  <c r="H31" i="2"/>
  <c r="H67" i="2" l="1"/>
  <c r="J32" i="2"/>
  <c r="J35" i="2"/>
  <c r="J6" i="2"/>
  <c r="J7" i="2"/>
  <c r="J8" i="2"/>
  <c r="J9" i="2"/>
  <c r="J10" i="2"/>
  <c r="I6" i="2"/>
  <c r="I7" i="2"/>
  <c r="I8" i="2"/>
  <c r="I9" i="2"/>
  <c r="I10" i="2"/>
  <c r="I5" i="2"/>
  <c r="J5" i="2" s="1"/>
  <c r="H10" i="2"/>
  <c r="H9" i="2"/>
  <c r="H8" i="2"/>
  <c r="H7" i="2"/>
  <c r="H6" i="2"/>
  <c r="G6" i="2"/>
  <c r="G7" i="2" s="1"/>
  <c r="G8" i="2" s="1"/>
  <c r="G9" i="2" s="1"/>
  <c r="G10" i="2" s="1"/>
  <c r="J21" i="2"/>
  <c r="J22" i="2"/>
  <c r="J23" i="2"/>
  <c r="J24" i="2"/>
  <c r="J25" i="2"/>
  <c r="J26" i="2"/>
  <c r="J20" i="2"/>
  <c r="F24" i="10"/>
  <c r="F25" i="10"/>
  <c r="F27" i="10"/>
  <c r="F26" i="10"/>
  <c r="F23" i="10"/>
  <c r="F22" i="10"/>
  <c r="F21" i="10"/>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 r="C13" i="10" l="1"/>
  <c r="B16" i="2" l="1"/>
  <c r="B17" i="2" s="1"/>
  <c r="B18" i="2" s="1"/>
  <c r="B19" i="2" s="1"/>
  <c r="B20" i="2" s="1"/>
  <c r="C15" i="2"/>
  <c r="H5" i="2" s="1"/>
  <c r="S19" i="1" l="1"/>
  <c r="E10" i="2"/>
  <c r="E9" i="2" s="1"/>
  <c r="S3" i="1" l="1"/>
  <c r="S4" i="1"/>
  <c r="S5" i="1"/>
  <c r="S6" i="1"/>
  <c r="S7" i="1"/>
  <c r="S8" i="1"/>
  <c r="S9" i="1"/>
  <c r="S10" i="1"/>
  <c r="S11" i="1"/>
  <c r="S12" i="1"/>
  <c r="S13" i="1"/>
  <c r="S14" i="1"/>
  <c r="S15" i="1"/>
  <c r="S16" i="1"/>
  <c r="S17" i="1"/>
  <c r="S18"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E8" i="2"/>
  <c r="N2" i="1"/>
  <c r="O2" i="1" s="1"/>
  <c r="P2" i="1" s="1"/>
  <c r="Q2" i="1" s="1"/>
  <c r="N3" i="1"/>
  <c r="O3" i="1" s="1"/>
  <c r="P3" i="1" s="1"/>
  <c r="Q3" i="1" s="1"/>
  <c r="N4" i="1"/>
  <c r="O4" i="1" s="1"/>
  <c r="P4" i="1" s="1"/>
  <c r="Q4" i="1" s="1"/>
  <c r="N5" i="1"/>
  <c r="O5" i="1" s="1"/>
  <c r="P5" i="1" s="1"/>
  <c r="Q5" i="1" s="1"/>
  <c r="N6" i="1"/>
  <c r="O6" i="1" s="1"/>
  <c r="P6" i="1" s="1"/>
  <c r="Q6" i="1" s="1"/>
  <c r="N7" i="1"/>
  <c r="O7" i="1" s="1"/>
  <c r="P7" i="1" s="1"/>
  <c r="Q7" i="1" s="1"/>
  <c r="N8" i="1"/>
  <c r="O8" i="1" s="1"/>
  <c r="P8" i="1" s="1"/>
  <c r="Q8" i="1" s="1"/>
  <c r="N9" i="1"/>
  <c r="O9" i="1" s="1"/>
  <c r="P9" i="1" s="1"/>
  <c r="Q9" i="1" s="1"/>
  <c r="N10" i="1"/>
  <c r="O10" i="1" s="1"/>
  <c r="P10" i="1" s="1"/>
  <c r="Q10" i="1" s="1"/>
  <c r="N11" i="1"/>
  <c r="O11" i="1" s="1"/>
  <c r="P11" i="1" s="1"/>
  <c r="Q11" i="1" s="1"/>
  <c r="N12" i="1"/>
  <c r="O12" i="1" s="1"/>
  <c r="P12" i="1" s="1"/>
  <c r="Q12" i="1" s="1"/>
  <c r="N13" i="1"/>
  <c r="O13" i="1" s="1"/>
  <c r="P13" i="1" s="1"/>
  <c r="Q13" i="1" s="1"/>
  <c r="N14" i="1"/>
  <c r="O14" i="1" s="1"/>
  <c r="P14" i="1" s="1"/>
  <c r="Q14" i="1" s="1"/>
  <c r="N15" i="1"/>
  <c r="O15" i="1" s="1"/>
  <c r="P15" i="1" s="1"/>
  <c r="Q15" i="1" s="1"/>
  <c r="N16" i="1"/>
  <c r="O16" i="1" s="1"/>
  <c r="P16" i="1" s="1"/>
  <c r="Q16" i="1" s="1"/>
  <c r="N17" i="1"/>
  <c r="O17" i="1" s="1"/>
  <c r="P17" i="1" s="1"/>
  <c r="Q17" i="1" s="1"/>
  <c r="N18" i="1"/>
  <c r="O18" i="1" s="1"/>
  <c r="P18" i="1" s="1"/>
  <c r="Q18" i="1" s="1"/>
  <c r="N19" i="1"/>
  <c r="O19" i="1" s="1"/>
  <c r="P19" i="1" s="1"/>
  <c r="Q19" i="1" s="1"/>
  <c r="N20" i="1"/>
  <c r="O20" i="1" s="1"/>
  <c r="P20" i="1" s="1"/>
  <c r="Q20" i="1" s="1"/>
  <c r="N21" i="1"/>
  <c r="O21" i="1" s="1"/>
  <c r="P21" i="1" s="1"/>
  <c r="Q21" i="1" s="1"/>
  <c r="N22" i="1"/>
  <c r="O22" i="1" s="1"/>
  <c r="P22" i="1" s="1"/>
  <c r="Q22" i="1" s="1"/>
  <c r="N23" i="1"/>
  <c r="O23" i="1" s="1"/>
  <c r="P23" i="1" s="1"/>
  <c r="Q23" i="1" s="1"/>
  <c r="N24" i="1"/>
  <c r="O24" i="1" s="1"/>
  <c r="P24" i="1" s="1"/>
  <c r="Q24" i="1" s="1"/>
  <c r="N25" i="1"/>
  <c r="O25" i="1" s="1"/>
  <c r="P25" i="1" s="1"/>
  <c r="Q25" i="1" s="1"/>
  <c r="N26" i="1"/>
  <c r="O26" i="1" s="1"/>
  <c r="P26" i="1" s="1"/>
  <c r="Q26" i="1" s="1"/>
  <c r="N27" i="1"/>
  <c r="O27" i="1" s="1"/>
  <c r="P27" i="1" s="1"/>
  <c r="Q27" i="1" s="1"/>
  <c r="N28" i="1"/>
  <c r="O28" i="1" s="1"/>
  <c r="P28" i="1" s="1"/>
  <c r="Q28" i="1" s="1"/>
  <c r="N29" i="1"/>
  <c r="O29" i="1" s="1"/>
  <c r="P29" i="1" s="1"/>
  <c r="Q29" i="1" s="1"/>
  <c r="N30" i="1"/>
  <c r="O30" i="1" s="1"/>
  <c r="P30" i="1" s="1"/>
  <c r="Q30" i="1" s="1"/>
  <c r="N31" i="1"/>
  <c r="O31" i="1" s="1"/>
  <c r="P31" i="1" s="1"/>
  <c r="Q31" i="1" s="1"/>
  <c r="N32" i="1"/>
  <c r="O32" i="1" s="1"/>
  <c r="P32" i="1" s="1"/>
  <c r="Q32" i="1" s="1"/>
  <c r="N33" i="1"/>
  <c r="O33" i="1" s="1"/>
  <c r="P33" i="1" s="1"/>
  <c r="Q33" i="1" s="1"/>
  <c r="N34" i="1"/>
  <c r="O34" i="1" s="1"/>
  <c r="P34" i="1" s="1"/>
  <c r="Q34" i="1" s="1"/>
  <c r="N35" i="1"/>
  <c r="O35" i="1" s="1"/>
  <c r="P35" i="1" s="1"/>
  <c r="Q35" i="1" s="1"/>
  <c r="N36" i="1"/>
  <c r="O36" i="1" s="1"/>
  <c r="P36" i="1" s="1"/>
  <c r="Q36" i="1" s="1"/>
  <c r="N37" i="1"/>
  <c r="O37" i="1" s="1"/>
  <c r="P37" i="1" s="1"/>
  <c r="Q37" i="1" s="1"/>
  <c r="N38" i="1"/>
  <c r="O38" i="1" s="1"/>
  <c r="P38" i="1" s="1"/>
  <c r="Q38" i="1" s="1"/>
  <c r="N39" i="1"/>
  <c r="O39" i="1" s="1"/>
  <c r="P39" i="1" s="1"/>
  <c r="Q39" i="1" s="1"/>
  <c r="N40" i="1"/>
  <c r="O40" i="1" s="1"/>
  <c r="P40" i="1" s="1"/>
  <c r="Q40" i="1" s="1"/>
  <c r="N41" i="1"/>
  <c r="O41" i="1" s="1"/>
  <c r="P41" i="1" s="1"/>
  <c r="Q41" i="1" s="1"/>
  <c r="N42" i="1"/>
  <c r="O42" i="1" s="1"/>
  <c r="P42" i="1" s="1"/>
  <c r="Q42" i="1" s="1"/>
  <c r="N43" i="1"/>
  <c r="O43" i="1" s="1"/>
  <c r="P43" i="1" s="1"/>
  <c r="Q43" i="1" s="1"/>
  <c r="N44" i="1"/>
  <c r="O44" i="1" s="1"/>
  <c r="P44" i="1" s="1"/>
  <c r="Q44" i="1" s="1"/>
  <c r="N45" i="1"/>
  <c r="O45" i="1" s="1"/>
  <c r="P45" i="1" s="1"/>
  <c r="Q45" i="1" s="1"/>
  <c r="N46" i="1"/>
  <c r="O46" i="1" s="1"/>
  <c r="P46" i="1" s="1"/>
  <c r="Q46" i="1" s="1"/>
  <c r="N47" i="1"/>
  <c r="O47" i="1" s="1"/>
  <c r="P47" i="1" s="1"/>
  <c r="Q47" i="1" s="1"/>
  <c r="N48" i="1"/>
  <c r="O48" i="1" s="1"/>
  <c r="P48" i="1" s="1"/>
  <c r="Q48" i="1" s="1"/>
  <c r="N49" i="1"/>
  <c r="O49" i="1" s="1"/>
  <c r="P49" i="1" s="1"/>
  <c r="Q49" i="1" s="1"/>
  <c r="N50" i="1"/>
  <c r="O50" i="1" s="1"/>
  <c r="P50" i="1" s="1"/>
  <c r="Q50" i="1" s="1"/>
  <c r="N51" i="1"/>
  <c r="O51" i="1" s="1"/>
  <c r="P51" i="1" s="1"/>
  <c r="Q51" i="1" s="1"/>
  <c r="N52" i="1"/>
  <c r="O52" i="1" s="1"/>
  <c r="P52" i="1" s="1"/>
  <c r="Q52" i="1" s="1"/>
  <c r="N53" i="1"/>
  <c r="O53" i="1" s="1"/>
  <c r="P53" i="1" s="1"/>
  <c r="Q53" i="1" s="1"/>
  <c r="N54" i="1"/>
  <c r="O54" i="1" s="1"/>
  <c r="P54" i="1" s="1"/>
  <c r="Q54" i="1" s="1"/>
  <c r="N55" i="1"/>
  <c r="O55" i="1" s="1"/>
  <c r="P55" i="1" s="1"/>
  <c r="Q55" i="1" s="1"/>
  <c r="N56" i="1"/>
  <c r="O56" i="1" s="1"/>
  <c r="P56" i="1" s="1"/>
  <c r="Q56" i="1" s="1"/>
  <c r="N57" i="1"/>
  <c r="O57" i="1" s="1"/>
  <c r="P57" i="1" s="1"/>
  <c r="Q57" i="1" s="1"/>
  <c r="N58" i="1"/>
  <c r="O58" i="1" s="1"/>
  <c r="P58" i="1" s="1"/>
  <c r="Q58" i="1" s="1"/>
  <c r="N59" i="1"/>
  <c r="O59" i="1" s="1"/>
  <c r="P59" i="1" s="1"/>
  <c r="Q59" i="1" s="1"/>
  <c r="N60" i="1"/>
  <c r="O60" i="1" s="1"/>
  <c r="P60" i="1" s="1"/>
  <c r="Q60" i="1" s="1"/>
  <c r="N61" i="1"/>
  <c r="O61" i="1" s="1"/>
  <c r="P61" i="1" s="1"/>
  <c r="Q61" i="1" s="1"/>
  <c r="N62" i="1"/>
  <c r="O62" i="1" s="1"/>
  <c r="P62" i="1" s="1"/>
  <c r="Q62" i="1" s="1"/>
  <c r="N63" i="1"/>
  <c r="O63" i="1" s="1"/>
  <c r="P63" i="1" s="1"/>
  <c r="Q63" i="1" s="1"/>
  <c r="N64" i="1"/>
  <c r="O64" i="1" s="1"/>
  <c r="P64" i="1" s="1"/>
  <c r="Q64" i="1" s="1"/>
  <c r="N65" i="1"/>
  <c r="O65" i="1" s="1"/>
  <c r="P65" i="1" s="1"/>
  <c r="Q65" i="1" s="1"/>
  <c r="N66" i="1"/>
  <c r="O66" i="1" s="1"/>
  <c r="P66" i="1" s="1"/>
  <c r="Q66" i="1" s="1"/>
  <c r="N67" i="1"/>
  <c r="O67" i="1" s="1"/>
  <c r="P67" i="1" s="1"/>
  <c r="Q67" i="1" s="1"/>
  <c r="N68" i="1"/>
  <c r="O68" i="1" s="1"/>
  <c r="P68" i="1" s="1"/>
  <c r="Q68" i="1" s="1"/>
  <c r="N69" i="1"/>
  <c r="O69" i="1" s="1"/>
  <c r="P69" i="1" s="1"/>
  <c r="Q69" i="1" s="1"/>
  <c r="N70" i="1"/>
  <c r="O70" i="1" s="1"/>
  <c r="P70" i="1" s="1"/>
  <c r="Q70" i="1" s="1"/>
  <c r="N71" i="1"/>
  <c r="O71" i="1" s="1"/>
  <c r="P71" i="1" s="1"/>
  <c r="Q71" i="1" s="1"/>
  <c r="N72" i="1"/>
  <c r="O72" i="1" s="1"/>
  <c r="P72" i="1" s="1"/>
  <c r="Q72" i="1" s="1"/>
  <c r="N73" i="1"/>
  <c r="O73" i="1" s="1"/>
  <c r="P73" i="1" s="1"/>
  <c r="Q73" i="1" s="1"/>
  <c r="N74" i="1"/>
  <c r="O74" i="1" s="1"/>
  <c r="P74" i="1" s="1"/>
  <c r="Q74" i="1" s="1"/>
  <c r="N75" i="1"/>
  <c r="O75" i="1" s="1"/>
  <c r="P75" i="1" s="1"/>
  <c r="Q75" i="1" s="1"/>
  <c r="N76" i="1"/>
  <c r="O76" i="1" s="1"/>
  <c r="P76" i="1" s="1"/>
  <c r="Q76" i="1" s="1"/>
  <c r="N77" i="1"/>
  <c r="O77" i="1" s="1"/>
  <c r="P77" i="1" s="1"/>
  <c r="Q77" i="1" s="1"/>
  <c r="N78" i="1"/>
  <c r="O78" i="1" s="1"/>
  <c r="P78" i="1" s="1"/>
  <c r="Q78" i="1" s="1"/>
  <c r="N79" i="1"/>
  <c r="O79" i="1" s="1"/>
  <c r="P79" i="1" s="1"/>
  <c r="Q79" i="1" s="1"/>
  <c r="N80" i="1"/>
  <c r="O80" i="1" s="1"/>
  <c r="P80" i="1" s="1"/>
  <c r="Q80" i="1" s="1"/>
  <c r="N81" i="1"/>
  <c r="O81" i="1" s="1"/>
  <c r="P81" i="1" s="1"/>
  <c r="Q81" i="1" s="1"/>
  <c r="N82" i="1"/>
  <c r="O82" i="1" s="1"/>
  <c r="P82" i="1" s="1"/>
  <c r="Q82" i="1" s="1"/>
  <c r="N83" i="1"/>
  <c r="O83" i="1" s="1"/>
  <c r="P83" i="1" s="1"/>
  <c r="Q83" i="1" s="1"/>
  <c r="N84" i="1"/>
  <c r="O84" i="1" s="1"/>
  <c r="P84" i="1" s="1"/>
  <c r="Q84" i="1" s="1"/>
  <c r="N85" i="1"/>
  <c r="O85" i="1" s="1"/>
  <c r="P85" i="1" s="1"/>
  <c r="Q85" i="1" s="1"/>
  <c r="N86" i="1"/>
  <c r="O86" i="1" s="1"/>
  <c r="P86" i="1" s="1"/>
  <c r="Q86" i="1" s="1"/>
  <c r="N87" i="1"/>
  <c r="O87" i="1" s="1"/>
  <c r="P87" i="1" s="1"/>
  <c r="Q87" i="1" s="1"/>
  <c r="N88" i="1"/>
  <c r="O88" i="1" s="1"/>
  <c r="P88" i="1" s="1"/>
  <c r="Q88" i="1" s="1"/>
  <c r="N89" i="1"/>
  <c r="O89" i="1" s="1"/>
  <c r="P89" i="1" s="1"/>
  <c r="Q89" i="1" s="1"/>
  <c r="N90" i="1"/>
  <c r="O90" i="1" s="1"/>
  <c r="P90" i="1" s="1"/>
  <c r="Q90" i="1" s="1"/>
  <c r="N91" i="1"/>
  <c r="O91" i="1" s="1"/>
  <c r="P91" i="1" s="1"/>
  <c r="Q91" i="1" s="1"/>
  <c r="N92" i="1"/>
  <c r="O92" i="1" s="1"/>
  <c r="P92" i="1" s="1"/>
  <c r="Q92" i="1" s="1"/>
  <c r="N93" i="1"/>
  <c r="O93" i="1" s="1"/>
  <c r="P93" i="1" s="1"/>
  <c r="Q93" i="1" s="1"/>
  <c r="N94" i="1"/>
  <c r="O94" i="1" s="1"/>
  <c r="P94" i="1" s="1"/>
  <c r="Q94" i="1" s="1"/>
  <c r="N95" i="1"/>
  <c r="O95" i="1" s="1"/>
  <c r="P95" i="1" s="1"/>
  <c r="Q95" i="1" s="1"/>
  <c r="N96" i="1"/>
  <c r="O96" i="1" s="1"/>
  <c r="P96" i="1" s="1"/>
  <c r="Q96" i="1" s="1"/>
  <c r="N97" i="1"/>
  <c r="O97" i="1" s="1"/>
  <c r="P97" i="1" s="1"/>
  <c r="Q97" i="1" s="1"/>
  <c r="N98" i="1"/>
  <c r="O98" i="1" s="1"/>
  <c r="P98" i="1" s="1"/>
  <c r="Q98" i="1" s="1"/>
  <c r="N99" i="1"/>
  <c r="O99" i="1" s="1"/>
  <c r="P99" i="1" s="1"/>
  <c r="Q99" i="1" s="1"/>
  <c r="N100" i="1"/>
  <c r="O100" i="1" s="1"/>
  <c r="P100" i="1" s="1"/>
  <c r="Q100" i="1" s="1"/>
  <c r="N101" i="1"/>
  <c r="O101" i="1" s="1"/>
  <c r="P101" i="1" s="1"/>
  <c r="Q101" i="1" s="1"/>
  <c r="R4" i="1" l="1"/>
  <c r="C16" i="10"/>
  <c r="R2" i="1"/>
  <c r="E7" i="2"/>
  <c r="E6" i="2" s="1"/>
  <c r="E5" i="2" s="1"/>
  <c r="L2" i="1"/>
  <c r="R5" i="1"/>
  <c r="R7" i="1"/>
  <c r="R10" i="1"/>
  <c r="R12" i="1"/>
  <c r="R13" i="1"/>
  <c r="R14" i="1"/>
  <c r="R15" i="1"/>
  <c r="R16" i="1"/>
  <c r="R17" i="1"/>
  <c r="R22" i="1"/>
  <c r="R24" i="1"/>
  <c r="R25" i="1"/>
  <c r="R26" i="1"/>
  <c r="R27" i="1"/>
  <c r="R28" i="1"/>
  <c r="R29" i="1"/>
  <c r="R34" i="1"/>
  <c r="R36" i="1"/>
  <c r="R37" i="1"/>
  <c r="R38" i="1"/>
  <c r="R39" i="1"/>
  <c r="R40" i="1"/>
  <c r="R41" i="1"/>
  <c r="R46" i="1"/>
  <c r="R48" i="1"/>
  <c r="R49" i="1"/>
  <c r="R50" i="1"/>
  <c r="R51" i="1"/>
  <c r="R52" i="1"/>
  <c r="R53" i="1"/>
  <c r="R58" i="1"/>
  <c r="R60" i="1"/>
  <c r="R61" i="1"/>
  <c r="R62" i="1"/>
  <c r="R63" i="1"/>
  <c r="R65" i="1"/>
  <c r="R70" i="1"/>
  <c r="R72" i="1"/>
  <c r="R73" i="1"/>
  <c r="R74" i="1"/>
  <c r="R75" i="1"/>
  <c r="R76" i="1"/>
  <c r="R77" i="1"/>
  <c r="R82" i="1"/>
  <c r="R84" i="1"/>
  <c r="R85" i="1"/>
  <c r="R86" i="1"/>
  <c r="R87" i="1"/>
  <c r="R89" i="1"/>
  <c r="R94" i="1"/>
  <c r="R96" i="1"/>
  <c r="R98" i="1"/>
  <c r="R99" i="1"/>
  <c r="R101"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R3" i="1" l="1"/>
  <c r="R90" i="1"/>
  <c r="R78" i="1"/>
  <c r="R66" i="1"/>
  <c r="R54" i="1"/>
  <c r="R42" i="1"/>
  <c r="R30" i="1"/>
  <c r="R18" i="1"/>
  <c r="R6" i="1"/>
  <c r="R92" i="1"/>
  <c r="R80" i="1"/>
  <c r="R68" i="1"/>
  <c r="R56" i="1"/>
  <c r="R44" i="1"/>
  <c r="R32" i="1"/>
  <c r="R20" i="1"/>
  <c r="R8" i="1"/>
  <c r="R91" i="1"/>
  <c r="R79" i="1"/>
  <c r="R67" i="1"/>
  <c r="R55" i="1"/>
  <c r="R43" i="1"/>
  <c r="R31" i="1"/>
  <c r="R19" i="1"/>
  <c r="R100" i="1"/>
  <c r="R88" i="1"/>
  <c r="R64" i="1"/>
  <c r="R97" i="1"/>
  <c r="R95" i="1"/>
  <c r="R83" i="1"/>
  <c r="R71" i="1"/>
  <c r="R59" i="1"/>
  <c r="R47" i="1"/>
  <c r="R35" i="1"/>
  <c r="R23" i="1"/>
  <c r="R11" i="1"/>
  <c r="R93" i="1"/>
  <c r="R81" i="1"/>
  <c r="R69" i="1"/>
  <c r="R57" i="1"/>
  <c r="R45" i="1"/>
  <c r="R33" i="1"/>
  <c r="R21" i="1"/>
  <c r="R9" i="1"/>
</calcChain>
</file>

<file path=xl/sharedStrings.xml><?xml version="1.0" encoding="utf-8"?>
<sst xmlns="http://schemas.openxmlformats.org/spreadsheetml/2006/main" count="807" uniqueCount="250">
  <si>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</si>
  <si>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</si>
  <si>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</si>
  <si>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</si>
  <si>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</si>
  <si>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</si>
  <si>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</si>
  <si>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</si>
  <si>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</si>
  <si>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</si>
  <si>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</si>
  <si>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</si>
  <si>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</si>
  <si>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</si>
  <si>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</si>
  <si>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</si>
  <si>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</si>
  <si>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</si>
  <si>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</si>
  <si>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</si>
  <si>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</si>
  <si>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</si>
  <si>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</si>
  <si>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</si>
  <si>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</si>
  <si>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</si>
  <si>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</si>
  <si>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</si>
  <si>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</si>
  <si>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</si>
  <si>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</si>
  <si>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</si>
  <si>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</si>
  <si>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</si>
  <si>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</si>
  <si>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</si>
  <si>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</si>
  <si>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</si>
  <si>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</si>
  <si>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</si>
  <si>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</si>
  <si>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</si>
  <si>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</si>
  <si>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</si>
  <si>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</si>
  <si>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</si>
  <si>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</si>
  <si>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</si>
  <si>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</si>
  <si>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</si>
  <si>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</si>
  <si>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</si>
  <si>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</si>
  <si>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</si>
  <si>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</si>
  <si>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</si>
  <si>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</si>
  <si>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</si>
  <si>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</si>
  <si>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</si>
  <si>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</si>
  <si>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</si>
  <si>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</si>
  <si>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</si>
  <si>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</si>
  <si>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</si>
  <si>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</si>
  <si>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</si>
  <si>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</si>
  <si>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</si>
  <si>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</si>
  <si>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</si>
  <si>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</si>
  <si>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</si>
  <si>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</si>
  <si>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</si>
  <si>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</si>
  <si>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</si>
  <si>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</si>
  <si>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</si>
  <si>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</si>
  <si>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</si>
  <si>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</si>
  <si>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</si>
  <si>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</si>
  <si>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</si>
  <si>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</si>
  <si>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</si>
  <si>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</si>
  <si>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</si>
  <si>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</si>
  <si>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</si>
  <si>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</si>
  <si>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</si>
  <si>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</si>
  <si>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</si>
  <si>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</si>
  <si>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</si>
  <si>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</si>
  <si>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</si>
  <si>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</si>
  <si>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</si>
  <si>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</si>
  <si>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</si>
  <si>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</si>
  <si>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</si>
  <si>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</si>
  <si>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</si>
  <si>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</si>
  <si>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</si>
  <si>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</si>
  <si>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</si>
  <si>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</si>
  <si>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</si>
  <si>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</si>
  <si>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</si>
  <si>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</si>
  <si>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</si>
  <si>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</si>
  <si>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</si>
  <si>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</si>
  <si>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</si>
  <si>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</si>
  <si>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</si>
  <si>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</si>
  <si>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</si>
  <si>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</si>
  <si>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</si>
  <si>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</si>
  <si>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</si>
  <si>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</si>
  <si>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</si>
  <si>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</si>
  <si>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</si>
  <si>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</si>
  <si>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</si>
  <si>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</si>
  <si>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</si>
  <si>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</si>
  <si>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</si>
  <si>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</si>
  <si>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</si>
  <si>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</si>
  <si>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</si>
  <si>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</si>
  <si>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</si>
  <si>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</si>
  <si>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</si>
  <si>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</si>
  <si>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</si>
  <si>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</si>
  <si>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</si>
  <si>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</si>
  <si>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</si>
  <si>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Average Claim Amount (Adjusted for Inflation)</t>
  </si>
  <si>
    <t>Average Claim Amount by Year (Adjusted for Inflation)</t>
  </si>
  <si>
    <t>Claim Type Summary</t>
  </si>
  <si>
    <t>Sum of Adjusted Settlement Amount</t>
  </si>
  <si>
    <t>Large Loss Event</t>
  </si>
  <si>
    <t>Return Period</t>
  </si>
  <si>
    <t>Large Loss Loading</t>
  </si>
  <si>
    <t>Sensitivity Analysis</t>
  </si>
  <si>
    <t>Gross Tonnage</t>
  </si>
  <si>
    <t>Claim Incurred ($)</t>
  </si>
  <si>
    <t>Total Risk Premium: Pure Premium with Large Loss Loading for Environmental Pollution Claims</t>
  </si>
  <si>
    <t>Total Risk Premium=Pure Premium+Large Loss Loading</t>
  </si>
  <si>
    <t>Final Premium</t>
  </si>
  <si>
    <t>Final Premium=Total Risk Premium×(1+Expense Loading)×(1+Profit Margin)</t>
  </si>
  <si>
    <t>2024 expected gross tonnage</t>
  </si>
  <si>
    <t>1.03 (3% expected over year)</t>
  </si>
  <si>
    <t>Year</t>
  </si>
  <si>
    <t>No of claims</t>
  </si>
  <si>
    <t>Average frequency per unit exposure</t>
  </si>
  <si>
    <t>Average severity per claim</t>
  </si>
  <si>
    <t>Loss cost</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</si>
  <si>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</si>
  <si>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</si>
  <si>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</si>
  <si>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</si>
  <si>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</si>
  <si>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</si>
  <si>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</si>
  <si>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Average Gross Claim Amount</t>
  </si>
  <si>
    <t>Add some useful charts</t>
  </si>
  <si>
    <t>Find the Final Premium. Assume a 10% profit margin and 30% expense loading</t>
  </si>
  <si>
    <t>Gross claim amount (HINT: Gross claim amount = Claim incurred + deductible)</t>
  </si>
  <si>
    <t>Gross inflation adjusted claim (HINT: Gross inflation adjusted claim = gross claim * inflation index)</t>
  </si>
  <si>
    <t>Net inflation adjusted claim  (HINT: Net inflation adjusted claim = Gross inflation adjusted claim - deductible)</t>
  </si>
  <si>
    <t>Capped net adjusted incurred claim (HINT: Capped net adjusted incurred claim = net inflation adjusted claim capped at policy limit)</t>
  </si>
  <si>
    <t>Attritional claim flag - (set equal to 1 if claim is less than 1m, otherwise 0)</t>
  </si>
  <si>
    <t>Net claims incurred by claim type</t>
  </si>
  <si>
    <t>Claim count by claim type</t>
  </si>
  <si>
    <t>Average claim cost by claim type (severity)</t>
  </si>
  <si>
    <t>Cause of loss Summary</t>
  </si>
  <si>
    <t>Net claims incurred by cause of loss</t>
  </si>
  <si>
    <t>Claim count by cause of loss</t>
  </si>
  <si>
    <t>Average claim cost by cause of loss (severity)</t>
  </si>
  <si>
    <t>Net claims incurred by loss location</t>
  </si>
  <si>
    <t>Loss location Summary</t>
  </si>
  <si>
    <t>Claim count by loss location</t>
  </si>
  <si>
    <t>Average claim cost by loss location (severity)</t>
  </si>
  <si>
    <t>HINT: Net incurred claims by year and claim type</t>
  </si>
  <si>
    <t>HINT: Count of claims by year and claim type</t>
  </si>
  <si>
    <t>(1 + annual inflation)</t>
  </si>
  <si>
    <t>Inflation index</t>
  </si>
  <si>
    <t>Exposure information for the account provided by client</t>
  </si>
  <si>
    <t xml:space="preserve">Gross tonnage </t>
  </si>
  <si>
    <t>2024 expected gross tonnage provided by client</t>
  </si>
  <si>
    <t>Deductibles in the upcoming policy period will be the same as deductible in prior policy periods.</t>
  </si>
  <si>
    <t>Assume a large loss is any loss &gt;$1m incurred</t>
  </si>
  <si>
    <t>Assume the large loss event is a 1-in-20 year event.</t>
  </si>
  <si>
    <t>Assume expenses are 30% of the loss cost.</t>
  </si>
  <si>
    <t>Assume a 10% profit requirement on this account in calculating the premium</t>
  </si>
  <si>
    <t>Claim severity analysis (average cost per claim)</t>
  </si>
  <si>
    <t>Claim frequency per gross tonnage</t>
  </si>
  <si>
    <t>Average cost per claim (Loss Severity)</t>
  </si>
  <si>
    <t>Loss cost calculation</t>
  </si>
  <si>
    <t>Use pivot tables to generate tables and check for trends</t>
  </si>
  <si>
    <r>
      <t xml:space="preserve">Derive an appropriate Return Period. </t>
    </r>
    <r>
      <rPr>
        <i/>
        <sz val="12"/>
        <color rgb="FF000000"/>
        <rFont val="Aptos Narrow"/>
        <family val="2"/>
        <scheme val="minor"/>
      </rPr>
      <t>(Consider the information provided in the "Given Assumptions")</t>
    </r>
    <r>
      <rPr>
        <sz val="12"/>
        <color rgb="FF000000"/>
        <rFont val="Aptos Narrow"/>
        <family val="2"/>
        <scheme val="minor"/>
      </rPr>
      <t>.</t>
    </r>
  </si>
  <si>
    <r>
      <t xml:space="preserve">Calculate the Large Loss Loading </t>
    </r>
    <r>
      <rPr>
        <i/>
        <sz val="12"/>
        <color rgb="FF000000"/>
        <rFont val="Aptos Narrow"/>
        <family val="2"/>
        <scheme val="minor"/>
      </rPr>
      <t>(Divide the large loss claim cost by the return period)</t>
    </r>
    <r>
      <rPr>
        <sz val="12"/>
        <color rgb="FF000000"/>
        <rFont val="Aptos Narrow"/>
        <family val="2"/>
        <scheme val="minor"/>
      </rPr>
      <t>.</t>
    </r>
  </si>
  <si>
    <t>Identify the Large Loss Event adjusted for inflation.</t>
  </si>
  <si>
    <r>
      <t xml:space="preserve">Calculate the Loss Frequency using a pivot table, make sure to remove the large loss event. 
</t>
    </r>
    <r>
      <rPr>
        <i/>
        <sz val="12"/>
        <color rgb="FF000000"/>
        <rFont val="Aptos Narrow"/>
        <family val="2"/>
        <scheme val="minor"/>
      </rPr>
      <t>Claim frequency = Number of Claims/Gross Tonnage for all exposure.</t>
    </r>
    <r>
      <rPr>
        <sz val="12"/>
        <color rgb="FF000000"/>
        <rFont val="Aptos Narrow"/>
        <family val="2"/>
        <scheme val="minor"/>
      </rPr>
      <t xml:space="preserve">
</t>
    </r>
  </si>
  <si>
    <r>
      <t xml:space="preserve">Calculate the Average cost per claim (Loss Severity) using a pivot table, make sure to remove the large loss event. Instructions: Create a pivot table with Year,  Sum of Capped net inflation adjusted incurred claim and Count of Claim ID. 
</t>
    </r>
    <r>
      <rPr>
        <i/>
        <sz val="12"/>
        <color rgb="FF000000"/>
        <rFont val="Aptos Narrow"/>
        <family val="2"/>
        <scheme val="minor"/>
      </rPr>
      <t>Loss Severity= Sum of Capped net inflation adjusted incurred claim / Count of Claim ID for each year</t>
    </r>
    <r>
      <rPr>
        <sz val="12"/>
        <color rgb="FF000000"/>
        <rFont val="Aptos Narrow"/>
        <family val="2"/>
        <scheme val="minor"/>
      </rPr>
      <t>.</t>
    </r>
  </si>
  <si>
    <r>
      <t xml:space="preserve">Complete the table below using the values derived in steps 1 and 2. </t>
    </r>
    <r>
      <rPr>
        <i/>
        <sz val="12"/>
        <color rgb="FF000000"/>
        <rFont val="Aptos Narrow"/>
        <family val="2"/>
        <scheme val="minor"/>
      </rPr>
      <t>HINT: Expected loss is the product of claim frequency and average claim severity</t>
    </r>
    <r>
      <rPr>
        <sz val="12"/>
        <color rgb="FF000000"/>
        <rFont val="Aptos Narrow"/>
        <family val="2"/>
        <scheme val="minor"/>
      </rPr>
      <t>.</t>
    </r>
  </si>
  <si>
    <t>Scenario: 6% increase in average loss severity</t>
  </si>
  <si>
    <t>New risk premium following 6% increase in claim severity</t>
  </si>
  <si>
    <t>New final premium</t>
  </si>
  <si>
    <t>New Loss Severity</t>
  </si>
  <si>
    <t>Calculate the following using the values derived in step 3.</t>
  </si>
  <si>
    <r>
      <t xml:space="preserve">Calculate the  Total Risk Premium. 
</t>
    </r>
    <r>
      <rPr>
        <i/>
        <sz val="12"/>
        <color theme="1"/>
        <rFont val="Aptos Narrow"/>
        <family val="2"/>
        <scheme val="minor"/>
      </rPr>
      <t>Pure Premium = Average Frequency per unit of exposure * Average Severity per Claim * Expected Gross Tonnage</t>
    </r>
  </si>
  <si>
    <r>
      <t xml:space="preserve">Conduct a Sensitivity Analysis for a scenario of a 6% increase in loss severity and calculate the new final premium based on the increased severity. </t>
    </r>
    <r>
      <rPr>
        <i/>
        <sz val="12"/>
        <color rgb="FF000000"/>
        <rFont val="Aptos Narrow"/>
        <family val="2"/>
        <scheme val="minor"/>
      </rPr>
      <t>Increase the loss severity by 6% then follow the same calculation used in steps 9 and 10 to derive the revised final premium.</t>
    </r>
  </si>
  <si>
    <t>Row Labels</t>
  </si>
  <si>
    <t>Sum of Gross inflation adjusted claim</t>
  </si>
  <si>
    <t>Count of Date of Claim</t>
  </si>
  <si>
    <t>Average</t>
  </si>
  <si>
    <t>2018</t>
  </si>
  <si>
    <t>2019</t>
  </si>
  <si>
    <t>2020</t>
  </si>
  <si>
    <t>2021</t>
  </si>
  <si>
    <t>2022</t>
  </si>
  <si>
    <t>2023</t>
  </si>
  <si>
    <t>Grand Total</t>
  </si>
  <si>
    <t>Attritional claim flag</t>
  </si>
  <si>
    <t xml:space="preserve">Sum of Capped net adjusted incurred claim </t>
  </si>
  <si>
    <t>Column Labels</t>
  </si>
  <si>
    <t xml:space="preserve">Count of Capped net adjusted incurred claim </t>
  </si>
  <si>
    <t xml:space="preserve">Average of Capped net adjusted incurred claim </t>
  </si>
  <si>
    <t>Loss frequency</t>
  </si>
  <si>
    <t>Count of Claim ID</t>
  </si>
  <si>
    <t>Loss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</si>
</sst>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4" formatCode="_(&quot;$&quot;* #,##0.00_);_(&quot;$&quot;* \(#,##0.00\);_(&quot;$&quot;* &quot;-&quot;??_);_(@_)"/>
    <numFmt numFmtId="164" formatCode="_-* #,##0.00_-;\-* #,##0.00_-;_-* &quot;-&quot;??_-;_-@_-"/>
    <numFmt numFmtId="165" formatCode="&quot;$&quot;#,##0.00"/>
    <numFmt numFmtId="166" formatCode="_-* #,##0.0_-;\-* #,##0.0_-;_-* &quot;-&quot;??_-;_-@_-"/>
    <numFmt numFmtId="167" formatCode="_-* #,##0_-;\-* #,##0_-;_-* &quot;-&quot;??_-;_-@_-"/>
    <numFmt numFmtId="168" formatCode="_-* #,##0.000000000_-;\-* #,##0.000000000_-;_-* &quot;-&quot;??_-;_-@_-"/>
    <numFmt numFmtId="169" formatCode="[$$-409]#,##0"/>
    <numFmt numFmtId="170" formatCode="0.000000000"/>
    <numFmt numFmtId="171" formatCode="_(&quot;$&quot;* #,##0_);_(&quot;$&quot;* \(#,##0\);_(&quot;$&quot;* &quot;-&quot;??_);_(@_)"/>
    <numFmt numFmtId="172" formatCode="0.00000000"/>
  </numFmts>
  <fonts count="12">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sz val="12"/>
      <color rgb="FF000000"/>
      <name val="Aptos Narrow"/>
      <family val="2"/>
      <scheme val="minor"/>
    </font>
    <font>
      <b/>
      <sz val="16"/>
      <color theme="1"/>
      <name val="Aptos Narrow"/>
      <family val="2"/>
      <scheme val="minor"/>
    </font>
    <font>
      <i/>
      <sz val="12"/>
      <color theme="1"/>
      <name val="Aptos Narrow"/>
      <family val="2"/>
      <scheme val="minor"/>
    </font>
    <font>
      <i/>
      <sz val="12"/>
      <color rgb="FF000000"/>
      <name val="Aptos Narrow"/>
      <family val="2"/>
      <scheme val="minor"/>
    </font>
    <font>
      <b/>
      <sz val="12"/>
      <color rgb="FF00000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7C7AC"/>
        <bgColor rgb="FF000000"/>
      </patternFill>
    </fill>
    <fill>
      <patternFill patternType="solid">
        <fgColor theme="0" tint="-4.9989318521683403E-2"/>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18">
    <xf numFmtId="0" fontId="0" fillId="0" borderId="0" xfId="0"/>
    <xf numFmtId="14" fontId="0" fillId="0" borderId="0" xfId="0" applyNumberFormat="1"/>
    <xf numFmtId="0" fontId="2" fillId="0" borderId="0" xfId="0" applyFont="1"/>
    <xf numFmtId="44" fontId="0" fillId="0" borderId="0" xfId="1" applyFont="1"/>
    <xf numFmtId="0" fontId="4" fillId="0" borderId="0" xfId="0" applyFont="1"/>
    <xf numFmtId="0" fontId="3" fillId="0" borderId="0" xfId="0" applyFont="1"/>
    <xf numFmtId="0" fontId="0" fillId="0" borderId="0" xfId="0" applyAlignment="1">
      <alignment horizontal="left"/>
    </xf>
    <xf numFmtId="165" fontId="0" fillId="0" borderId="0" xfId="0" applyNumberFormat="1"/>
    <xf numFmtId="165" fontId="2" fillId="0" borderId="0" xfId="0" applyNumberFormat="1" applyFont="1"/>
    <xf numFmtId="164" fontId="0" fillId="0" borderId="0" xfId="2" applyFont="1"/>
    <xf numFmtId="167" fontId="0" fillId="0" borderId="0" xfId="2" applyNumberFormat="1" applyFont="1"/>
    <xf numFmtId="164" fontId="0" fillId="0" borderId="0" xfId="0" applyNumberFormat="1"/>
    <xf numFmtId="169" fontId="0" fillId="0" borderId="0" xfId="3" applyNumberFormat="1" applyFont="1" applyFill="1"/>
    <xf numFmtId="170" fontId="0" fillId="0" borderId="0" xfId="0" applyNumberFormat="1"/>
    <xf numFmtId="169" fontId="0" fillId="0" borderId="0" xfId="0" applyNumberFormat="1" applyAlignment="1">
      <alignment horizontal="left"/>
    </xf>
    <xf numFmtId="168" fontId="0" fillId="0" borderId="0" xfId="0" applyNumberFormat="1" applyAlignment="1">
      <alignment horizontal="left"/>
    </xf>
    <xf numFmtId="164" fontId="0" fillId="0" borderId="0" xfId="2" applyFont="1" applyAlignment="1">
      <alignment horizontal="left"/>
    </xf>
    <xf numFmtId="166" fontId="5" fillId="0" borderId="0" xfId="2" applyNumberFormat="1" applyFont="1" applyFill="1"/>
    <xf numFmtId="0" fontId="2" fillId="0" borderId="0" xfId="0" applyFont="1" applyAlignment="1">
      <alignment horizontal="left"/>
    </xf>
    <xf numFmtId="165" fontId="2" fillId="0" borderId="0" xfId="0" applyNumberFormat="1" applyFont="1" applyAlignment="1">
      <alignment horizontal="left"/>
    </xf>
    <xf numFmtId="0" fontId="6" fillId="0" borderId="0" xfId="0" applyFont="1"/>
    <xf numFmtId="44" fontId="6" fillId="0" borderId="0" xfId="1" applyFont="1"/>
    <xf numFmtId="0" fontId="6" fillId="0" borderId="0" xfId="0" applyFont="1" applyAlignment="1">
      <alignment horizontal="left"/>
    </xf>
    <xf numFmtId="0" fontId="0" fillId="3" borderId="0" xfId="0" applyFill="1"/>
    <xf numFmtId="0" fontId="6" fillId="3" borderId="0" xfId="0" applyFont="1" applyFill="1"/>
    <xf numFmtId="44" fontId="6" fillId="0" borderId="0" xfId="1" applyFont="1" applyFill="1"/>
    <xf numFmtId="0" fontId="7" fillId="5" borderId="0" xfId="0" applyFont="1" applyFill="1"/>
    <xf numFmtId="44" fontId="0" fillId="6" borderId="0" xfId="1" applyFont="1" applyFill="1"/>
    <xf numFmtId="44" fontId="0" fillId="7" borderId="0" xfId="1" applyFont="1" applyFill="1"/>
    <xf numFmtId="0" fontId="0" fillId="7" borderId="0" xfId="0" applyFill="1"/>
    <xf numFmtId="44" fontId="0" fillId="7" borderId="0" xfId="0" applyNumberFormat="1" applyFill="1"/>
    <xf numFmtId="0" fontId="7" fillId="5" borderId="0" xfId="0" applyFont="1" applyFill="1" applyAlignment="1">
      <alignment horizontal="center"/>
    </xf>
    <xf numFmtId="0" fontId="0" fillId="0" borderId="0" xfId="0"/>
    <xf numFmtId="0" fontId="0" fillId="0" borderId="0" xfId="0"/>
    <xf numFmtId="0" fontId="0" fillId="0" borderId="2" xfId="0" applyBorder="1"/>
    <xf numFmtId="164" fontId="0" fillId="0" borderId="2" xfId="2" applyFont="1" applyBorder="1" applyAlignment="1">
      <alignment horizontal="right"/>
    </xf>
    <xf numFmtId="0" fontId="0" fillId="2" borderId="3" xfId="0" applyFill="1" applyBorder="1"/>
    <xf numFmtId="0" fontId="0" fillId="2" borderId="5" xfId="0" applyFill="1" applyBorder="1"/>
    <xf numFmtId="0" fontId="0" fillId="0" borderId="7" xfId="0" applyBorder="1"/>
    <xf numFmtId="0" fontId="0" fillId="2" borderId="8" xfId="0" applyFill="1" applyBorder="1"/>
    <xf numFmtId="0" fontId="0" fillId="0" borderId="0" xfId="0" applyFill="1"/>
    <xf numFmtId="0" fontId="8" fillId="0" borderId="0" xfId="0" applyFont="1" applyAlignment="1">
      <alignment horizontal="left"/>
    </xf>
    <xf numFmtId="44" fontId="0" fillId="6" borderId="0" xfId="0" applyNumberFormat="1" applyFill="1"/>
    <xf numFmtId="0" fontId="0" fillId="6" borderId="0" xfId="0" applyFill="1"/>
    <xf numFmtId="0" fontId="2" fillId="3" borderId="0" xfId="0" applyFont="1" applyFill="1"/>
    <xf numFmtId="0" fontId="2" fillId="8" borderId="0" xfId="0" applyFont="1" applyFill="1"/>
    <xf numFmtId="0" fontId="3" fillId="0" borderId="1" xfId="0" applyFont="1" applyBorder="1"/>
    <xf numFmtId="0" fontId="3" fillId="0" borderId="4" xfId="0" applyFont="1" applyBorder="1"/>
    <xf numFmtId="0" fontId="0" fillId="0" borderId="0" xfId="0" applyBorder="1"/>
    <xf numFmtId="0" fontId="3" fillId="0" borderId="6" xfId="0" applyFont="1" applyBorder="1"/>
    <xf numFmtId="0" fontId="2" fillId="0" borderId="9" xfId="0" applyFont="1" applyBorder="1"/>
    <xf numFmtId="0" fontId="2" fillId="0" borderId="10" xfId="0" applyFont="1" applyBorder="1"/>
    <xf numFmtId="0" fontId="3" fillId="0" borderId="0" xfId="0" applyFont="1" applyBorder="1"/>
    <xf numFmtId="0" fontId="0" fillId="0" borderId="0" xfId="0" applyFill="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167" fontId="0" fillId="0" borderId="5" xfId="2" applyNumberFormat="1" applyFont="1" applyBorder="1"/>
    <xf numFmtId="0" fontId="2" fillId="0" borderId="6" xfId="0" applyFont="1" applyBorder="1" applyAlignment="1">
      <alignment horizontal="left"/>
    </xf>
    <xf numFmtId="167" fontId="0" fillId="0" borderId="8" xfId="2" applyNumberFormat="1" applyFont="1" applyBorder="1"/>
    <xf numFmtId="167" fontId="0" fillId="0" borderId="0" xfId="2" applyNumberFormat="1" applyFont="1" applyBorder="1"/>
    <xf numFmtId="0" fontId="2" fillId="0" borderId="9" xfId="0" applyFont="1" applyBorder="1" applyAlignment="1">
      <alignment horizontal="left"/>
    </xf>
    <xf numFmtId="164" fontId="0" fillId="0" borderId="10" xfId="2" applyFont="1" applyBorder="1" applyAlignment="1">
      <alignment horizontal="left"/>
    </xf>
    <xf numFmtId="168" fontId="0" fillId="0" borderId="5" xfId="2" applyNumberFormat="1" applyFont="1" applyBorder="1"/>
    <xf numFmtId="167" fontId="0" fillId="0" borderId="7" xfId="2" applyNumberFormat="1" applyFont="1" applyBorder="1"/>
    <xf numFmtId="168" fontId="0" fillId="0" borderId="8" xfId="2" applyNumberFormat="1" applyFont="1" applyBorder="1"/>
    <xf numFmtId="0" fontId="2" fillId="0" borderId="0" xfId="0" applyFont="1" applyBorder="1"/>
    <xf numFmtId="165" fontId="0" fillId="0" borderId="0" xfId="0" applyNumberFormat="1" applyBorder="1"/>
    <xf numFmtId="0" fontId="2" fillId="0" borderId="2" xfId="0" applyFont="1" applyBorder="1"/>
    <xf numFmtId="0" fontId="6" fillId="0" borderId="3" xfId="0" applyFont="1" applyBorder="1" applyAlignment="1">
      <alignment horizontal="left"/>
    </xf>
    <xf numFmtId="168" fontId="0" fillId="6" borderId="0" xfId="0" applyNumberFormat="1" applyFill="1" applyAlignment="1">
      <alignment horizontal="right"/>
    </xf>
    <xf numFmtId="169" fontId="0" fillId="6" borderId="0" xfId="0" applyNumberFormat="1" applyFill="1" applyAlignment="1">
      <alignment horizontal="right"/>
    </xf>
    <xf numFmtId="0" fontId="7" fillId="0" borderId="0" xfId="0" applyFont="1" applyFill="1"/>
    <xf numFmtId="0" fontId="7" fillId="0" borderId="0" xfId="0" applyFont="1" applyFill="1" applyAlignment="1">
      <alignment horizontal="left"/>
    </xf>
    <xf numFmtId="165" fontId="2" fillId="6" borderId="0" xfId="0" applyNumberFormat="1" applyFont="1" applyFill="1" applyAlignment="1">
      <alignment horizontal="left"/>
    </xf>
    <xf numFmtId="165" fontId="6" fillId="6" borderId="0" xfId="0" applyNumberFormat="1" applyFont="1" applyFill="1" applyAlignment="1">
      <alignment horizontal="left"/>
    </xf>
    <xf numFmtId="0" fontId="11" fillId="5" borderId="0" xfId="0" applyFont="1" applyFill="1" applyAlignment="1">
      <alignment horizontal="center"/>
    </xf>
    <xf numFmtId="165" fontId="0" fillId="6" borderId="0" xfId="0" applyNumberFormat="1" applyFill="1"/>
    <xf numFmtId="0" fontId="2" fillId="0" borderId="0" xfId="0" applyFont="1" applyAlignment="1">
      <alignment wrapText="1"/>
    </xf>
    <xf numFmtId="44" fontId="2" fillId="0" borderId="0" xfId="1" applyFont="1" applyAlignment="1">
      <alignment wrapText="1"/>
    </xf>
    <xf numFmtId="44" fontId="2" fillId="6" borderId="0" xfId="1" applyFont="1" applyFill="1" applyAlignment="1">
      <alignment wrapText="1"/>
    </xf>
    <xf numFmtId="44" fontId="2" fillId="7" borderId="0" xfId="1" applyFont="1" applyFill="1" applyAlignment="1">
      <alignment wrapText="1"/>
    </xf>
    <xf numFmtId="0" fontId="2" fillId="7" borderId="0" xfId="0" applyFont="1" applyFill="1" applyAlignment="1">
      <alignment wrapText="1"/>
    </xf>
    <xf numFmtId="0" fontId="2" fillId="0" borderId="0" xfId="0" applyFont="1" applyFill="1" applyAlignment="1">
      <alignment wrapText="1"/>
    </xf>
    <xf numFmtId="0" fontId="2" fillId="0" borderId="0" xfId="0" applyFont="1" applyFill="1"/>
    <xf numFmtId="44" fontId="2" fillId="0" borderId="0" xfId="1" applyFont="1" applyFill="1" applyAlignment="1">
      <alignment wrapText="1"/>
    </xf>
    <xf numFmtId="6" fontId="3" fillId="0" borderId="0" xfId="0" applyNumberFormat="1" applyFont="1" applyFill="1"/>
    <xf numFmtId="44" fontId="0" fillId="0" borderId="0" xfId="1" applyFont="1" applyFill="1"/>
    <xf numFmtId="0" fontId="0" fillId="3" borderId="0" xfId="0" applyFill="1" applyAlignment="1">
      <alignment horizontal="center"/>
    </xf>
    <xf numFmtId="0" fontId="7" fillId="5" borderId="0" xfId="0" applyFont="1" applyFill="1" applyAlignment="1">
      <alignment horizontal="center" vertical="center"/>
    </xf>
    <xf numFmtId="0" fontId="7" fillId="5" borderId="0" xfId="0" applyFont="1" applyFill="1" applyBorder="1" applyAlignment="1">
      <alignment horizontal="center" vertical="center"/>
    </xf>
    <xf numFmtId="0" fontId="7" fillId="5" borderId="0" xfId="0" applyFont="1" applyFill="1" applyAlignment="1">
      <alignment horizontal="left" vertical="top" wrapText="1"/>
    </xf>
    <xf numFmtId="0" fontId="7" fillId="5" borderId="0" xfId="0" applyFont="1" applyFill="1" applyBorder="1" applyAlignment="1">
      <alignment horizontal="left" vertical="top" wrapText="1"/>
    </xf>
    <xf numFmtId="0" fontId="7" fillId="5" borderId="7" xfId="0" applyFont="1" applyFill="1" applyBorder="1" applyAlignment="1">
      <alignment horizontal="center" vertical="center"/>
    </xf>
    <xf numFmtId="0" fontId="7" fillId="5" borderId="0" xfId="0" applyFont="1" applyFill="1" applyAlignment="1">
      <alignment horizontal="center" wrapText="1"/>
    </xf>
    <xf numFmtId="0" fontId="7" fillId="5" borderId="0" xfId="0" applyFont="1" applyFill="1" applyAlignment="1">
      <alignment horizontal="left" vertical="center" wrapText="1"/>
    </xf>
    <xf numFmtId="0" fontId="2" fillId="4" borderId="0" xfId="0" applyFont="1" applyFill="1" applyAlignment="1">
      <alignment horizontal="center" vertical="center"/>
    </xf>
    <xf numFmtId="0" fontId="0" fillId="4" borderId="0" xfId="0" applyFill="1" applyAlignment="1">
      <alignment horizontal="left" vertical="top" wrapText="1"/>
    </xf>
    <xf numFmtId="0" fontId="11" fillId="5" borderId="0" xfId="0" applyFont="1" applyFill="1" applyAlignment="1">
      <alignment horizontal="center" vertical="center"/>
    </xf>
    <xf numFmtId="0" fontId="7" fillId="5" borderId="0" xfId="0" applyFont="1" applyFill="1" applyAlignment="1">
      <alignment horizontal="left"/>
    </xf>
    <xf numFmtId="0" fontId="0" fillId="0" borderId="0" xfId="0"/>
    <xf numFmtId="0" fontId="2" fillId="9" borderId="0" xfId="0" applyFont="1" applyFill="1"/>
    <xf numFmtId="171" fontId="0" fillId="0" borderId="0" xfId="0" applyNumberFormat="1"/>
    <xf numFmtId="171" fontId="2" fillId="0" borderId="0" xfId="1" applyNumberFormat="1" applyFont="1"/>
    <xf numFmtId="0" fontId="0" fillId="0" borderId="0" xfId="0" pivotButton="1"/>
    <xf numFmtId="171" fontId="2" fillId="8" borderId="0" xfId="1" applyNumberFormat="1" applyFont="1" applyFill="1"/>
    <xf numFmtId="169" fontId="0" fillId="0" borderId="0" xfId="0" applyNumberFormat="1"/>
    <xf numFmtId="0" fontId="0" fillId="0" borderId="4" xfId="0" applyBorder="1"/>
    <xf numFmtId="1" fontId="0" fillId="0" borderId="0" xfId="0" applyNumberFormat="1"/>
    <xf numFmtId="169" fontId="2" fillId="9" borderId="0" xfId="3" applyNumberFormat="1" applyFont="1" applyFill="1"/>
    <xf numFmtId="169" fontId="0" fillId="9" borderId="0" xfId="3" applyNumberFormat="1" applyFont="1" applyFill="1"/>
    <xf numFmtId="165" fontId="0" fillId="0" borderId="5" xfId="0" applyNumberFormat="1" applyBorder="1"/>
    <xf numFmtId="169" fontId="0" fillId="0" borderId="7" xfId="0" applyNumberFormat="1" applyBorder="1" applyAlignment="1">
      <alignment horizontal="left"/>
    </xf>
    <xf numFmtId="168" fontId="0" fillId="0" borderId="7" xfId="0" applyNumberFormat="1" applyBorder="1" applyAlignment="1">
      <alignment horizontal="left"/>
    </xf>
    <xf numFmtId="165" fontId="0" fillId="0" borderId="8" xfId="0" applyNumberFormat="1" applyBorder="1"/>
    <xf numFmtId="165" fontId="3" fillId="6" borderId="0" xfId="0" applyNumberFormat="1" applyFont="1" applyFill="1"/>
    <xf numFmtId="172" fontId="0" fillId="0" borderId="0" xfId="0" applyNumberFormat="1"/>
    <xf numFmtId="0" fontId="0" fillId="10" borderId="0" xfId="0" applyFill="1"/>
  </cellXfs>
  <cellStyles count="4">
    <cellStyle name="Comma" xfId="2" builtinId="3"/>
    <cellStyle name="Currency" xfId="1" builtinId="4"/>
    <cellStyle name="Normal" xfId="0" builtinId="0"/>
    <cellStyle name="Percent" xfId="3" builtinId="5"/>
  </cellStyles>
  <dxfs count="8">
    <dxf>
      <numFmt numFmtId="164" formatCode="_-* #,##0.00_-;\-* #,##0.00_-;_-* &quot;-&quot;??_-;_-@_-"/>
    </dxf>
    <dxf>
      <numFmt numFmtId="169" formatCode="[$$-409]#,##0"/>
    </dxf>
    <dxf>
      <numFmt numFmtId="169" formatCode="[$$-409]#,##0"/>
    </dxf>
    <dxf>
      <numFmt numFmtId="169" formatCode="[$$-409]#,##0"/>
    </dxf>
    <dxf>
      <numFmt numFmtId="169" formatCode="[$$-409]#,##0"/>
    </dxf>
    <dxf>
      <numFmt numFmtId="169" formatCode="[$$-409]#,##0"/>
    </dxf>
    <dxf>
      <numFmt numFmtId="169" formatCode="[$$-409]#,##0"/>
    </dxf>
    <dxf>
      <numFmt numFmtId="171"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incurred claim by Type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Cargo Liability</c:v>
          </c:tx>
          <c:spPr>
            <a:solidFill>
              <a:schemeClr val="accent4">
                <a:shade val="53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697368.0207472234</c:v>
              </c:pt>
              <c:pt idx="1">
                <c:v>662834.33499735559</c:v>
              </c:pt>
              <c:pt idx="2">
                <c:v>3570921.3315225951</c:v>
              </c:pt>
              <c:pt idx="3">
                <c:v>1781773.1680748803</c:v>
              </c:pt>
              <c:pt idx="4">
                <c:v>2937526.7408780004</c:v>
              </c:pt>
              <c:pt idx="5">
                <c:v>1570662.8665999998</c:v>
              </c:pt>
            </c:numLit>
          </c:val>
          <c:extLst>
            <c:ext xmlns:c16="http://schemas.microsoft.com/office/drawing/2014/chart" uri="{C3380CC4-5D6E-409C-BE32-E72D297353CC}">
              <c16:uniqueId val="{00000000-265A-4102-9F8A-35F42040DF39}"/>
            </c:ext>
          </c:extLst>
        </c:ser>
        <c:ser>
          <c:idx val="1"/>
          <c:order val="1"/>
          <c:tx>
            <c:v>Collision Liability</c:v>
          </c:tx>
          <c:spPr>
            <a:solidFill>
              <a:schemeClr val="accent4">
                <a:shade val="76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2405966.0874662898</c:v>
              </c:pt>
              <c:pt idx="1">
                <c:v>3253999.8527008849</c:v>
              </c:pt>
              <c:pt idx="2">
                <c:v>0</c:v>
              </c:pt>
              <c:pt idx="3">
                <c:v>4027741.5256802402</c:v>
              </c:pt>
              <c:pt idx="4">
                <c:v>997566.67877399991</c:v>
              </c:pt>
              <c:pt idx="5">
                <c:v>1410599.5731000002</c:v>
              </c:pt>
            </c:numLit>
          </c:val>
          <c:extLst>
            <c:ext xmlns:c16="http://schemas.microsoft.com/office/drawing/2014/chart" uri="{C3380CC4-5D6E-409C-BE32-E72D297353CC}">
              <c16:uniqueId val="{00000001-265A-4102-9F8A-35F42040DF39}"/>
            </c:ext>
          </c:extLst>
        </c:ser>
        <c:ser>
          <c:idx val="2"/>
          <c:order val="2"/>
          <c:tx>
            <c:v>Damage to Other Vessels</c:v>
          </c:tx>
          <c:spPr>
            <a:solidFill>
              <a:schemeClr val="accent4"/>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1324699.5078214062</c:v>
              </c:pt>
              <c:pt idx="1">
                <c:v>2407881.4108209559</c:v>
              </c:pt>
              <c:pt idx="2">
                <c:v>3050494.7499306966</c:v>
              </c:pt>
              <c:pt idx="3">
                <c:v>2386006.5987511203</c:v>
              </c:pt>
              <c:pt idx="4">
                <c:v>2654253.808468</c:v>
              </c:pt>
              <c:pt idx="5">
                <c:v>834871.46829999995</c:v>
              </c:pt>
            </c:numLit>
          </c:val>
          <c:extLst>
            <c:ext xmlns:c16="http://schemas.microsoft.com/office/drawing/2014/chart" uri="{C3380CC4-5D6E-409C-BE32-E72D297353CC}">
              <c16:uniqueId val="{00000002-265A-4102-9F8A-35F42040DF39}"/>
            </c:ext>
          </c:extLst>
        </c:ser>
        <c:ser>
          <c:idx val="3"/>
          <c:order val="3"/>
          <c:tx>
            <c:v>Environmental Pollution</c:v>
          </c:tx>
          <c:spPr>
            <a:solidFill>
              <a:schemeClr val="accent4">
                <a:tint val="77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0</c:v>
              </c:pt>
              <c:pt idx="1">
                <c:v>3215152.3493829388</c:v>
              </c:pt>
              <c:pt idx="2">
                <c:v>3693140.9137192685</c:v>
              </c:pt>
              <c:pt idx="3">
                <c:v>3537852.8211535201</c:v>
              </c:pt>
              <c:pt idx="4">
                <c:v>8416336.8043120001</c:v>
              </c:pt>
              <c:pt idx="5">
                <c:v>0</c:v>
              </c:pt>
            </c:numLit>
          </c:val>
          <c:extLst>
            <c:ext xmlns:c16="http://schemas.microsoft.com/office/drawing/2014/chart" uri="{C3380CC4-5D6E-409C-BE32-E72D297353CC}">
              <c16:uniqueId val="{00000003-265A-4102-9F8A-35F42040DF39}"/>
            </c:ext>
          </c:extLst>
        </c:ser>
        <c:ser>
          <c:idx val="4"/>
          <c:order val="4"/>
          <c:tx>
            <c:v>Injury to Third Parties</c:v>
          </c:tx>
          <c:spPr>
            <a:solidFill>
              <a:schemeClr val="accent4">
                <a:tint val="54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2000197.9464693414</c:v>
              </c:pt>
              <c:pt idx="1">
                <c:v>825320.96309482318</c:v>
              </c:pt>
              <c:pt idx="2">
                <c:v>1758685.2249286552</c:v>
              </c:pt>
              <c:pt idx="3">
                <c:v>232953.22239032001</c:v>
              </c:pt>
              <c:pt idx="4">
                <c:v>0</c:v>
              </c:pt>
              <c:pt idx="5">
                <c:v>3629743.5011</c:v>
              </c:pt>
            </c:numLit>
          </c:val>
          <c:extLst>
            <c:ext xmlns:c16="http://schemas.microsoft.com/office/drawing/2014/chart" uri="{C3380CC4-5D6E-409C-BE32-E72D297353CC}">
              <c16:uniqueId val="{00000004-265A-4102-9F8A-35F42040DF39}"/>
            </c:ext>
          </c:extLst>
        </c:ser>
        <c:dLbls>
          <c:showLegendKey val="0"/>
          <c:showVal val="0"/>
          <c:showCatName val="0"/>
          <c:showSerName val="0"/>
          <c:showPercent val="0"/>
          <c:showBubbleSize val="0"/>
        </c:dLbls>
        <c:gapWidth val="219"/>
        <c:overlap val="-27"/>
        <c:axId val="1482268640"/>
        <c:axId val="1067637888"/>
      </c:barChart>
      <c:catAx>
        <c:axId val="14822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37888"/>
        <c:crosses val="autoZero"/>
        <c:auto val="1"/>
        <c:lblAlgn val="ctr"/>
        <c:lblOffset val="100"/>
        <c:noMultiLvlLbl val="0"/>
      </c:catAx>
      <c:valAx>
        <c:axId val="106763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26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Claim Type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Cargo Liability</c:v>
          </c:tx>
          <c:spPr>
            <a:solidFill>
              <a:schemeClr val="accent4">
                <a:shade val="53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1</c:v>
              </c:pt>
              <c:pt idx="1">
                <c:v>1</c:v>
              </c:pt>
              <c:pt idx="2">
                <c:v>6</c:v>
              </c:pt>
              <c:pt idx="3">
                <c:v>3</c:v>
              </c:pt>
              <c:pt idx="4">
                <c:v>5</c:v>
              </c:pt>
              <c:pt idx="5">
                <c:v>3</c:v>
              </c:pt>
            </c:numLit>
          </c:val>
          <c:extLst>
            <c:ext xmlns:c16="http://schemas.microsoft.com/office/drawing/2014/chart" uri="{C3380CC4-5D6E-409C-BE32-E72D297353CC}">
              <c16:uniqueId val="{00000000-74EB-4F91-94F7-3D4C5DB78BE8}"/>
            </c:ext>
          </c:extLst>
        </c:ser>
        <c:ser>
          <c:idx val="1"/>
          <c:order val="1"/>
          <c:tx>
            <c:v>Collision Liability</c:v>
          </c:tx>
          <c:spPr>
            <a:solidFill>
              <a:schemeClr val="accent4">
                <a:shade val="76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4</c:v>
              </c:pt>
              <c:pt idx="1">
                <c:v>6</c:v>
              </c:pt>
              <c:pt idx="2">
                <c:v>0</c:v>
              </c:pt>
              <c:pt idx="3">
                <c:v>6</c:v>
              </c:pt>
              <c:pt idx="4">
                <c:v>3</c:v>
              </c:pt>
              <c:pt idx="5">
                <c:v>2</c:v>
              </c:pt>
            </c:numLit>
          </c:val>
          <c:extLst>
            <c:ext xmlns:c16="http://schemas.microsoft.com/office/drawing/2014/chart" uri="{C3380CC4-5D6E-409C-BE32-E72D297353CC}">
              <c16:uniqueId val="{00000001-74EB-4F91-94F7-3D4C5DB78BE8}"/>
            </c:ext>
          </c:extLst>
        </c:ser>
        <c:ser>
          <c:idx val="2"/>
          <c:order val="2"/>
          <c:tx>
            <c:v>Damage to Other Vessels</c:v>
          </c:tx>
          <c:spPr>
            <a:solidFill>
              <a:schemeClr val="accent4"/>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2</c:v>
              </c:pt>
              <c:pt idx="1">
                <c:v>3</c:v>
              </c:pt>
              <c:pt idx="2">
                <c:v>5</c:v>
              </c:pt>
              <c:pt idx="3">
                <c:v>4</c:v>
              </c:pt>
              <c:pt idx="4">
                <c:v>4</c:v>
              </c:pt>
              <c:pt idx="5">
                <c:v>2</c:v>
              </c:pt>
            </c:numLit>
          </c:val>
          <c:extLst>
            <c:ext xmlns:c16="http://schemas.microsoft.com/office/drawing/2014/chart" uri="{C3380CC4-5D6E-409C-BE32-E72D297353CC}">
              <c16:uniqueId val="{00000002-74EB-4F91-94F7-3D4C5DB78BE8}"/>
            </c:ext>
          </c:extLst>
        </c:ser>
        <c:ser>
          <c:idx val="3"/>
          <c:order val="3"/>
          <c:tx>
            <c:v>Environmental Pollution</c:v>
          </c:tx>
          <c:spPr>
            <a:solidFill>
              <a:schemeClr val="accent4">
                <a:tint val="77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0</c:v>
              </c:pt>
              <c:pt idx="1">
                <c:v>5</c:v>
              </c:pt>
              <c:pt idx="2">
                <c:v>6</c:v>
              </c:pt>
              <c:pt idx="3">
                <c:v>6</c:v>
              </c:pt>
              <c:pt idx="4">
                <c:v>5</c:v>
              </c:pt>
              <c:pt idx="5">
                <c:v>0</c:v>
              </c:pt>
            </c:numLit>
          </c:val>
          <c:extLst>
            <c:ext xmlns:c16="http://schemas.microsoft.com/office/drawing/2014/chart" uri="{C3380CC4-5D6E-409C-BE32-E72D297353CC}">
              <c16:uniqueId val="{00000003-74EB-4F91-94F7-3D4C5DB78BE8}"/>
            </c:ext>
          </c:extLst>
        </c:ser>
        <c:ser>
          <c:idx val="4"/>
          <c:order val="4"/>
          <c:tx>
            <c:v>Injury to Third Parties</c:v>
          </c:tx>
          <c:spPr>
            <a:solidFill>
              <a:schemeClr val="accent4">
                <a:tint val="54000"/>
              </a:schemeClr>
            </a:solidFill>
            <a:ln>
              <a:noFill/>
            </a:ln>
            <a:effectLst/>
          </c:spPr>
          <c:invertIfNegative val="0"/>
          <c:cat>
            <c:strLit>
              <c:ptCount val="6"/>
              <c:pt idx="0">
                <c:v>2018</c:v>
              </c:pt>
              <c:pt idx="1">
                <c:v>2019</c:v>
              </c:pt>
              <c:pt idx="2">
                <c:v>2020</c:v>
              </c:pt>
              <c:pt idx="3">
                <c:v>2021</c:v>
              </c:pt>
              <c:pt idx="4">
                <c:v>2022</c:v>
              </c:pt>
              <c:pt idx="5">
                <c:v>2023</c:v>
              </c:pt>
            </c:strLit>
          </c:cat>
          <c:val>
            <c:numLit>
              <c:formatCode>General</c:formatCode>
              <c:ptCount val="6"/>
              <c:pt idx="0">
                <c:v>3</c:v>
              </c:pt>
              <c:pt idx="1">
                <c:v>2</c:v>
              </c:pt>
              <c:pt idx="2">
                <c:v>3</c:v>
              </c:pt>
              <c:pt idx="3">
                <c:v>1</c:v>
              </c:pt>
              <c:pt idx="4">
                <c:v>0</c:v>
              </c:pt>
              <c:pt idx="5">
                <c:v>9</c:v>
              </c:pt>
            </c:numLit>
          </c:val>
          <c:extLst>
            <c:ext xmlns:c16="http://schemas.microsoft.com/office/drawing/2014/chart" uri="{C3380CC4-5D6E-409C-BE32-E72D297353CC}">
              <c16:uniqueId val="{00000004-74EB-4F91-94F7-3D4C5DB78BE8}"/>
            </c:ext>
          </c:extLst>
        </c:ser>
        <c:dLbls>
          <c:showLegendKey val="0"/>
          <c:showVal val="0"/>
          <c:showCatName val="0"/>
          <c:showSerName val="0"/>
          <c:showPercent val="0"/>
          <c:showBubbleSize val="0"/>
        </c:dLbls>
        <c:gapWidth val="219"/>
        <c:overlap val="-27"/>
        <c:axId val="728442320"/>
        <c:axId val="728444032"/>
      </c:barChart>
      <c:catAx>
        <c:axId val="72844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032"/>
        <c:crosses val="autoZero"/>
        <c:auto val="1"/>
        <c:lblAlgn val="ctr"/>
        <c:lblOffset val="100"/>
        <c:noMultiLvlLbl val="0"/>
      </c:catAx>
      <c:valAx>
        <c:axId val="7284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42</xdr:row>
      <xdr:rowOff>0</xdr:rowOff>
    </xdr:from>
    <xdr:to>
      <xdr:col>21</xdr:col>
      <xdr:colOff>622300</xdr:colOff>
      <xdr:row>61</xdr:row>
      <xdr:rowOff>161925</xdr:rowOff>
    </xdr:to>
    <xdr:graphicFrame macro="">
      <xdr:nvGraphicFramePr>
        <xdr:cNvPr id="2" name="Chart 1">
          <a:extLst>
            <a:ext uri="{FF2B5EF4-FFF2-40B4-BE49-F238E27FC236}">
              <a16:creationId xmlns:a16="http://schemas.microsoft.com/office/drawing/2014/main" id="{7B07B790-2F0B-4A7E-9994-A0C5966387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64</xdr:row>
      <xdr:rowOff>0</xdr:rowOff>
    </xdr:from>
    <xdr:to>
      <xdr:col>21</xdr:col>
      <xdr:colOff>919842</xdr:colOff>
      <xdr:row>85</xdr:row>
      <xdr:rowOff>127000</xdr:rowOff>
    </xdr:to>
    <xdr:graphicFrame macro="">
      <xdr:nvGraphicFramePr>
        <xdr:cNvPr id="3" name="Chart 2">
          <a:extLst>
            <a:ext uri="{FF2B5EF4-FFF2-40B4-BE49-F238E27FC236}">
              <a16:creationId xmlns:a16="http://schemas.microsoft.com/office/drawing/2014/main" id="{740D7A1F-8375-47CC-99C3-DE89FD485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101600</xdr:colOff>
      <xdr:row>1</xdr:row>
      <xdr:rowOff>50800</xdr:rowOff>
    </xdr:from>
    <xdr:ext cx="7499350" cy="24199850"/>
    <xdr:sp macro="" textlink="">
      <xdr:nvSpPr>
        <xdr:cNvPr id="2" name="TextBox 1">
          <a:extLst>
            <a:ext uri="{FF2B5EF4-FFF2-40B4-BE49-F238E27FC236}">
              <a16:creationId xmlns:a16="http://schemas.microsoft.com/office/drawing/2014/main" id="{2DA51E82-08A6-4145-9060-2DD4FDD851CE}"/>
            </a:ext>
          </a:extLst>
        </xdr:cNvPr>
        <xdr:cNvSpPr txBox="1"/>
      </xdr:nvSpPr>
      <xdr:spPr>
        <a:xfrm>
          <a:off x="1025525" y="241300"/>
          <a:ext cx="7499350" cy="2419985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Marine Liability Insurance Pricing Report</a:t>
          </a:r>
        </a:p>
        <a:p>
          <a:br>
            <a:rPr lang="en-US" b="1"/>
          </a:br>
          <a:r>
            <a:rPr lang="en-US" b="1"/>
            <a:t>1. Executive Summary</a:t>
          </a:r>
        </a:p>
        <a:p>
          <a:r>
            <a:rPr lang="en-US"/>
            <a:t>This report assesses the pricing for Marine Liability Insurance using claims data from 2018 to 2023. Individual policies run from </a:t>
          </a:r>
          <a:r>
            <a:rPr lang="en-US" b="1"/>
            <a:t>1/1 – 31/12</a:t>
          </a:r>
          <a:r>
            <a:rPr lang="en-US"/>
            <a:t> for each year. The analysis focuses on key pricing elements, including loss frequency and severity on a </a:t>
          </a:r>
          <a:r>
            <a:rPr lang="en-US" b="1"/>
            <a:t>yearly basis</a:t>
          </a:r>
          <a:r>
            <a:rPr lang="en-US"/>
            <a:t> and key considerations such</a:t>
          </a:r>
          <a:r>
            <a:rPr lang="en-US" baseline="0"/>
            <a:t> as </a:t>
          </a:r>
          <a:r>
            <a:rPr lang="en-US"/>
            <a:t>inflation adjustments, large loss handling, and premium calculations. Recommendations are provided to adjust premiums based on observed trends (if any), exposure, and assumptions about future claims, including handling for large loss events.</a:t>
          </a:r>
          <a:br>
            <a:rPr lang="en-US"/>
          </a:br>
          <a:br>
            <a:rPr lang="en-US"/>
          </a:br>
          <a:r>
            <a:rPr lang="en-US" b="1"/>
            <a:t>2. Data Overview</a:t>
          </a:r>
        </a:p>
        <a:p>
          <a:r>
            <a:rPr lang="en-US"/>
            <a:t>The dataset comprises 100 Marine Liability claims reported between 2018 and 2023. The key variables analysed include:</a:t>
          </a:r>
        </a:p>
        <a:p>
          <a:r>
            <a:rPr lang="en-US" b="1"/>
            <a:t>Claim Types</a:t>
          </a:r>
          <a:r>
            <a:rPr lang="en-US"/>
            <a:t>: Collision, Cargo Liability, Damage to Other Vessels, Environmental Pollution, and Injury to Third Parties.</a:t>
          </a:r>
        </a:p>
        <a:p>
          <a:r>
            <a:rPr lang="en-US" b="1"/>
            <a:t>Amount Gross Inflation Adjusted Claimed</a:t>
          </a:r>
          <a:r>
            <a:rPr lang="en-US"/>
            <a:t>: Ranges from $114,000 to $5,300,000.</a:t>
          </a:r>
        </a:p>
        <a:p>
          <a:r>
            <a:rPr lang="en-US" b="1"/>
            <a:t>Policy Limits</a:t>
          </a:r>
          <a:r>
            <a:rPr lang="en-US"/>
            <a:t>: Vary from $500,000 to $10,000,000.</a:t>
          </a:r>
        </a:p>
        <a:p>
          <a:r>
            <a:rPr lang="en-US" b="1"/>
            <a:t>Deductibles</a:t>
          </a:r>
          <a:r>
            <a:rPr lang="en-US"/>
            <a:t>: Range from $10,000 to $50,000.</a:t>
          </a:r>
        </a:p>
        <a:p>
          <a:r>
            <a:rPr lang="en-US" b="1"/>
            <a:t>Claim Status</a:t>
          </a:r>
          <a:r>
            <a:rPr lang="en-US"/>
            <a:t>: 65 claims are closed, with the remainder either open or in litigation.</a:t>
          </a:r>
          <a:br>
            <a:rPr lang="en-US"/>
          </a:br>
          <a:endParaRPr lang="en-US"/>
        </a:p>
        <a:p>
          <a:r>
            <a:rPr lang="en-US" b="1"/>
            <a:t>3. Exploratory Data Analysis (EDA)</a:t>
          </a:r>
        </a:p>
        <a:p>
          <a:r>
            <a:rPr lang="en-US"/>
            <a:t>The claims data shows that:</a:t>
          </a:r>
        </a:p>
        <a:p>
          <a:r>
            <a:rPr lang="en-US" b="1"/>
            <a:t>Collision and Environmental</a:t>
          </a:r>
          <a:r>
            <a:rPr lang="en-US" b="1" baseline="0"/>
            <a:t> Pollution</a:t>
          </a:r>
          <a:r>
            <a:rPr lang="en-US" b="1"/>
            <a:t> Liability</a:t>
          </a:r>
          <a:r>
            <a:rPr lang="en-US"/>
            <a:t> claims are the most frequent, accounting for over 43% of all claims.</a:t>
          </a:r>
        </a:p>
        <a:p>
          <a:r>
            <a:rPr lang="en-US"/>
            <a:t>The </a:t>
          </a:r>
          <a:r>
            <a:rPr lang="en-US" b="1"/>
            <a:t>highest severity</a:t>
          </a:r>
          <a:r>
            <a:rPr lang="en-US"/>
            <a:t> claims are in </a:t>
          </a:r>
          <a:r>
            <a:rPr lang="en-US" b="1"/>
            <a:t>Environmental Pollution</a:t>
          </a:r>
          <a:r>
            <a:rPr lang="en-US"/>
            <a:t>, with one large loss event exceeding $5 million.</a:t>
          </a:r>
        </a:p>
        <a:p>
          <a:r>
            <a:rPr lang="en-US" b="1"/>
            <a:t>Claims Frequency</a:t>
          </a:r>
          <a:r>
            <a:rPr lang="en-US"/>
            <a:t>: Steady growth over the years, with a noticeable increase in 2020 due to cargo liability claims.</a:t>
          </a:r>
        </a:p>
        <a:p>
          <a:r>
            <a:rPr lang="en-US" b="1"/>
            <a:t>Outliers</a:t>
          </a:r>
          <a:r>
            <a:rPr lang="en-US"/>
            <a:t>: The large loss claim in 2021 is significantly higher than other claims and will require special handling in the premium calculation.</a:t>
          </a:r>
          <a:br>
            <a:rPr lang="en-US"/>
          </a:br>
          <a:endParaRPr lang="en-US"/>
        </a:p>
        <a:p>
          <a:r>
            <a:rPr lang="en-US" b="1">
              <a:solidFill>
                <a:sysClr val="windowText" lastClr="000000"/>
              </a:solidFill>
            </a:rPr>
            <a:t>4. Risk Assessment</a:t>
          </a:r>
        </a:p>
        <a:p>
          <a:r>
            <a:rPr lang="en-US">
              <a:solidFill>
                <a:sysClr val="windowText" lastClr="000000"/>
              </a:solidFill>
            </a:rPr>
            <a:t>Based on the historical claims data:</a:t>
          </a:r>
        </a:p>
        <a:p>
          <a:r>
            <a:rPr lang="en-US" b="1">
              <a:solidFill>
                <a:sysClr val="windowText" lastClr="000000"/>
              </a:solidFill>
            </a:rPr>
            <a:t>Loss Severity</a:t>
          </a:r>
          <a:r>
            <a:rPr lang="en-US">
              <a:solidFill>
                <a:sysClr val="windowText" lastClr="000000"/>
              </a:solidFill>
            </a:rPr>
            <a:t> </a:t>
          </a:r>
          <a:r>
            <a:rPr lang="en-US" b="1" i="0">
              <a:solidFill>
                <a:sysClr val="windowText" lastClr="000000"/>
              </a:solidFill>
            </a:rPr>
            <a:t>by claim</a:t>
          </a:r>
          <a:r>
            <a:rPr lang="en-US" b="1" i="0" baseline="0">
              <a:solidFill>
                <a:sysClr val="windowText" lastClr="000000"/>
              </a:solidFill>
            </a:rPr>
            <a:t> type </a:t>
          </a:r>
          <a:r>
            <a:rPr lang="en-US">
              <a:solidFill>
                <a:sysClr val="windowText" lastClr="000000"/>
              </a:solidFill>
            </a:rPr>
            <a:t>(adjusted for inflation):</a:t>
          </a:r>
        </a:p>
        <a:p>
          <a:pPr lvl="1"/>
          <a:r>
            <a:rPr lang="en-US">
              <a:solidFill>
                <a:sysClr val="windowText" lastClr="000000"/>
              </a:solidFill>
            </a:rPr>
            <a:t>Collision Liability : $575,994</a:t>
          </a:r>
        </a:p>
        <a:p>
          <a:pPr lvl="1"/>
          <a:r>
            <a:rPr lang="en-US">
              <a:solidFill>
                <a:sysClr val="windowText" lastClr="000000"/>
              </a:solidFill>
            </a:rPr>
            <a:t>Cargo Liability: $590,583</a:t>
          </a:r>
        </a:p>
        <a:p>
          <a:pPr lvl="1"/>
          <a:r>
            <a:rPr lang="en-US">
              <a:solidFill>
                <a:sysClr val="windowText" lastClr="000000"/>
              </a:solidFill>
            </a:rPr>
            <a:t>Damage</a:t>
          </a:r>
          <a:r>
            <a:rPr lang="en-US" baseline="0">
              <a:solidFill>
                <a:sysClr val="windowText" lastClr="000000"/>
              </a:solidFill>
            </a:rPr>
            <a:t> to other vessels: $632,910</a:t>
          </a:r>
          <a:endParaRPr lang="en-US">
            <a:solidFill>
              <a:sysClr val="windowText" lastClr="000000"/>
            </a:solidFill>
          </a:endParaRPr>
        </a:p>
        <a:p>
          <a:pPr lvl="1"/>
          <a:r>
            <a:rPr lang="en-US">
              <a:solidFill>
                <a:sysClr val="windowText" lastClr="000000"/>
              </a:solidFill>
            </a:rPr>
            <a:t>Environmental Pollution: $857,386</a:t>
          </a:r>
        </a:p>
        <a:p>
          <a:pPr lvl="1"/>
          <a:r>
            <a:rPr lang="en-US">
              <a:solidFill>
                <a:sysClr val="windowText" lastClr="000000"/>
              </a:solidFill>
            </a:rPr>
            <a:t>Injury</a:t>
          </a:r>
          <a:r>
            <a:rPr lang="en-US" baseline="0">
              <a:solidFill>
                <a:sysClr val="windowText" lastClr="000000"/>
              </a:solidFill>
            </a:rPr>
            <a:t> to third parties: $469,272</a:t>
          </a:r>
        </a:p>
        <a:p>
          <a:pPr lvl="1"/>
          <a:endParaRPr lang="en-US">
            <a:solidFill>
              <a:sysClr val="windowText" lastClr="000000"/>
            </a:solidFill>
          </a:endParaRPr>
        </a:p>
        <a:p>
          <a:r>
            <a:rPr lang="en-US" sz="1100" b="1">
              <a:solidFill>
                <a:sysClr val="windowText" lastClr="000000"/>
              </a:solidFill>
              <a:effectLst/>
              <a:latin typeface="+mn-lt"/>
              <a:ea typeface="+mn-ea"/>
              <a:cs typeface="+mn-cs"/>
            </a:rPr>
            <a:t>Claim count </a:t>
          </a:r>
          <a:r>
            <a:rPr lang="en-US" sz="1100" b="1" i="0">
              <a:solidFill>
                <a:sysClr val="windowText" lastClr="000000"/>
              </a:solidFill>
              <a:effectLst/>
              <a:latin typeface="+mn-lt"/>
              <a:ea typeface="+mn-ea"/>
              <a:cs typeface="+mn-cs"/>
            </a:rPr>
            <a:t>by claim</a:t>
          </a:r>
          <a:r>
            <a:rPr lang="en-US" sz="1100" b="1" i="0" baseline="0">
              <a:solidFill>
                <a:sysClr val="windowText" lastClr="000000"/>
              </a:solidFill>
              <a:effectLst/>
              <a:latin typeface="+mn-lt"/>
              <a:ea typeface="+mn-ea"/>
              <a:cs typeface="+mn-cs"/>
            </a:rPr>
            <a:t> type </a:t>
          </a:r>
          <a:r>
            <a:rPr lang="en-US" sz="1100">
              <a:solidFill>
                <a:sysClr val="windowText" lastClr="000000"/>
              </a:solidFill>
              <a:effectLst/>
              <a:latin typeface="+mn-lt"/>
              <a:ea typeface="+mn-ea"/>
              <a:cs typeface="+mn-cs"/>
            </a:rPr>
            <a:t>(adjusted for inflation):</a:t>
          </a:r>
          <a:endParaRPr lang="en-GB">
            <a:solidFill>
              <a:sysClr val="windowText" lastClr="000000"/>
            </a:solidFill>
            <a:effectLst/>
          </a:endParaRPr>
        </a:p>
        <a:p>
          <a:r>
            <a:rPr lang="en-US" sz="1100">
              <a:solidFill>
                <a:sysClr val="windowText" lastClr="000000"/>
              </a:solidFill>
              <a:effectLst/>
              <a:latin typeface="+mn-lt"/>
              <a:ea typeface="+mn-ea"/>
              <a:cs typeface="+mn-cs"/>
            </a:rPr>
            <a:t>                  Collision Liability: </a:t>
          </a:r>
          <a:r>
            <a:rPr lang="en-GB" sz="1100">
              <a:solidFill>
                <a:sysClr val="windowText" lastClr="000000"/>
              </a:solidFill>
              <a:effectLst/>
              <a:latin typeface="+mn-lt"/>
              <a:ea typeface="+mn-ea"/>
              <a:cs typeface="+mn-cs"/>
            </a:rPr>
            <a:t>21</a:t>
          </a:r>
          <a:endParaRPr lang="en-GB">
            <a:solidFill>
              <a:sysClr val="windowText" lastClr="000000"/>
            </a:solidFill>
            <a:effectLst/>
          </a:endParaRPr>
        </a:p>
        <a:p>
          <a:r>
            <a:rPr lang="en-US" sz="1100">
              <a:solidFill>
                <a:sysClr val="windowText" lastClr="000000"/>
              </a:solidFill>
              <a:effectLst/>
              <a:latin typeface="+mn-lt"/>
              <a:ea typeface="+mn-ea"/>
              <a:cs typeface="+mn-cs"/>
            </a:rPr>
            <a:t>                  Cargo Liability: </a:t>
          </a:r>
          <a:r>
            <a:rPr lang="en-GB" sz="1100">
              <a:solidFill>
                <a:sysClr val="windowText" lastClr="000000"/>
              </a:solidFill>
              <a:effectLst/>
              <a:latin typeface="+mn-lt"/>
              <a:ea typeface="+mn-ea"/>
              <a:cs typeface="+mn-cs"/>
            </a:rPr>
            <a:t>19</a:t>
          </a:r>
          <a:endParaRPr lang="en-GB">
            <a:solidFill>
              <a:sysClr val="windowText" lastClr="000000"/>
            </a:solidFill>
            <a:effectLst/>
          </a:endParaRPr>
        </a:p>
        <a:p>
          <a:r>
            <a:rPr lang="en-US" sz="1100">
              <a:solidFill>
                <a:sysClr val="windowText" lastClr="000000"/>
              </a:solidFill>
              <a:effectLst/>
              <a:latin typeface="+mn-lt"/>
              <a:ea typeface="+mn-ea"/>
              <a:cs typeface="+mn-cs"/>
            </a:rPr>
            <a:t>                  Damage</a:t>
          </a:r>
          <a:r>
            <a:rPr lang="en-US" sz="1100" baseline="0">
              <a:solidFill>
                <a:sysClr val="windowText" lastClr="000000"/>
              </a:solidFill>
              <a:effectLst/>
              <a:latin typeface="+mn-lt"/>
              <a:ea typeface="+mn-ea"/>
              <a:cs typeface="+mn-cs"/>
            </a:rPr>
            <a:t> to other vessels: </a:t>
          </a:r>
          <a:r>
            <a:rPr lang="en-GB" sz="1100" baseline="0">
              <a:solidFill>
                <a:sysClr val="windowText" lastClr="000000"/>
              </a:solidFill>
              <a:effectLst/>
              <a:latin typeface="+mn-lt"/>
              <a:ea typeface="+mn-ea"/>
              <a:cs typeface="+mn-cs"/>
            </a:rPr>
            <a:t>20</a:t>
          </a:r>
          <a:endParaRPr lang="en-GB">
            <a:solidFill>
              <a:sysClr val="windowText" lastClr="000000"/>
            </a:solidFill>
            <a:effectLst/>
          </a:endParaRPr>
        </a:p>
        <a:p>
          <a:r>
            <a:rPr lang="en-US" sz="1100">
              <a:solidFill>
                <a:sysClr val="windowText" lastClr="000000"/>
              </a:solidFill>
              <a:effectLst/>
              <a:latin typeface="+mn-lt"/>
              <a:ea typeface="+mn-ea"/>
              <a:cs typeface="+mn-cs"/>
            </a:rPr>
            <a:t>                  Environmental Pollution: </a:t>
          </a:r>
          <a:r>
            <a:rPr lang="en-GB" sz="1100">
              <a:solidFill>
                <a:sysClr val="windowText" lastClr="000000"/>
              </a:solidFill>
              <a:effectLst/>
              <a:latin typeface="+mn-lt"/>
              <a:ea typeface="+mn-ea"/>
              <a:cs typeface="+mn-cs"/>
            </a:rPr>
            <a:t>22</a:t>
          </a:r>
          <a:endParaRPr lang="en-GB">
            <a:solidFill>
              <a:sysClr val="windowText" lastClr="000000"/>
            </a:solidFill>
            <a:effectLst/>
          </a:endParaRPr>
        </a:p>
        <a:p>
          <a:r>
            <a:rPr lang="en-US" sz="1100">
              <a:solidFill>
                <a:sysClr val="windowText" lastClr="000000"/>
              </a:solidFill>
              <a:effectLst/>
              <a:latin typeface="+mn-lt"/>
              <a:ea typeface="+mn-ea"/>
              <a:cs typeface="+mn-cs"/>
            </a:rPr>
            <a:t>                  Injury</a:t>
          </a:r>
          <a:r>
            <a:rPr lang="en-US" sz="1100" baseline="0">
              <a:solidFill>
                <a:sysClr val="windowText" lastClr="000000"/>
              </a:solidFill>
              <a:effectLst/>
              <a:latin typeface="+mn-lt"/>
              <a:ea typeface="+mn-ea"/>
              <a:cs typeface="+mn-cs"/>
            </a:rPr>
            <a:t> to third parties: </a:t>
          </a:r>
          <a:r>
            <a:rPr lang="en-GB" sz="1100" baseline="0">
              <a:solidFill>
                <a:sysClr val="windowText" lastClr="000000"/>
              </a:solidFill>
              <a:effectLst/>
              <a:latin typeface="+mn-lt"/>
              <a:ea typeface="+mn-ea"/>
              <a:cs typeface="+mn-cs"/>
            </a:rPr>
            <a:t>18</a:t>
          </a:r>
          <a:endParaRPr lang="en-GB">
            <a:solidFill>
              <a:sysClr val="windowText" lastClr="000000"/>
            </a:solidFill>
            <a:effectLst/>
          </a:endParaRPr>
        </a:p>
        <a:p>
          <a:endParaRPr lang="en-US" b="1">
            <a:solidFill>
              <a:sysClr val="windowText" lastClr="000000"/>
            </a:solidFill>
          </a:endParaRPr>
        </a:p>
        <a:p>
          <a:r>
            <a:rPr lang="en-US" b="1">
              <a:solidFill>
                <a:sysClr val="windowText" lastClr="000000"/>
              </a:solidFill>
            </a:rPr>
            <a:t>Key Findings</a:t>
          </a:r>
          <a:r>
            <a:rPr lang="en-US">
              <a:solidFill>
                <a:sysClr val="windowText" lastClr="000000"/>
              </a:solidFill>
            </a:rPr>
            <a:t>: Environmental Pollution poses the highest risk due to its potential for catastrophic losses, and is also the most frequent</a:t>
          </a:r>
          <a:r>
            <a:rPr lang="en-US" baseline="0">
              <a:solidFill>
                <a:sysClr val="windowText" lastClr="000000"/>
              </a:solidFill>
            </a:rPr>
            <a:t> claim type observed.</a:t>
          </a:r>
          <a:r>
            <a:rPr lang="en-US">
              <a:solidFill>
                <a:sysClr val="windowText" lastClr="000000"/>
              </a:solidFill>
            </a:rPr>
            <a:t> Collision</a:t>
          </a:r>
          <a:r>
            <a:rPr lang="en-US" baseline="0">
              <a:solidFill>
                <a:sysClr val="windowText" lastClr="000000"/>
              </a:solidFill>
            </a:rPr>
            <a:t> Liability, </a:t>
          </a:r>
          <a:r>
            <a:rPr lang="en-US">
              <a:solidFill>
                <a:sysClr val="windowText" lastClr="000000"/>
              </a:solidFill>
            </a:rPr>
            <a:t>Cargo Liability, though  frequent, have lower severities.</a:t>
          </a:r>
        </a:p>
        <a:p>
          <a:endParaRPr lang="en-US">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Summary by cause of loss:</a:t>
          </a:r>
          <a:endParaRPr lang="en-US">
            <a:solidFill>
              <a:sysClr val="windowText" lastClr="000000"/>
            </a:solidFill>
          </a:endParaRPr>
        </a:p>
        <a:p>
          <a:r>
            <a:rPr lang="en-US">
              <a:solidFill>
                <a:sysClr val="windowText" lastClr="000000"/>
              </a:solidFill>
            </a:rPr>
            <a:t>The most frequent</a:t>
          </a:r>
          <a:r>
            <a:rPr lang="en-US" baseline="0">
              <a:solidFill>
                <a:sysClr val="windowText" lastClr="000000"/>
              </a:solidFill>
            </a:rPr>
            <a:t> cause of loss is Technical failure followed by human error. While both of these are high frequency events, they have the lowest severity compared to the other causes of loss.</a:t>
          </a:r>
        </a:p>
        <a:p>
          <a:endParaRPr lang="en-US" baseline="0">
            <a:solidFill>
              <a:sysClr val="windowText" lastClr="000000"/>
            </a:solidFill>
          </a:endParaRPr>
        </a:p>
        <a:p>
          <a:r>
            <a:rPr lang="en-US" b="1" baseline="0">
              <a:solidFill>
                <a:sysClr val="windowText" lastClr="000000"/>
              </a:solidFill>
            </a:rPr>
            <a:t>Summary by loss location:</a:t>
          </a:r>
        </a:p>
        <a:p>
          <a:r>
            <a:rPr lang="en-US" baseline="0">
              <a:solidFill>
                <a:sysClr val="windowText" lastClr="000000"/>
              </a:solidFill>
            </a:rPr>
            <a:t>The most common loss location is in the Atlantic ocean accounting for 23% of claims. This also is the highest severity loss location, which is partly due to the occurrence of a $5m loss in this location.</a:t>
          </a:r>
        </a:p>
        <a:p>
          <a:endParaRPr lang="en-US"/>
        </a:p>
        <a:p>
          <a:r>
            <a:rPr lang="en-US" b="1"/>
            <a:t>Assumptions</a:t>
          </a:r>
          <a:r>
            <a:rPr lang="en-US"/>
            <a:t>:</a:t>
          </a:r>
        </a:p>
        <a:p>
          <a:r>
            <a:rPr lang="en-US" b="1"/>
            <a:t>Commission</a:t>
          </a:r>
          <a:r>
            <a:rPr lang="en-US"/>
            <a:t> is set to </a:t>
          </a:r>
          <a:r>
            <a:rPr lang="en-US" b="1"/>
            <a:t>0%</a:t>
          </a:r>
          <a:r>
            <a:rPr lang="en-US"/>
            <a:t>.</a:t>
          </a:r>
        </a:p>
        <a:p>
          <a:r>
            <a:rPr lang="en-US"/>
            <a:t>No adjustments are required for </a:t>
          </a:r>
          <a:r>
            <a:rPr lang="en-US" b="1"/>
            <a:t>claims development patterns</a:t>
          </a:r>
          <a:r>
            <a:rPr lang="en-US"/>
            <a:t>.</a:t>
          </a:r>
        </a:p>
        <a:p>
          <a:r>
            <a:rPr lang="en-US"/>
            <a:t>The policy period runs from </a:t>
          </a:r>
          <a:r>
            <a:rPr lang="en-US" b="1"/>
            <a:t>1/1 – 31/12 each year</a:t>
          </a:r>
          <a:r>
            <a:rPr lang="en-US"/>
            <a:t>.</a:t>
          </a:r>
          <a:br>
            <a:rPr lang="en-US"/>
          </a:br>
          <a:endParaRPr lang="en-US"/>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GB">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endParaRPr lang="en-GB">
            <a:effectLst/>
          </a:endParaRPr>
        </a:p>
        <a:p>
          <a:endParaRPr lang="en-US" b="1"/>
        </a:p>
        <a:p>
          <a:r>
            <a:rPr lang="en-US"/>
            <a:t>The </a:t>
          </a:r>
          <a:r>
            <a:rPr lang="en-US" b="1"/>
            <a:t>expected</a:t>
          </a:r>
          <a:r>
            <a:rPr lang="en-US" b="1" baseline="0"/>
            <a:t> loss per unit of gross tonnage </a:t>
          </a:r>
          <a:r>
            <a:rPr lang="en-US"/>
            <a:t>was calculated for each year using historical loss</a:t>
          </a:r>
          <a:r>
            <a:rPr lang="en-US" baseline="0"/>
            <a:t> frequency </a:t>
          </a:r>
          <a:r>
            <a:rPr lang="en-US"/>
            <a:t>and severity, adjusted for inflation:</a:t>
          </a:r>
        </a:p>
        <a:p>
          <a:endParaRPr lang="en-US"/>
        </a:p>
        <a:p>
          <a:r>
            <a:rPr lang="en-US" b="1"/>
            <a:t>Claim Year	Loss Frequency    Loss Severity      Expected</a:t>
          </a:r>
          <a:r>
            <a:rPr lang="en-US" b="1" baseline="0"/>
            <a:t> Loss per Unit of Gross Tonnage</a:t>
          </a:r>
          <a:br>
            <a:rPr lang="en-US" b="1"/>
          </a:br>
          <a:r>
            <a:rPr lang="en-US" b="0"/>
            <a:t>2018</a:t>
          </a:r>
          <a:r>
            <a:rPr lang="en-US" baseline="0"/>
            <a:t>         </a:t>
          </a:r>
          <a:r>
            <a:rPr lang="en-US"/>
            <a:t>               </a:t>
          </a:r>
          <a:r>
            <a:rPr lang="en-US" sz="1100" b="0" i="0" u="none" strike="noStrike">
              <a:solidFill>
                <a:schemeClr val="tx1"/>
              </a:solidFill>
              <a:effectLst/>
              <a:latin typeface="+mn-lt"/>
              <a:ea typeface="+mn-ea"/>
              <a:cs typeface="+mn-cs"/>
            </a:rPr>
            <a:t>   0.000000222 </a:t>
          </a:r>
          <a:r>
            <a:rPr lang="en-US"/>
            <a:t>             $642,823	</a:t>
          </a:r>
          <a:r>
            <a:rPr lang="en-US" baseline="0"/>
            <a:t>       $0.14</a:t>
          </a:r>
          <a:endParaRPr lang="en-US"/>
        </a:p>
        <a:p>
          <a:r>
            <a:rPr lang="en-US"/>
            <a:t>2019                           </a:t>
          </a:r>
          <a:r>
            <a:rPr lang="en-US" sz="1100" b="0" i="0" u="none" strike="noStrike">
              <a:solidFill>
                <a:schemeClr val="tx1"/>
              </a:solidFill>
              <a:effectLst/>
              <a:latin typeface="+mn-lt"/>
              <a:ea typeface="+mn-ea"/>
              <a:cs typeface="+mn-cs"/>
            </a:rPr>
            <a:t>0.000000347 </a:t>
          </a:r>
          <a:r>
            <a:rPr lang="en-US"/>
            <a:t>             $609,717            $0.21</a:t>
          </a:r>
        </a:p>
        <a:p>
          <a:r>
            <a:rPr lang="en-US"/>
            <a:t>2020                           </a:t>
          </a:r>
          <a:r>
            <a:rPr lang="en-US" sz="1100" b="0" i="0" u="none" strike="noStrike">
              <a:solidFill>
                <a:schemeClr val="tx1"/>
              </a:solidFill>
              <a:effectLst/>
              <a:latin typeface="+mn-lt"/>
              <a:ea typeface="+mn-ea"/>
              <a:cs typeface="+mn-cs"/>
            </a:rPr>
            <a:t>0.000000479 </a:t>
          </a:r>
          <a:r>
            <a:rPr lang="en-US"/>
            <a:t>             </a:t>
          </a:r>
          <a:r>
            <a:rPr lang="en-US" baseline="0"/>
            <a:t>$603,662</a:t>
          </a:r>
          <a:r>
            <a:rPr lang="en-US"/>
            <a:t>            $0.29</a:t>
          </a:r>
        </a:p>
        <a:p>
          <a:r>
            <a:rPr lang="en-US"/>
            <a:t>2021                           </a:t>
          </a:r>
          <a:r>
            <a:rPr lang="en-US" sz="1100" b="0" i="0" u="none" strike="noStrike">
              <a:solidFill>
                <a:schemeClr val="tx1"/>
              </a:solidFill>
              <a:effectLst/>
              <a:latin typeface="+mn-lt"/>
              <a:ea typeface="+mn-ea"/>
              <a:cs typeface="+mn-cs"/>
            </a:rPr>
            <a:t>0.000000482 </a:t>
          </a:r>
          <a:r>
            <a:rPr lang="en-US"/>
            <a:t>            </a:t>
          </a:r>
          <a:r>
            <a:rPr lang="en-US" baseline="0"/>
            <a:t> $598,316</a:t>
          </a:r>
          <a:r>
            <a:rPr lang="en-US"/>
            <a:t>            $0.29</a:t>
          </a:r>
        </a:p>
        <a:p>
          <a:r>
            <a:rPr lang="en-US"/>
            <a:t>2022                           </a:t>
          </a:r>
          <a:r>
            <a:rPr lang="en-US" sz="1100" b="0" i="0" u="none" strike="noStrike">
              <a:solidFill>
                <a:schemeClr val="tx1"/>
              </a:solidFill>
              <a:effectLst/>
              <a:latin typeface="+mn-lt"/>
              <a:ea typeface="+mn-ea"/>
              <a:cs typeface="+mn-cs"/>
            </a:rPr>
            <a:t>0.000000367 </a:t>
          </a:r>
          <a:r>
            <a:rPr lang="en-US"/>
            <a:t>             $609,484            $0.22</a:t>
          </a:r>
        </a:p>
        <a:p>
          <a:r>
            <a:rPr lang="en-US"/>
            <a:t>2023                           </a:t>
          </a:r>
          <a:r>
            <a:rPr lang="en-US" sz="1100" b="0" i="0" u="none" strike="noStrike">
              <a:solidFill>
                <a:schemeClr val="tx1"/>
              </a:solidFill>
              <a:effectLst/>
              <a:latin typeface="+mn-lt"/>
              <a:ea typeface="+mn-ea"/>
              <a:cs typeface="+mn-cs"/>
            </a:rPr>
            <a:t>0.000000358 	</a:t>
          </a:r>
          <a:r>
            <a:rPr lang="en-US" sz="1100" b="0" i="0" u="none" strike="noStrike" baseline="0">
              <a:solidFill>
                <a:schemeClr val="tx1"/>
              </a:solidFill>
              <a:effectLst/>
              <a:latin typeface="+mn-lt"/>
              <a:ea typeface="+mn-ea"/>
              <a:cs typeface="+mn-cs"/>
            </a:rPr>
            <a:t>          $465,367.           $0.17</a:t>
          </a:r>
          <a:endParaRPr lang="en-US"/>
        </a:p>
        <a:p>
          <a:endParaRPr lang="en-US"/>
        </a:p>
        <a:p>
          <a:r>
            <a:rPr lang="en-US" b="1"/>
            <a:t>Average Frequency:</a:t>
          </a:r>
          <a:r>
            <a:rPr lang="en-US" sz="1100" b="0" i="0" u="none" strike="noStrike">
              <a:solidFill>
                <a:schemeClr val="tx1"/>
              </a:solidFill>
              <a:effectLst/>
              <a:latin typeface="+mn-lt"/>
              <a:ea typeface="+mn-ea"/>
              <a:cs typeface="+mn-cs"/>
            </a:rPr>
            <a:t>  </a:t>
          </a:r>
          <a:r>
            <a:rPr lang="en-US" sz="1100" b="1" i="0" u="none" strike="noStrike">
              <a:solidFill>
                <a:schemeClr val="tx1"/>
              </a:solidFill>
              <a:effectLst/>
              <a:latin typeface="+mn-lt"/>
              <a:ea typeface="+mn-ea"/>
              <a:cs typeface="+mn-cs"/>
            </a:rPr>
            <a:t>0.000000376</a:t>
          </a:r>
          <a:r>
            <a:rPr lang="en-US" sz="1100" b="0" i="0" u="none" strike="noStrike">
              <a:solidFill>
                <a:schemeClr val="tx1"/>
              </a:solidFill>
              <a:effectLst/>
              <a:latin typeface="+mn-lt"/>
              <a:ea typeface="+mn-ea"/>
              <a:cs typeface="+mn-cs"/>
            </a:rPr>
            <a:t> </a:t>
          </a:r>
          <a:endParaRPr lang="en-US" b="1"/>
        </a:p>
        <a:p>
          <a:r>
            <a:rPr lang="en-US" b="1"/>
            <a:t>Average Severity per Claim:  $588,228</a:t>
          </a:r>
        </a:p>
        <a:p>
          <a:r>
            <a:rPr lang="en-US" b="1"/>
            <a:t>2024 Expected</a:t>
          </a:r>
          <a:r>
            <a:rPr lang="en-US" b="1" baseline="0"/>
            <a:t> Gross Tonnage: 40,000,000</a:t>
          </a:r>
          <a:endParaRPr lang="en-US" b="1"/>
        </a:p>
        <a:p>
          <a:r>
            <a:rPr lang="en-US" b="1"/>
            <a:t>Total Risk Premium excl. large loss loading: $</a:t>
          </a:r>
          <a:r>
            <a:rPr lang="en-US" sz="1100" b="1" i="0" u="none" strike="noStrike">
              <a:solidFill>
                <a:schemeClr val="tx1"/>
              </a:solidFill>
              <a:effectLst/>
              <a:latin typeface="+mn-lt"/>
              <a:ea typeface="+mn-ea"/>
              <a:cs typeface="+mn-cs"/>
            </a:rPr>
            <a:t>8,841,969.38</a:t>
          </a:r>
          <a:br>
            <a:rPr lang="en-US"/>
          </a:br>
          <a:r>
            <a:rPr lang="en-US" sz="1100" b="1">
              <a:solidFill>
                <a:schemeClr val="tx1"/>
              </a:solidFill>
              <a:effectLst/>
              <a:latin typeface="+mn-lt"/>
              <a:ea typeface="+mn-ea"/>
              <a:cs typeface="+mn-cs"/>
            </a:rPr>
            <a:t>Total Risk Premium incl. large loss loading: $</a:t>
          </a:r>
          <a:r>
            <a:rPr lang="en-GB" sz="1100" b="1" i="0" u="none" strike="noStrike">
              <a:solidFill>
                <a:schemeClr val="tx1"/>
              </a:solidFill>
              <a:effectLst/>
              <a:latin typeface="+mn-lt"/>
              <a:ea typeface="+mn-ea"/>
              <a:cs typeface="+mn-cs"/>
            </a:rPr>
            <a:t>9,104,666.75</a:t>
          </a:r>
          <a:r>
            <a:rPr lang="en-GB"/>
            <a:t> </a:t>
          </a:r>
          <a:endParaRPr lang="en-GB" sz="1100" b="1" i="0" u="none" strike="noStrike">
            <a:solidFill>
              <a:schemeClr val="tx1"/>
            </a:solidFill>
            <a:effectLst/>
            <a:latin typeface="+mn-lt"/>
            <a:ea typeface="+mn-ea"/>
            <a:cs typeface="+mn-cs"/>
          </a:endParaRPr>
        </a:p>
        <a:p>
          <a:endParaRPr lang="en-GB" sz="1100" b="1" i="0" u="none" strike="noStrike">
            <a:solidFill>
              <a:schemeClr val="tx1"/>
            </a:solidFill>
            <a:effectLst/>
            <a:latin typeface="+mn-lt"/>
            <a:ea typeface="+mn-ea"/>
            <a:cs typeface="+mn-cs"/>
          </a:endParaRPr>
        </a:p>
        <a:p>
          <a:r>
            <a:rPr lang="en-US" b="1"/>
            <a:t>Adjustments:</a:t>
          </a:r>
        </a:p>
        <a:p>
          <a:r>
            <a:rPr lang="en-US" b="1"/>
            <a:t>Expense Loading</a:t>
          </a:r>
          <a:r>
            <a:rPr lang="en-US"/>
            <a:t>: 30%</a:t>
          </a:r>
        </a:p>
        <a:p>
          <a:r>
            <a:rPr lang="en-US" b="1"/>
            <a:t>Profit Margin</a:t>
          </a:r>
          <a:r>
            <a:rPr lang="en-US"/>
            <a:t>: 10%</a:t>
          </a:r>
        </a:p>
        <a:p>
          <a:r>
            <a:rPr lang="en-US" b="1"/>
            <a:t>Commission: </a:t>
          </a:r>
          <a:r>
            <a:rPr lang="en-US"/>
            <a:t>Nil</a:t>
          </a:r>
        </a:p>
        <a:p>
          <a:r>
            <a:rPr lang="en-US" b="1"/>
            <a:t>Large Loss Loading</a:t>
          </a:r>
          <a:r>
            <a:rPr lang="en-US"/>
            <a:t>: </a:t>
          </a:r>
          <a:r>
            <a:rPr lang="en-US" sz="1100" b="0" i="0" u="none" strike="noStrike">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r>
            <a:rPr lang="en-US" b="1"/>
            <a:t>Final Premium:</a:t>
          </a:r>
        </a:p>
        <a:p>
          <a:pPr marL="0" marR="0" lvl="0" indent="0" defTabSz="914400" eaLnBrk="1" fontAlgn="auto" latinLnBrk="0" hangingPunct="1">
            <a:lnSpc>
              <a:spcPct val="100000"/>
            </a:lnSpc>
            <a:spcBef>
              <a:spcPts val="0"/>
            </a:spcBef>
            <a:spcAft>
              <a:spcPts val="0"/>
            </a:spcAft>
            <a:buClrTx/>
            <a:buSzTx/>
            <a:buFontTx/>
            <a:buNone/>
            <a:tabLst/>
            <a:defRPr/>
          </a:pPr>
          <a:r>
            <a:rPr lang="en-US"/>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GB">
            <a:effectLst/>
          </a:endParaRPr>
        </a:p>
        <a:p>
          <a:r>
            <a:rPr lang="en-US"/>
            <a:t>×1.30×1.10=</a:t>
          </a:r>
          <a:r>
            <a:rPr lang="en-US" sz="1100" b="1" i="0" u="none" strike="noStrike">
              <a:solidFill>
                <a:schemeClr val="tx1"/>
              </a:solidFill>
              <a:effectLst/>
              <a:latin typeface="+mn-lt"/>
              <a:ea typeface="+mn-ea"/>
              <a:cs typeface="+mn-cs"/>
            </a:rPr>
            <a:t>$13,019,673.45</a:t>
          </a:r>
          <a:r>
            <a:rPr lang="en-US"/>
            <a:t> </a:t>
          </a:r>
          <a:br>
            <a:rPr lang="en-US"/>
          </a:br>
          <a:br>
            <a:rPr lang="en-US"/>
          </a:br>
          <a:r>
            <a:rPr lang="en-US" b="1"/>
            <a:t>6. Sensitivity Analysis on a claim type</a:t>
          </a:r>
        </a:p>
        <a:p>
          <a:r>
            <a:rPr lang="en-US" b="1"/>
            <a:t>Scenario</a:t>
          </a:r>
          <a:r>
            <a:rPr lang="en-US"/>
            <a:t>: A 6% increase in the severity of </a:t>
          </a:r>
          <a:r>
            <a:rPr lang="en-US" b="1"/>
            <a:t>all </a:t>
          </a:r>
          <a:r>
            <a:rPr lang="en-US"/>
            <a:t>claims.</a:t>
          </a:r>
        </a:p>
        <a:p>
          <a:endParaRPr lang="en-US"/>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can help us understand how material any assumptions made are as well as the potential impact of future trends e.g. if an increase in claim severity is expected due to court inflation or changes in legal rulings.</a:t>
          </a:r>
        </a:p>
        <a:p>
          <a:endParaRPr lang="en-US"/>
        </a:p>
        <a:p>
          <a:r>
            <a:rPr lang="en-US" b="1"/>
            <a:t>New Loss Severity for claims</a:t>
          </a:r>
          <a:r>
            <a:rPr lang="en-US"/>
            <a:t>: </a:t>
          </a:r>
          <a:r>
            <a:rPr lang="en-GB" sz="1100" b="0" i="0" u="none" strike="noStrike">
              <a:solidFill>
                <a:schemeClr val="tx1"/>
              </a:solidFill>
              <a:effectLst/>
              <a:latin typeface="+mn-lt"/>
              <a:ea typeface="+mn-ea"/>
              <a:cs typeface="+mn-cs"/>
            </a:rPr>
            <a:t>$623,521.95</a:t>
          </a:r>
          <a:br>
            <a:rPr lang="en-US"/>
          </a:br>
          <a:r>
            <a:rPr lang="en-US" b="1"/>
            <a:t>New Pure Premium</a:t>
          </a:r>
          <a:r>
            <a:rPr lang="en-US"/>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0.000000376 </a:t>
          </a:r>
          <a:r>
            <a:rPr lang="en-US"/>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u="none" strike="noStrike">
              <a:solidFill>
                <a:schemeClr val="tx1"/>
              </a:solidFill>
              <a:effectLst/>
              <a:latin typeface="+mn-lt"/>
              <a:ea typeface="+mn-ea"/>
              <a:cs typeface="+mn-cs"/>
            </a:rPr>
            <a:t>262,697.37</a:t>
          </a:r>
          <a:r>
            <a:rPr lang="en-GB"/>
            <a:t> </a:t>
          </a:r>
          <a:r>
            <a:rPr lang="en-GB" sz="1100">
              <a:solidFill>
                <a:schemeClr val="tx1"/>
              </a:solidFill>
              <a:effectLst/>
              <a:latin typeface="+mn-lt"/>
              <a:ea typeface="+mn-ea"/>
              <a:cs typeface="+mn-cs"/>
            </a:rPr>
            <a:t> </a:t>
          </a:r>
          <a:r>
            <a:rPr lang="en-US"/>
            <a:t> = $9,635,184.91 </a:t>
          </a:r>
        </a:p>
        <a:p>
          <a:pPr marL="0" marR="0" lvl="0" indent="0" defTabSz="914400" eaLnBrk="1" fontAlgn="auto" latinLnBrk="0" hangingPunct="1">
            <a:lnSpc>
              <a:spcPct val="100000"/>
            </a:lnSpc>
            <a:spcBef>
              <a:spcPts val="0"/>
            </a:spcBef>
            <a:spcAft>
              <a:spcPts val="0"/>
            </a:spcAft>
            <a:buClrTx/>
            <a:buSzTx/>
            <a:buFontTx/>
            <a:buNone/>
            <a:tabLst/>
            <a:defRPr/>
          </a:pPr>
          <a:r>
            <a:rPr lang="en-US" b="1"/>
            <a:t>New Office</a:t>
          </a:r>
          <a:r>
            <a:rPr lang="en-US" b="1" baseline="0"/>
            <a:t> Premium: </a:t>
          </a:r>
          <a:r>
            <a:rPr lang="en-US" sz="1100">
              <a:solidFill>
                <a:schemeClr val="tx1"/>
              </a:solidFill>
              <a:effectLst/>
              <a:latin typeface="+mn-lt"/>
              <a:ea typeface="+mn-ea"/>
              <a:cs typeface="+mn-cs"/>
            </a:rPr>
            <a:t>$9,635,184.91 ×1.30×1.10 = $13,778,314.42 </a:t>
          </a:r>
          <a:br>
            <a:rPr lang="en-US" b="1"/>
          </a:br>
          <a:endParaRPr lang="en-US" b="1"/>
        </a:p>
        <a:p>
          <a:r>
            <a:rPr lang="en-US" b="1"/>
            <a:t>Key Assumptions</a:t>
          </a:r>
        </a:p>
        <a:p>
          <a:r>
            <a:rPr lang="en-US" b="1"/>
            <a:t>Inflation Adjustments</a:t>
          </a:r>
          <a:endParaRPr lang="en-US"/>
        </a:p>
        <a:p>
          <a:pPr lvl="1"/>
          <a:r>
            <a:rPr lang="en-US" b="1"/>
            <a:t>Assumption</a:t>
          </a:r>
          <a:r>
            <a:rPr lang="en-US"/>
            <a:t>: Claims amounts from 2018 to 2023 were adjusted for inflation using industry-standard indices.</a:t>
          </a:r>
        </a:p>
        <a:p>
          <a:pPr lvl="1"/>
          <a:r>
            <a:rPr lang="en-US" b="1"/>
            <a:t>Rationale</a:t>
          </a:r>
          <a:r>
            <a:rPr lang="en-US"/>
            <a:t>: Inflation adjustments ensure that historical claims are compared on a like-for-like basis with claims from recent years.</a:t>
          </a:r>
        </a:p>
        <a:p>
          <a:pPr lvl="1"/>
          <a:r>
            <a:rPr lang="en-US" b="1"/>
            <a:t>Impact</a:t>
          </a:r>
          <a:r>
            <a:rPr lang="en-US"/>
            <a:t>: By adjusting for inflation, the premium calculation reflects the true cost of covering risks in today’s economic conditions.</a:t>
          </a:r>
        </a:p>
        <a:p>
          <a:r>
            <a:rPr lang="en-US" b="1"/>
            <a:t>Exposure (Gross tonnage)</a:t>
          </a:r>
          <a:endParaRPr lang="en-US"/>
        </a:p>
        <a:p>
          <a:pPr lvl="1"/>
          <a:r>
            <a:rPr lang="en-US" b="1"/>
            <a:t>Assumption</a:t>
          </a:r>
          <a:r>
            <a:rPr lang="en-US"/>
            <a:t>: 2024 gross tonnage is expected to be</a:t>
          </a:r>
          <a:r>
            <a:rPr lang="en-US" baseline="0"/>
            <a:t> 40m as provided by the client.</a:t>
          </a:r>
          <a:endParaRPr lang="en-US"/>
        </a:p>
        <a:p>
          <a:pPr lvl="1"/>
          <a:r>
            <a:rPr lang="en-US" b="1"/>
            <a:t>Rationale</a:t>
          </a:r>
          <a:r>
            <a:rPr lang="en-US"/>
            <a:t>: Exposure is critical for adjusting the pure premium calculation, as it reflects the volume of risk the insurer covers.</a:t>
          </a:r>
        </a:p>
        <a:p>
          <a:pPr lvl="1"/>
          <a:r>
            <a:rPr lang="en-US" b="1"/>
            <a:t>Impact</a:t>
          </a:r>
          <a:r>
            <a:rPr lang="en-US"/>
            <a:t>: The gross tonnage directly affects the overall premium. All else equal, higher</a:t>
          </a:r>
          <a:r>
            <a:rPr lang="en-US" baseline="0"/>
            <a:t> gross tonnage would lead to a higher premium as there is greater exposure to risk.</a:t>
          </a:r>
        </a:p>
        <a:p>
          <a:pPr marL="0" lvl="1"/>
          <a:r>
            <a:rPr lang="en-US" b="1" baseline="0"/>
            <a:t>Large loss Event and Return Period</a:t>
          </a:r>
        </a:p>
        <a:p>
          <a:pPr lvl="1"/>
          <a:r>
            <a:rPr lang="en-US" b="1"/>
            <a:t>Assumption</a:t>
          </a:r>
          <a:r>
            <a:rPr lang="en-US"/>
            <a:t>: A large loss event related to environmental pollution occurred in the dataset, with a claim cost  of $5.1 million. We assumed that large loss events of this size occur once every 20 years.</a:t>
          </a:r>
        </a:p>
        <a:p>
          <a:pPr lvl="1"/>
          <a:r>
            <a:rPr lang="en-US" b="1"/>
            <a:t>Rationale</a:t>
          </a:r>
          <a:r>
            <a:rPr lang="en-US"/>
            <a:t>: Large loss events are rare but can have a significant financial impact, so the return period allows for the financial impact to be spread across several years,</a:t>
          </a:r>
          <a:r>
            <a:rPr lang="en-US" baseline="0"/>
            <a:t> and adjust the premium to allow for the expected likelihood of such events reoccurring. This prevents clients facing significant premium increases following such events.</a:t>
          </a:r>
          <a:endParaRPr lang="en-US"/>
        </a:p>
        <a:p>
          <a:pPr lvl="1"/>
          <a:r>
            <a:rPr lang="en-US" b="1"/>
            <a:t>Impact</a:t>
          </a:r>
          <a:r>
            <a:rPr lang="en-US"/>
            <a:t>: A large loss loading was calculated and added to the premium to account for the likelihood of large loss events.</a:t>
          </a:r>
        </a:p>
        <a:p>
          <a:r>
            <a:rPr lang="en-US" b="1"/>
            <a:t>Expense and Profit Margin Loading</a:t>
          </a:r>
          <a:endParaRPr lang="en-US"/>
        </a:p>
        <a:p>
          <a:pPr lvl="1"/>
          <a:r>
            <a:rPr lang="en-US" b="1"/>
            <a:t>Assumption</a:t>
          </a:r>
          <a:r>
            <a:rPr lang="en-US"/>
            <a:t>: An expense loading of 30% was applied to account for administrative costs, claims handling, and other operational expenses, and a profit margin of 10% was added to ensure profitability. A 0% commission was applied as there is no</a:t>
          </a:r>
          <a:r>
            <a:rPr lang="en-US" baseline="0"/>
            <a:t> commission payable to the broker who is acting as an intermediary between the client and insurer.</a:t>
          </a:r>
          <a:endParaRPr lang="en-US"/>
        </a:p>
        <a:p>
          <a:pPr lvl="1"/>
          <a:r>
            <a:rPr lang="en-US" b="1"/>
            <a:t>Rationale</a:t>
          </a:r>
          <a:r>
            <a:rPr lang="en-US"/>
            <a:t>: These loadings are standard practices in insurance pricing to ensure the insurer can cover its costs and remain profitable.</a:t>
          </a:r>
        </a:p>
        <a:p>
          <a:pPr lvl="1"/>
          <a:r>
            <a:rPr lang="en-US" b="1"/>
            <a:t>Impact</a:t>
          </a:r>
          <a:r>
            <a:rPr lang="en-US"/>
            <a:t>: These loadings were added on top of the pure premium to calculate the final premium charged to the policyholder.</a:t>
          </a:r>
        </a:p>
        <a:p>
          <a:pPr marL="0" marR="0" lvl="1"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p>
        <a:p>
          <a:pPr marL="0" marR="0" lvl="1"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Deductibles: </a:t>
          </a:r>
          <a:r>
            <a:rPr lang="en-GB">
              <a:effectLst/>
            </a:rPr>
            <a:t>Deductibles in the upcoming policy period will be the same as deductible in prior policy periods.</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Policy Period:</a:t>
          </a:r>
          <a:r>
            <a:rPr lang="en-GB" b="1" baseline="0">
              <a:effectLst/>
            </a:rPr>
            <a:t> </a:t>
          </a:r>
          <a:r>
            <a:rPr lang="en-GB" baseline="0">
              <a:effectLst/>
            </a:rPr>
            <a:t>Individual policies run from 1/1 - 31/12 each year</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101600</xdr:colOff>
      <xdr:row>1</xdr:row>
      <xdr:rowOff>50800</xdr:rowOff>
    </xdr:from>
    <xdr:ext cx="7696200" cy="2166620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696200" cy="2166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1. Executive Summary</a:t>
          </a:r>
        </a:p>
        <a:p>
          <a:r>
            <a:rPr lang="en-US" b="1"/>
            <a:t>Instruction</a:t>
          </a:r>
          <a:r>
            <a:rPr lang="en-US"/>
            <a:t>: Provide an overview of the analysis. Focus on the purpose of the report, the time frame of the data, and the key elements you are analysing (e.g., loss frequency, severity, inflation adjustments, etc.). Include the policy period (from 1/1 – 31/12 each year).</a:t>
          </a:r>
        </a:p>
        <a:p>
          <a:endParaRPr lang="en-US"/>
        </a:p>
        <a:p>
          <a:r>
            <a:rPr lang="en-US" b="1"/>
            <a:t>Example Summary</a:t>
          </a:r>
          <a:r>
            <a:rPr lang="en-US"/>
            <a:t>: "This report assesses the pricing for Marine Liability Insurance using claims data from [input year range]. The analysis focuses on key pricing elements including [input elements such as loss frequency and severity on a yearly basis]."</a:t>
          </a:r>
        </a:p>
        <a:p>
          <a:endParaRPr lang="en-US"/>
        </a:p>
        <a:p>
          <a:r>
            <a:rPr lang="en-US" b="1"/>
            <a:t>2. Data Overview</a:t>
          </a:r>
        </a:p>
        <a:p>
          <a:r>
            <a:rPr lang="en-US" b="1"/>
            <a:t>Instruction</a:t>
          </a:r>
          <a:r>
            <a:rPr lang="en-US"/>
            <a:t>: Summarize the dataset, describing the number of claims, key variables (claim types, policy limits, deductibles), and the status of the claims.</a:t>
          </a:r>
        </a:p>
        <a:p>
          <a:endParaRPr lang="en-US" b="1"/>
        </a:p>
        <a:p>
          <a:r>
            <a:rPr lang="en-US" b="1"/>
            <a:t>3. Exploratory Data Analysis (EDA)</a:t>
          </a:r>
        </a:p>
        <a:p>
          <a:r>
            <a:rPr lang="en-US" b="1"/>
            <a:t>Instruction</a:t>
          </a:r>
          <a:r>
            <a:rPr lang="en-US"/>
            <a:t>: Describe the patterns you observe in the data, including the distribution of claim types, high-severity claims, and any trends in claims frequency/count and severity. Highlight any outliers such as large loss events.</a:t>
          </a:r>
        </a:p>
        <a:p>
          <a:r>
            <a:rPr lang="en-US" b="1"/>
            <a:t>Example Entry</a:t>
          </a:r>
          <a:r>
            <a:rPr lang="en-US"/>
            <a:t>: "Claims data shows that [input claim types] are the most frequent, accounting for [input %] of all claims. The highest severity claims are [input claim types], with one large loss event exceeding [input $]."</a:t>
          </a:r>
        </a:p>
        <a:p>
          <a:endParaRPr lang="en-US" b="1"/>
        </a:p>
        <a:p>
          <a:r>
            <a:rPr lang="en-US" b="1"/>
            <a:t>4. Risk Assessment</a:t>
          </a:r>
        </a:p>
        <a:p>
          <a:r>
            <a:rPr lang="en-US" b="1"/>
            <a:t>Instruction</a:t>
          </a:r>
          <a:r>
            <a:rPr lang="en-US"/>
            <a:t>: Analyse historical claims data to calculate loss frequency and severity per year based on claim type. Additionally, provide a brief summarise any notable</a:t>
          </a:r>
          <a:r>
            <a:rPr lang="en-US" baseline="0"/>
            <a:t> trends or features when analysing loss frequency and severity from the analysis by loss location and cause of loss conducted in the "Exploratory" tab. </a:t>
          </a:r>
          <a:endParaRPr lang="en-US"/>
        </a:p>
        <a:p>
          <a:r>
            <a:rPr lang="en-US" b="1"/>
            <a:t>Example Entry</a:t>
          </a:r>
          <a:r>
            <a:rPr lang="en-US"/>
            <a:t>: "Based on historical data, [input claim type] has the highest loss severity due to [input reason]."</a:t>
          </a:r>
        </a:p>
        <a:p>
          <a:endParaRPr lang="en-US" b="1"/>
        </a:p>
        <a:p>
          <a:r>
            <a:rPr lang="en-US" b="1"/>
            <a:t>5. Premium Calculation by Year</a:t>
          </a:r>
        </a:p>
        <a:p>
          <a:pPr marL="0" marR="0" lvl="0" indent="0" defTabSz="914400" eaLnBrk="1" fontAlgn="auto" latinLnBrk="0" hangingPunct="1">
            <a:lnSpc>
              <a:spcPct val="100000"/>
            </a:lnSpc>
            <a:spcBef>
              <a:spcPts val="0"/>
            </a:spcBef>
            <a:spcAft>
              <a:spcPts val="0"/>
            </a:spcAft>
            <a:buClrTx/>
            <a:buSzTx/>
            <a:buFontTx/>
            <a:buNone/>
            <a:tabLst/>
            <a:defRPr/>
          </a:pPr>
          <a:r>
            <a:rPr lang="en-US" b="1"/>
            <a:t>Instruction</a:t>
          </a:r>
          <a:r>
            <a:rPr lang="en-US"/>
            <a:t>: Explain</a:t>
          </a:r>
          <a:r>
            <a:rPr lang="en-US" baseline="0"/>
            <a:t> the methodology behind the calculation of the premium </a:t>
          </a:r>
          <a:r>
            <a:rPr lang="en-US"/>
            <a:t>based on historical loss frequency and severity for each year derived in step 3 </a:t>
          </a:r>
          <a:r>
            <a:rPr lang="en-US" sz="1100" baseline="0">
              <a:solidFill>
                <a:schemeClr val="tx1"/>
              </a:solidFill>
              <a:effectLst/>
              <a:latin typeface="+mn-lt"/>
              <a:ea typeface="+mn-ea"/>
              <a:cs typeface="+mn-cs"/>
            </a:rPr>
            <a:t>of "Pure Premium work". </a:t>
          </a:r>
          <a:r>
            <a:rPr lang="en-US" sz="1100">
              <a:solidFill>
                <a:schemeClr val="tx1"/>
              </a:solidFill>
              <a:effectLst/>
              <a:latin typeface="+mn-lt"/>
              <a:ea typeface="+mn-ea"/>
              <a:cs typeface="+mn-cs"/>
            </a:rPr>
            <a:t>Set out</a:t>
          </a:r>
          <a:r>
            <a:rPr lang="en-US" sz="1100" baseline="0">
              <a:solidFill>
                <a:schemeClr val="tx1"/>
              </a:solidFill>
              <a:effectLst/>
              <a:latin typeface="+mn-lt"/>
              <a:ea typeface="+mn-ea"/>
              <a:cs typeface="+mn-cs"/>
            </a:rPr>
            <a:t> any key assumptions made in deriving the premium. </a:t>
          </a:r>
          <a:endParaRPr lang="en-GB">
            <a:effectLst/>
          </a:endParaRPr>
        </a:p>
        <a:p>
          <a:r>
            <a:rPr lang="en-US" b="1"/>
            <a:t>Example Entry</a:t>
          </a:r>
          <a:r>
            <a:rPr lang="en-US"/>
            <a:t>: "The expected loss per unit of gross tonnage for 2024 is estimated at [Input Expected Loss for 2024]."</a:t>
          </a:r>
        </a:p>
        <a:p>
          <a:pPr marL="360000"/>
          <a:r>
            <a:rPr lang="en-US" sz="1100" b="1">
              <a:solidFill>
                <a:schemeClr val="tx1"/>
              </a:solidFill>
              <a:effectLst/>
              <a:latin typeface="+mn-lt"/>
              <a:ea typeface="+mn-ea"/>
              <a:cs typeface="+mn-cs"/>
            </a:rPr>
            <a:t>Average Frequency:</a:t>
          </a:r>
          <a:r>
            <a:rPr lang="en-US" sz="1100" b="0" i="0">
              <a:solidFill>
                <a:schemeClr val="tx1"/>
              </a:solidFill>
              <a:effectLst/>
              <a:latin typeface="+mn-lt"/>
              <a:ea typeface="+mn-ea"/>
              <a:cs typeface="+mn-cs"/>
            </a:rPr>
            <a:t>  </a:t>
          </a:r>
        </a:p>
        <a:p>
          <a:pPr marL="360000"/>
          <a:r>
            <a:rPr lang="en-US" sz="1100" b="1">
              <a:solidFill>
                <a:schemeClr val="tx1"/>
              </a:solidFill>
              <a:effectLst/>
              <a:latin typeface="+mn-lt"/>
              <a:ea typeface="+mn-ea"/>
              <a:cs typeface="+mn-cs"/>
            </a:rPr>
            <a:t>Average Severity per Claim:  </a:t>
          </a:r>
        </a:p>
        <a:p>
          <a:pPr marL="360000"/>
          <a:r>
            <a:rPr lang="en-US" sz="1100" b="1">
              <a:solidFill>
                <a:schemeClr val="tx1"/>
              </a:solidFill>
              <a:effectLst/>
              <a:latin typeface="+mn-lt"/>
              <a:ea typeface="+mn-ea"/>
              <a:cs typeface="+mn-cs"/>
            </a:rPr>
            <a:t>2024 Expected</a:t>
          </a:r>
          <a:r>
            <a:rPr lang="en-US" sz="1100" b="1" baseline="0">
              <a:solidFill>
                <a:schemeClr val="tx1"/>
              </a:solidFill>
              <a:effectLst/>
              <a:latin typeface="+mn-lt"/>
              <a:ea typeface="+mn-ea"/>
              <a:cs typeface="+mn-cs"/>
            </a:rPr>
            <a:t> Gross Tonnage: </a:t>
          </a:r>
        </a:p>
        <a:p>
          <a:pPr marL="360000"/>
          <a:r>
            <a:rPr lang="en-US" sz="1100" b="1">
              <a:solidFill>
                <a:schemeClr val="tx1"/>
              </a:solidFill>
              <a:effectLst/>
              <a:latin typeface="+mn-lt"/>
              <a:ea typeface="+mn-ea"/>
              <a:cs typeface="+mn-cs"/>
            </a:rPr>
            <a:t>Total Risk Premium excl. large loss loading: </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Total Risk Premium incl. large loss loading: </a:t>
          </a:r>
          <a:endParaRPr lang="en-GB">
            <a:effectLst/>
          </a:endParaRPr>
        </a:p>
        <a:p>
          <a:endParaRPr lang="en-US"/>
        </a:p>
        <a:p>
          <a:r>
            <a:rPr lang="en-US" b="1"/>
            <a:t>Final Premium Calculation</a:t>
          </a:r>
          <a:r>
            <a:rPr lang="en-US"/>
            <a:t>:</a:t>
          </a:r>
        </a:p>
        <a:p>
          <a:pPr marL="360000"/>
          <a:r>
            <a:rPr lang="en-US" b="1"/>
            <a:t>Expense Loading</a:t>
          </a:r>
          <a:r>
            <a:rPr lang="en-US"/>
            <a:t> = </a:t>
          </a:r>
        </a:p>
        <a:p>
          <a:pPr marL="360000"/>
          <a:r>
            <a:rPr lang="en-US" b="1"/>
            <a:t>Profit Margin</a:t>
          </a:r>
          <a:r>
            <a:rPr lang="en-US"/>
            <a:t> =</a:t>
          </a:r>
        </a:p>
        <a:p>
          <a:pPr marL="36000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Commission</a:t>
          </a:r>
          <a:r>
            <a:rPr lang="en-US" sz="1100" b="1" baseline="0">
              <a:solidFill>
                <a:schemeClr val="tx1"/>
              </a:solidFill>
              <a:effectLst/>
              <a:latin typeface="+mn-lt"/>
              <a:ea typeface="+mn-ea"/>
              <a:cs typeface="+mn-cs"/>
            </a:rPr>
            <a:t> =</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Large Loss Loading (description of the</a:t>
          </a:r>
          <a:r>
            <a:rPr lang="en-US" sz="1100" b="1" baseline="0">
              <a:solidFill>
                <a:schemeClr val="tx1"/>
              </a:solidFill>
              <a:effectLst/>
              <a:latin typeface="+mn-lt"/>
              <a:ea typeface="+mn-ea"/>
              <a:cs typeface="+mn-cs"/>
            </a:rPr>
            <a:t> loading applied, how it was derived and why it was applied)</a:t>
          </a:r>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b="1">
              <a:effectLst/>
            </a:rPr>
            <a:t>Final Premium (including</a:t>
          </a:r>
          <a:r>
            <a:rPr lang="en-GB" b="1" baseline="0">
              <a:effectLst/>
            </a:rPr>
            <a:t>  workings involved from getting final premium from risk premium)</a:t>
          </a:r>
          <a:r>
            <a:rPr lang="en-GB" b="1">
              <a:effectLst/>
            </a:rPr>
            <a:t>: </a:t>
          </a:r>
        </a:p>
        <a:p>
          <a:endParaRPr lang="en-US" b="1"/>
        </a:p>
        <a:p>
          <a:r>
            <a:rPr lang="en-US" b="1"/>
            <a:t>6. Sensitivity Analysis</a:t>
          </a:r>
        </a:p>
        <a:p>
          <a:r>
            <a:rPr lang="en-US" b="1"/>
            <a:t>Instruction</a:t>
          </a:r>
          <a:r>
            <a:rPr lang="en-US"/>
            <a:t>: Summarise the sensitivity analysis conducted</a:t>
          </a:r>
          <a:r>
            <a:rPr lang="en-US" baseline="0"/>
            <a:t> in step 10 including calculation and impact on final premium.</a:t>
          </a:r>
          <a:r>
            <a:rPr lang="en-US"/>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Scenario</a:t>
          </a:r>
          <a:r>
            <a:rPr lang="en-US" sz="1100">
              <a:solidFill>
                <a:schemeClr val="tx1"/>
              </a:solidFill>
              <a:effectLst/>
              <a:latin typeface="+mn-lt"/>
              <a:ea typeface="+mn-ea"/>
              <a:cs typeface="+mn-cs"/>
            </a:rPr>
            <a:t>: A 6% increase in the severity of </a:t>
          </a:r>
          <a:r>
            <a:rPr lang="en-US" sz="1100" b="1">
              <a:solidFill>
                <a:schemeClr val="tx1"/>
              </a:solidFill>
              <a:effectLst/>
              <a:latin typeface="+mn-lt"/>
              <a:ea typeface="+mn-ea"/>
              <a:cs typeface="+mn-cs"/>
            </a:rPr>
            <a:t>all </a:t>
          </a:r>
          <a:r>
            <a:rPr lang="en-US" sz="1100">
              <a:solidFill>
                <a:schemeClr val="tx1"/>
              </a:solidFill>
              <a:effectLst/>
              <a:latin typeface="+mn-lt"/>
              <a:ea typeface="+mn-ea"/>
              <a:cs typeface="+mn-cs"/>
            </a:rPr>
            <a:t>claims.</a:t>
          </a:r>
          <a:endParaRPr lang="en-GB">
            <a:effectLst/>
          </a:endParaRPr>
        </a:p>
        <a:p>
          <a:endParaRPr lang="en-US" sz="1100">
            <a:solidFill>
              <a:schemeClr val="tx1"/>
            </a:solidFill>
            <a:effectLst/>
            <a:latin typeface="+mn-lt"/>
            <a:ea typeface="+mn-ea"/>
            <a:cs typeface="+mn-cs"/>
          </a:endParaRPr>
        </a:p>
        <a:p>
          <a:r>
            <a:rPr lang="en-US" b="1"/>
            <a:t>7. Key Assumptions</a:t>
          </a:r>
        </a:p>
        <a:p>
          <a:r>
            <a:rPr lang="en-US" b="1"/>
            <a:t>Instruction</a:t>
          </a:r>
          <a:r>
            <a:rPr lang="en-US"/>
            <a:t>: Document all assumptions used in the analysis</a:t>
          </a:r>
          <a:r>
            <a:rPr lang="en-US" baseline="0"/>
            <a:t> such as</a:t>
          </a:r>
          <a:r>
            <a:rPr lang="en-US"/>
            <a:t>, claims development patterns, commission, inflation adjustments, exposure, expense/profit margin, and large loss loading</a:t>
          </a:r>
          <a:r>
            <a:rPr lang="en-US" baseline="0"/>
            <a:t> etc.</a:t>
          </a:r>
          <a:endParaRPr lang="en-US"/>
        </a:p>
      </xdr:txBody>
    </xdr:sp>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Actuarial_Task%202%20-%20Claims%20Data%20-%20Example%20Answer%20(FINAL).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Actuarial_Task%202%20-%20Claims%20Data%20-%20Example%20Answer%20(FINAL).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2565393522" createdVersion="8" refreshedVersion="8" minRefreshableVersion="3" recordCount="101" xr:uid="{3E773C68-CBD9-45BA-9CAD-2E4D4B8A3232}">
  <cacheSource type="worksheet">
    <worksheetSource ref="A1:S1048576" sheet="Claims Data" r:id="rId2"/>
  </cacheSource>
  <cacheFields count="24">
    <cacheField name="Claim ID" numFmtId="0">
      <sharedItems containsBlank="1"/>
    </cacheField>
    <cacheField name="Date of Claim" numFmtId="0">
      <sharedItems containsNonDate="0" containsDate="1" containsString="0" containsBlank="1" minDate="2018-03-19T00:00:00" maxDate="2023-08-02T00:00:00" count="99">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m/>
      </sharedItems>
      <fieldGroup par="23"/>
    </cacheField>
    <cacheField name="Type of Claim" numFmtId="0">
      <sharedItems containsBlank="1" count="6">
        <s v="Collision Liability"/>
        <s v="Cargo Liability"/>
        <s v="Damage to Other Vessels"/>
        <s v="Environmental Pollution"/>
        <s v="Injury to Third Parties"/>
        <m/>
      </sharedItems>
    </cacheField>
    <cacheField name="Claim Incurred ($)" numFmtId="44">
      <sharedItems containsString="0" containsBlank="1" containsNumber="1" minValue="87924.45" maxValue="5000000"/>
    </cacheField>
    <cacheField name="Claim Status" numFmtId="0">
      <sharedItems containsBlank="1"/>
    </cacheField>
    <cacheField name="Settlement Amount ($)" numFmtId="44">
      <sharedItems containsString="0" containsBlank="1" containsNumber="1" minValue="58229.22" maxValue="4000000"/>
    </cacheField>
    <cacheField name="Gross claim amount" numFmtId="44">
      <sharedItems containsString="0" containsBlank="1" containsNumber="1" minValue="111522.66" maxValue="5018723.79"/>
    </cacheField>
    <cacheField name="Policy Limits ($)" numFmtId="0">
      <sharedItems containsString="0" containsBlank="1" containsNumber="1" containsInteger="1" minValue="500000" maxValue="10000000"/>
    </cacheField>
    <cacheField name="Deductible ($)" numFmtId="44">
      <sharedItems containsString="0" containsBlank="1" containsNumber="1" minValue="1143.25" maxValue="48127.72"/>
    </cacheField>
    <cacheField name="Cause of Loss" numFmtId="0">
      <sharedItems containsBlank="1"/>
    </cacheField>
    <cacheField name="Location" numFmtId="0">
      <sharedItems containsBlank="1"/>
    </cacheField>
    <cacheField name="Insured Party" numFmtId="0">
      <sharedItems containsBlank="1"/>
    </cacheField>
    <cacheField name="Gross Tonnage" numFmtId="0">
      <sharedItems containsString="0" containsBlank="1" containsNumber="1" containsInteger="1" minValue="11983" maxValue="117196"/>
    </cacheField>
    <cacheField name="Prior Claims History" numFmtId="0">
      <sharedItems containsString="0" containsBlank="1" containsNumber="1" containsInteger="1" minValue="0" maxValue="9"/>
    </cacheField>
    <cacheField name="Inflation Index" numFmtId="0">
      <sharedItems containsString="0" containsBlank="1" containsNumber="1" minValue="1.03" maxValue="1.2053063131199999"/>
    </cacheField>
    <cacheField name="Gross inflation adjusted claim" numFmtId="44">
      <sharedItems containsString="0" containsBlank="1" containsNumber="1" minValue="114868.3398" maxValue="5272671.2137740003"/>
    </cacheField>
    <cacheField name="Net inflation adjusted claim" numFmtId="44">
      <sharedItems containsString="0" containsBlank="1" containsNumber="1" minValue="91270.129799999995" maxValue="5253947.4237740003"/>
    </cacheField>
    <cacheField name="Adjusted Settlement Amount" numFmtId="44">
      <sharedItems containsString="0" containsBlank="1" containsNumber="1" minValue="64271.10482971921" maxValue="4202400"/>
    </cacheField>
    <cacheField name="Capped net adjusted incurred claim " numFmtId="0">
      <sharedItems containsString="0" containsBlank="1" containsNumber="1" minValue="91270.129799999995" maxValue="5253947.4237740003"/>
    </cacheField>
    <cacheField name="Attritional claim flag" numFmtId="0">
      <sharedItems containsString="0" containsBlank="1" containsNumber="1" containsInteger="1" minValue="0" maxValue="1" count="3">
        <n v="1"/>
        <n v="0"/>
        <m/>
      </sharedItems>
    </cacheField>
    <cacheField name="Year" numFmtId="0">
      <sharedItems containsString="0" containsBlank="1" containsNumber="1" containsInteger="1" minValue="2018" maxValue="2023" count="7">
        <n v="2019"/>
        <n v="2020"/>
        <n v="2018"/>
        <n v="2021"/>
        <n v="2023"/>
        <n v="2022"/>
        <m/>
      </sharedItems>
    </cacheField>
    <cacheField name="Months (Date of Claim)" numFmtId="0" databaseField="0">
      <fieldGroup base="1">
        <rangePr groupBy="months" startDate="2018-03-19T00:00:00" endDate="2023-08-02T00:00:00"/>
        <groupItems count="14">
          <s v="&lt;19/03/2018"/>
          <s v="Jan"/>
          <s v="Feb"/>
          <s v="Mar"/>
          <s v="Apr"/>
          <s v="May"/>
          <s v="Jun"/>
          <s v="Jul"/>
          <s v="Aug"/>
          <s v="Sep"/>
          <s v="Oct"/>
          <s v="Nov"/>
          <s v="Dec"/>
          <s v="&gt;02/08/2023"/>
        </groupItems>
      </fieldGroup>
    </cacheField>
    <cacheField name="Quarters (Date of Claim)" numFmtId="0" databaseField="0">
      <fieldGroup base="1">
        <rangePr groupBy="quarters" startDate="2018-03-19T00:00:00" endDate="2023-08-02T00:00:00"/>
        <groupItems count="6">
          <s v="&lt;19/03/2018"/>
          <s v="Qtr1"/>
          <s v="Qtr2"/>
          <s v="Qtr3"/>
          <s v="Qtr4"/>
          <s v="&gt;02/08/2023"/>
        </groupItems>
      </fieldGroup>
    </cacheField>
    <cacheField name="Years (Date of Claim)" numFmtId="0" databaseField="0">
      <fieldGroup base="1">
        <rangePr groupBy="years" startDate="2018-03-19T00:00:00" endDate="2023-08-02T00:00:00"/>
        <groupItems count="8">
          <s v="&lt;19/03/2018"/>
          <s v="2018"/>
          <s v="2019"/>
          <s v="2020"/>
          <s v="2021"/>
          <s v="2022"/>
          <s v="2023"/>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3512499999" createdVersion="8" refreshedVersion="8" minRefreshableVersion="3" recordCount="100" xr:uid="{014D34C4-5528-4B87-8DD0-D8F1A013D16B}">
  <cacheSource type="worksheet">
    <worksheetSource ref="A1:S101" sheet="Claims Data" r:id="rId2"/>
  </cacheSource>
  <cacheFields count="21">
    <cacheField name="Claim ID" numFmtId="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44">
      <sharedItems containsSemiMixedTypes="0" containsString="0" containsNumber="1" minValue="87924.45" maxValue="5000000"/>
    </cacheField>
    <cacheField name="Claim Status" numFmtId="0">
      <sharedItems/>
    </cacheField>
    <cacheField name="Settlement Amount ($)" numFmtId="44">
      <sharedItems containsSemiMixedTypes="0" containsString="0" containsNumber="1" minValue="58229.22" maxValue="4000000"/>
    </cacheField>
    <cacheField name="Gross claim amount" numFmtId="44">
      <sharedItems containsSemiMixedTypes="0" containsString="0" containsNumber="1" minValue="111522.66" maxValue="5018723.79"/>
    </cacheField>
    <cacheField name="Policy Limits ($)" numFmtId="6">
      <sharedItems containsSemiMixedTypes="0" containsString="0" containsNumber="1" containsInteger="1" minValue="500000" maxValue="10000000"/>
    </cacheField>
    <cacheField name="Deductible ($)" numFmtId="44">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7588" maxValue="115933"/>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numFmtId="44">
      <sharedItems containsSemiMixedTypes="0" containsString="0" containsNumber="1" minValue="114868.3398" maxValue="5272671.2137740003"/>
    </cacheField>
    <cacheField name="Net inflation adjusted claim" numFmtId="44">
      <sharedItems containsSemiMixedTypes="0" containsString="0" containsNumber="1" minValue="91270.129799999995" maxValue="5253947.4237740003"/>
    </cacheField>
    <cacheField name="Adjusted Settlement Amount" numFmtId="44">
      <sharedItems containsSemiMixedTypes="0" containsString="0" containsNumber="1" minValue="64271.10482971921" maxValue="4202400"/>
    </cacheField>
    <cacheField name="Capped net adjusted incurred claim " numFmtId="44">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LM-00001"/>
    <x v="0"/>
    <x v="0"/>
    <n v="737423.28"/>
    <s v="Closed"/>
    <n v="489716.94"/>
    <n v="749769.20000000007"/>
    <n v="5000000"/>
    <n v="12345.92"/>
    <s v="Human Error"/>
    <s v="Indian Ocean"/>
    <s v="Company 9"/>
    <n v="25527"/>
    <n v="4"/>
    <n v="1.1479107743999999"/>
    <n v="860668.14299326844"/>
    <n v="848322.2229932684"/>
    <n v="562151.35183219833"/>
    <n v="848322.2229932684"/>
    <x v="0"/>
    <x v="0"/>
  </r>
  <r>
    <s v="CLM-00002"/>
    <x v="1"/>
    <x v="1"/>
    <n v="315189.74"/>
    <s v="Closed"/>
    <n v="58229.22"/>
    <n v="348906.5"/>
    <n v="5000000"/>
    <n v="33716.76"/>
    <s v="Technical Failure"/>
    <s v="Atlantic Ocean"/>
    <s v="Company 4"/>
    <n v="38930"/>
    <n v="6"/>
    <n v="1.1037603600000001"/>
    <n v="385109.16404634004"/>
    <n v="351392.40404634003"/>
    <n v="64271.10482971921"/>
    <n v="351392.40404634003"/>
    <x v="0"/>
    <x v="1"/>
  </r>
  <r>
    <s v="CLM-00003"/>
    <x v="2"/>
    <x v="2"/>
    <n v="678364.99"/>
    <s v="Closed"/>
    <n v="649301.94999999995"/>
    <n v="712761.9"/>
    <n v="5000000"/>
    <n v="34396.910000000003"/>
    <s v="Criminal Activity"/>
    <s v="Mediterranean Sea"/>
    <s v="Company 2"/>
    <n v="22843"/>
    <n v="3"/>
    <n v="1.2053063131199999"/>
    <n v="859096.41782140615"/>
    <n v="824699.50782140612"/>
    <n v="782607.73945612647"/>
    <n v="824699.50782140612"/>
    <x v="0"/>
    <x v="2"/>
  </r>
  <r>
    <s v="CLM-00004"/>
    <x v="3"/>
    <x v="3"/>
    <n v="203840.58"/>
    <s v="Open"/>
    <n v="709725.17"/>
    <n v="215544.46"/>
    <n v="5000000"/>
    <n v="11703.88"/>
    <s v="Natural Disaster"/>
    <s v="Pacific Ocean"/>
    <s v="Company 17"/>
    <n v="101248"/>
    <n v="7"/>
    <n v="1.071612"/>
    <n v="230980.02986951999"/>
    <n v="219276.14986951998"/>
    <n v="760550.0088740401"/>
    <n v="219276.14986951998"/>
    <x v="0"/>
    <x v="3"/>
  </r>
  <r>
    <s v="CLM-00005"/>
    <x v="4"/>
    <x v="4"/>
    <n v="98692.46"/>
    <s v="In Litigation"/>
    <n v="120802.84"/>
    <n v="146820.18"/>
    <n v="1000000"/>
    <n v="48127.72"/>
    <s v="Human Error"/>
    <s v="Indian Ocean"/>
    <s v="Company 12"/>
    <n v="54408"/>
    <n v="8"/>
    <n v="1.03"/>
    <n v="151224.78539999999"/>
    <n v="103097.06539999999"/>
    <n v="124426.9252"/>
    <n v="103097.06539999999"/>
    <x v="0"/>
    <x v="4"/>
  </r>
  <r>
    <s v="CLM-00006"/>
    <x v="5"/>
    <x v="0"/>
    <n v="243918.65"/>
    <s v="Closed"/>
    <n v="289364.92"/>
    <n v="254504.19"/>
    <n v="5000000"/>
    <n v="10585.54"/>
    <s v="Technical Failure"/>
    <s v="Atlantic Ocean"/>
    <s v="Company 3"/>
    <n v="78710"/>
    <n v="2"/>
    <n v="1.1479107743999999"/>
    <n v="292148.10183094471"/>
    <n v="281562.56183094473"/>
    <n v="332165.10940139397"/>
    <n v="281562.56183094473"/>
    <x v="0"/>
    <x v="0"/>
  </r>
  <r>
    <s v="CLM-00007"/>
    <x v="6"/>
    <x v="3"/>
    <n v="765873.46"/>
    <s v="Closed"/>
    <n v="689203.39"/>
    <n v="783218.83"/>
    <n v="5000000"/>
    <n v="17345.37"/>
    <s v="Natural Disaster"/>
    <s v="North Sea"/>
    <s v="Company 11"/>
    <n v="78277"/>
    <n v="1"/>
    <n v="1.071612"/>
    <n v="839306.69685395993"/>
    <n v="821961.32685395994"/>
    <n v="738558.62316467997"/>
    <n v="821961.32685395994"/>
    <x v="0"/>
    <x v="3"/>
  </r>
  <r>
    <s v="CLM-00008"/>
    <x v="7"/>
    <x v="2"/>
    <n v="913843.77"/>
    <s v="Closed"/>
    <n v="800104.83"/>
    <n v="939444.11"/>
    <n v="5000000"/>
    <n v="25600.34"/>
    <s v="Criminal Activity"/>
    <s v="Atlantic Ocean"/>
    <s v="Company 5"/>
    <n v="64936"/>
    <n v="0"/>
    <n v="1.0506"/>
    <n v="986979.98196599993"/>
    <n v="961379.64196599997"/>
    <n v="840590.13439799997"/>
    <n v="961379.64196599997"/>
    <x v="0"/>
    <x v="5"/>
  </r>
  <r>
    <s v="CLM-00009"/>
    <x v="8"/>
    <x v="1"/>
    <n v="754890.21"/>
    <s v="Closed"/>
    <n v="523116.77"/>
    <n v="793074.64999999991"/>
    <n v="5000000"/>
    <n v="38184.44"/>
    <s v="Technical Failure"/>
    <s v="Mediterranean Sea"/>
    <s v="Company 8"/>
    <n v="60872"/>
    <n v="6"/>
    <n v="1.1037603600000001"/>
    <n v="875364.36119087401"/>
    <n v="837179.92119087395"/>
    <n v="577395.55437723722"/>
    <n v="837179.92119087395"/>
    <x v="0"/>
    <x v="1"/>
  </r>
  <r>
    <s v="CLM-00010"/>
    <x v="9"/>
    <x v="0"/>
    <n v="600293.27"/>
    <s v="Open"/>
    <n v="559394.74"/>
    <n v="601436.52"/>
    <n v="5000000"/>
    <n v="1143.25"/>
    <s v="Human Error"/>
    <s v="Atlantic Ocean"/>
    <s v="Company 10"/>
    <n v="39405"/>
    <n v="5"/>
    <n v="1.2053063131199999"/>
    <n v="724915.23449692316"/>
    <n v="723771.98449692316"/>
    <n v="674242.01164812094"/>
    <n v="723771.98449692316"/>
    <x v="0"/>
    <x v="2"/>
  </r>
  <r>
    <s v="CLM-00011"/>
    <x v="10"/>
    <x v="3"/>
    <n v="320726.12"/>
    <s v="Closed"/>
    <n v="582693.41"/>
    <n v="363045.08999999997"/>
    <n v="5000000"/>
    <n v="42318.97"/>
    <s v="Technical Failure"/>
    <s v="North Sea"/>
    <s v="Company 7"/>
    <n v="77099"/>
    <n v="7"/>
    <n v="1.071612"/>
    <n v="389043.47498507996"/>
    <n v="346724.50498507998"/>
    <n v="624421.25047692005"/>
    <n v="346724.50498507998"/>
    <x v="0"/>
    <x v="3"/>
  </r>
  <r>
    <s v="CLM-00012"/>
    <x v="11"/>
    <x v="1"/>
    <n v="195238.55"/>
    <s v="Closed"/>
    <n v="319792.05"/>
    <n v="220873.24"/>
    <n v="1000000"/>
    <n v="25634.69"/>
    <s v="Criminal Activity"/>
    <s v="Mediterranean Sea"/>
    <s v="Company 6"/>
    <n v="24252"/>
    <n v="8"/>
    <n v="1.1037603600000001"/>
    <n v="243791.12689676642"/>
    <n v="218156.43689676642"/>
    <n v="352973.78823313804"/>
    <n v="218156.43689676642"/>
    <x v="0"/>
    <x v="1"/>
  </r>
  <r>
    <s v="CLM-00013"/>
    <x v="12"/>
    <x v="0"/>
    <n v="158738.94"/>
    <s v="In Litigation"/>
    <n v="301208.46000000002"/>
    <n v="188195.05"/>
    <n v="1000000"/>
    <n v="29456.11"/>
    <s v="Human Error"/>
    <s v="Indian Ocean"/>
    <s v="Company 13"/>
    <n v="68571"/>
    <n v="3"/>
    <n v="1.0506"/>
    <n v="197717.71952999997"/>
    <n v="168261.60952999996"/>
    <n v="316449.608076"/>
    <n v="168261.60952999996"/>
    <x v="0"/>
    <x v="5"/>
  </r>
  <r>
    <s v="CLM-00014"/>
    <x v="13"/>
    <x v="2"/>
    <n v="125309.18"/>
    <s v="Closed"/>
    <n v="500694.12"/>
    <n v="140287.41"/>
    <n v="1000000"/>
    <n v="14978.23"/>
    <s v="Criminal Activity"/>
    <s v="Pacific Ocean"/>
    <s v="Company 19"/>
    <n v="50882"/>
    <n v="2"/>
    <n v="1.03"/>
    <n v="144496.03230000002"/>
    <n v="129517.80230000002"/>
    <n v="515714.9436"/>
    <n v="129517.80230000002"/>
    <x v="0"/>
    <x v="4"/>
  </r>
  <r>
    <s v="CLM-00015"/>
    <x v="14"/>
    <x v="3"/>
    <n v="701924.64"/>
    <s v="Open"/>
    <n v="587613.84"/>
    <n v="726627.31"/>
    <n v="5000000"/>
    <n v="24702.67"/>
    <s v="Technical Failure"/>
    <s v="Atlantic Ocean"/>
    <s v="Company 14"/>
    <n v="58793"/>
    <n v="6"/>
    <n v="1.1479107743999999"/>
    <n v="834103.31812228879"/>
    <n v="809400.64812228875"/>
    <n v="674528.25812255754"/>
    <n v="809400.64812228875"/>
    <x v="0"/>
    <x v="0"/>
  </r>
  <r>
    <s v="CLM-00016"/>
    <x v="15"/>
    <x v="4"/>
    <n v="590732.85"/>
    <s v="Closed"/>
    <n v="590345.67000000004"/>
    <n v="600165.35"/>
    <n v="5000000"/>
    <n v="9432.5"/>
    <s v="Natural Disaster"/>
    <s v="Mediterranean Sea"/>
    <s v="Company 1"/>
    <n v="47241"/>
    <n v="4"/>
    <n v="1.2053063131199999"/>
    <n v="723383.08527087432"/>
    <n v="713950.58527087432"/>
    <n v="711547.36297405616"/>
    <n v="713950.58527087432"/>
    <x v="0"/>
    <x v="2"/>
  </r>
  <r>
    <s v="CLM-00017"/>
    <x v="16"/>
    <x v="0"/>
    <n v="358145.93"/>
    <s v="Closed"/>
    <n v="403102.27"/>
    <n v="375066.3"/>
    <n v="2000000"/>
    <n v="16920.37"/>
    <s v="Human Error"/>
    <s v="Pacific Ocean"/>
    <s v="Company 15"/>
    <n v="90756"/>
    <n v="7"/>
    <n v="1.071612"/>
    <n v="401925.54787559999"/>
    <n v="385005.1778756"/>
    <n v="431969.22975924"/>
    <n v="385005.1778756"/>
    <x v="0"/>
    <x v="3"/>
  </r>
  <r>
    <s v="CLM-00018"/>
    <x v="17"/>
    <x v="2"/>
    <n v="453896.75"/>
    <s v="Closed"/>
    <n v="459235.72"/>
    <n v="492825.48"/>
    <n v="500000"/>
    <n v="38928.730000000003"/>
    <s v="Criminal Activity"/>
    <s v="North Sea"/>
    <s v="Company 8"/>
    <n v="32376"/>
    <n v="5"/>
    <n v="1.1479107743999999"/>
    <n v="565719.67839085159"/>
    <n v="526790.94839085161"/>
    <n v="527161.63097734144"/>
    <n v="500000"/>
    <x v="0"/>
    <x v="0"/>
  </r>
  <r>
    <s v="CLM-00019"/>
    <x v="18"/>
    <x v="1"/>
    <n v="195984.65"/>
    <s v="In Litigation"/>
    <n v="279603.12"/>
    <n v="215631.84"/>
    <n v="500000"/>
    <n v="19647.189999999999"/>
    <s v="Technical Failure"/>
    <s v="Indian Ocean"/>
    <s v="Company 10"/>
    <n v="17568"/>
    <n v="3"/>
    <n v="1.0506"/>
    <n v="226542.81110399999"/>
    <n v="206895.62110399999"/>
    <n v="293751.03787200002"/>
    <n v="206895.62110399999"/>
    <x v="0"/>
    <x v="5"/>
  </r>
  <r>
    <s v="CLM-00020"/>
    <x v="19"/>
    <x v="3"/>
    <n v="472804.33"/>
    <s v="Open"/>
    <n v="345128.67"/>
    <n v="518485.62"/>
    <n v="5000000"/>
    <n v="45681.29"/>
    <s v="Natural Disaster"/>
    <s v="Atlantic Ocean"/>
    <s v="Company 11"/>
    <n v="97839"/>
    <n v="8"/>
    <n v="1.1037603600000001"/>
    <n v="572283.87458602327"/>
    <n v="526602.58458602324"/>
    <n v="380939.34504552122"/>
    <n v="526602.58458602324"/>
    <x v="0"/>
    <x v="1"/>
  </r>
  <r>
    <s v="CLM-00021"/>
    <x v="20"/>
    <x v="4"/>
    <n v="87924.45"/>
    <s v="Closed"/>
    <n v="99847.18"/>
    <n v="111522.66"/>
    <n v="500000"/>
    <n v="23598.21"/>
    <s v="Technical Failure"/>
    <s v="North Sea"/>
    <s v="Company 13"/>
    <n v="47634"/>
    <n v="4"/>
    <n v="1.03"/>
    <n v="114868.3398"/>
    <n v="91270.129799999995"/>
    <n v="102842.59539999999"/>
    <n v="91270.129799999995"/>
    <x v="0"/>
    <x v="4"/>
  </r>
  <r>
    <s v="CLM-00022"/>
    <x v="21"/>
    <x v="0"/>
    <n v="654327.44999999995"/>
    <s v="Closed"/>
    <n v="706298.12"/>
    <n v="673030.17999999993"/>
    <n v="5000000"/>
    <n v="18702.73"/>
    <s v="Human Error"/>
    <s v="Atlantic Ocean"/>
    <s v="Company 16"/>
    <n v="58451"/>
    <n v="7"/>
    <n v="1.071612"/>
    <n v="721227.21725015994"/>
    <n v="702524.48725015996"/>
    <n v="756877.54096944002"/>
    <n v="702524.48725015996"/>
    <x v="0"/>
    <x v="3"/>
  </r>
  <r>
    <s v="CLM-00023"/>
    <x v="22"/>
    <x v="2"/>
    <n v="231548.73"/>
    <s v="Open"/>
    <n v="202954.87"/>
    <n v="268477.11"/>
    <n v="500000"/>
    <n v="36928.379999999997"/>
    <s v="Criminal Activity"/>
    <s v="Pacific Ocean"/>
    <s v="Company 2"/>
    <n v="79643"/>
    <n v="5"/>
    <n v="1.1037603600000001"/>
    <n v="296334.39158535964"/>
    <n v="259406.01158535964"/>
    <n v="224013.54037495321"/>
    <n v="259406.01158535964"/>
    <x v="0"/>
    <x v="1"/>
  </r>
  <r>
    <s v="CLM-00024"/>
    <x v="23"/>
    <x v="3"/>
    <n v="194738.52"/>
    <s v="In Litigation"/>
    <n v="239823.12"/>
    <n v="210177.78999999998"/>
    <n v="500000"/>
    <n v="15439.27"/>
    <s v="Natural Disaster"/>
    <s v="Indian Ocean"/>
    <s v="Company 17"/>
    <n v="104498"/>
    <n v="8"/>
    <n v="1.1479107743999999"/>
    <n v="241265.34968058052"/>
    <n v="225826.07968058053"/>
    <n v="275295.54339822411"/>
    <n v="225826.07968058053"/>
    <x v="0"/>
    <x v="0"/>
  </r>
  <r>
    <s v="CLM-00025"/>
    <x v="24"/>
    <x v="1"/>
    <n v="872394.65"/>
    <s v="Closed"/>
    <n v="715298.34"/>
    <n v="896897.03"/>
    <n v="10000000"/>
    <n v="24502.38"/>
    <s v="Human Error"/>
    <s v="Mediterranean Sea"/>
    <s v="Company 4"/>
    <n v="76658"/>
    <n v="2"/>
    <n v="1.0506"/>
    <n v="942280.01971799997"/>
    <n v="917777.63971799996"/>
    <n v="751492.4360039999"/>
    <n v="917777.63971799996"/>
    <x v="0"/>
    <x v="5"/>
  </r>
  <r>
    <s v="CLM-00026"/>
    <x v="25"/>
    <x v="0"/>
    <n v="508739.15"/>
    <s v="Closed"/>
    <n v="624539.27"/>
    <n v="520721.69"/>
    <n v="5000000"/>
    <n v="11982.54"/>
    <s v="Technical Failure"/>
    <s v="North Sea"/>
    <s v="Company 9"/>
    <n v="22139"/>
    <n v="3"/>
    <n v="1.2053063131199999"/>
    <n v="627629.14033551549"/>
    <n v="615646.60033551545"/>
    <n v="752761.12492235622"/>
    <n v="615646.60033551545"/>
    <x v="0"/>
    <x v="2"/>
  </r>
  <r>
    <s v="CLM-00027"/>
    <x v="26"/>
    <x v="2"/>
    <n v="376234.78"/>
    <s v="Closed"/>
    <n v="502739.21"/>
    <n v="405983.4"/>
    <n v="2000000"/>
    <n v="29748.62"/>
    <s v="Criminal Activity"/>
    <s v="Indian Ocean"/>
    <s v="Company 6"/>
    <n v="53318"/>
    <n v="7"/>
    <n v="1.071612"/>
    <n v="435056.68324080005"/>
    <n v="405308.06324080005"/>
    <n v="538741.37030652002"/>
    <n v="405308.06324080005"/>
    <x v="0"/>
    <x v="3"/>
  </r>
  <r>
    <s v="CLM-00028"/>
    <x v="27"/>
    <x v="3"/>
    <n v="129803.75"/>
    <s v="In Litigation"/>
    <n v="179803.12"/>
    <n v="162723.88"/>
    <n v="1000000"/>
    <n v="32920.129999999997"/>
    <s v="Natural Disaster"/>
    <s v="Pacific Ocean"/>
    <s v="Company 18"/>
    <n v="68275"/>
    <n v="4"/>
    <n v="1.1037603600000001"/>
    <n v="179608.16836939682"/>
    <n v="146688.03836939682"/>
    <n v="198459.55646032322"/>
    <n v="146688.03836939682"/>
    <x v="0"/>
    <x v="1"/>
  </r>
  <r>
    <s v="CLM-00029"/>
    <x v="28"/>
    <x v="1"/>
    <n v="731235.83999999997"/>
    <s v="Closed"/>
    <n v="624872.34"/>
    <n v="750172.09"/>
    <n v="5000000"/>
    <n v="18936.25"/>
    <s v="Technical Failure"/>
    <s v="Atlantic Ocean"/>
    <s v="Company 14"/>
    <n v="69162"/>
    <n v="2"/>
    <n v="1.03"/>
    <n v="772677.25269999995"/>
    <n v="753741.00269999995"/>
    <n v="643618.51020000002"/>
    <n v="753741.00269999995"/>
    <x v="0"/>
    <x v="4"/>
  </r>
  <r>
    <s v="CLM-00030"/>
    <x v="29"/>
    <x v="0"/>
    <n v="158924.78"/>
    <s v="Closed"/>
    <n v="239682.47"/>
    <n v="174653.73"/>
    <n v="1000000"/>
    <n v="15728.95"/>
    <s v="Human Error"/>
    <s v="North Sea"/>
    <s v="Company 1"/>
    <n v="34540"/>
    <n v="6"/>
    <n v="1.1479107743999999"/>
    <n v="200486.89845614851"/>
    <n v="184757.9484561485"/>
    <n v="275134.08974780474"/>
    <n v="184757.9484561485"/>
    <x v="0"/>
    <x v="0"/>
  </r>
  <r>
    <s v="CLM-00031"/>
    <x v="30"/>
    <x v="2"/>
    <n v="439832.24"/>
    <s v="Closed"/>
    <n v="473893.25"/>
    <n v="471636.18"/>
    <n v="2000000"/>
    <n v="31803.94"/>
    <s v="Criminal Activity"/>
    <s v="Atlantic Ocean"/>
    <s v="Company 20"/>
    <n v="42736"/>
    <n v="8"/>
    <n v="1.0506"/>
    <n v="495500.97070800001"/>
    <n v="463697.03070800001"/>
    <n v="497872.24845000001"/>
    <n v="463697.03070800001"/>
    <x v="0"/>
    <x v="5"/>
  </r>
  <r>
    <s v="CLM-00032"/>
    <x v="31"/>
    <x v="3"/>
    <n v="690239.58"/>
    <s v="In Litigation"/>
    <n v="729324.73"/>
    <n v="717632.12"/>
    <n v="5000000"/>
    <n v="27392.54"/>
    <s v="Natural Disaster"/>
    <s v="Mediterranean Sea"/>
    <s v="Company 3"/>
    <n v="65647"/>
    <n v="7"/>
    <n v="1.1037603600000001"/>
    <n v="792093.88711876329"/>
    <n v="764701.34711876325"/>
    <n v="804999.72654170287"/>
    <n v="764701.34711876325"/>
    <x v="0"/>
    <x v="1"/>
  </r>
  <r>
    <s v="CLM-00033"/>
    <x v="32"/>
    <x v="4"/>
    <n v="215983.48"/>
    <s v="Closed"/>
    <n v="293749.36"/>
    <n v="236967.86000000002"/>
    <n v="2000000"/>
    <n v="20984.38"/>
    <s v="Technical Failure"/>
    <s v="Indian Ocean"/>
    <s v="Company 19"/>
    <n v="22310"/>
    <n v="4"/>
    <n v="1.071612"/>
    <n v="253937.60239032001"/>
    <n v="232953.22239032001"/>
    <n v="314785.33916832"/>
    <n v="232953.22239032001"/>
    <x v="0"/>
    <x v="3"/>
  </r>
  <r>
    <s v="CLM-00034"/>
    <x v="33"/>
    <x v="0"/>
    <n v="507983.42"/>
    <s v="Open"/>
    <n v="539873.21"/>
    <n v="543166.67999999993"/>
    <n v="5000000"/>
    <n v="35183.26"/>
    <s v="Human Error"/>
    <s v="Pacific Ocean"/>
    <s v="Company 8"/>
    <n v="29639"/>
    <n v="2"/>
    <n v="1.1479107743999999"/>
    <n v="623506.88426707685"/>
    <n v="588323.62426707684"/>
    <n v="619726.27456891374"/>
    <n v="588323.62426707684"/>
    <x v="0"/>
    <x v="0"/>
  </r>
  <r>
    <s v="CLM-00035"/>
    <x v="34"/>
    <x v="2"/>
    <n v="451973.22"/>
    <s v="Closed"/>
    <n v="462839.74"/>
    <n v="480319.12999999995"/>
    <n v="500000"/>
    <n v="28345.91"/>
    <s v="Criminal Activity"/>
    <s v="Mediterranean Sea"/>
    <s v="Company 5"/>
    <n v="58445"/>
    <n v="4"/>
    <n v="1.2053063131199999"/>
    <n v="578931.67970130593"/>
    <n v="550585.76970130589"/>
    <n v="557863.66058481939"/>
    <n v="500000"/>
    <x v="0"/>
    <x v="2"/>
  </r>
  <r>
    <s v="CLM-00036"/>
    <x v="35"/>
    <x v="1"/>
    <n v="289524.33"/>
    <s v="Closed"/>
    <n v="312984.46999999997"/>
    <n v="314363.61"/>
    <n v="2000000"/>
    <n v="24839.279999999999"/>
    <s v="Technical Failure"/>
    <s v="Atlantic Ocean"/>
    <s v="Company 7"/>
    <n v="47143"/>
    <n v="3"/>
    <n v="1.071612"/>
    <n v="336875.81683932"/>
    <n v="312036.53683931998"/>
    <n v="335397.91386563994"/>
    <n v="312036.53683931998"/>
    <x v="0"/>
    <x v="3"/>
  </r>
  <r>
    <s v="CLM-00037"/>
    <x v="36"/>
    <x v="3"/>
    <n v="674832.75"/>
    <s v="Open"/>
    <n v="705673.45"/>
    <n v="716116.29"/>
    <n v="5000000"/>
    <n v="41283.54"/>
    <s v="Natural Disaster"/>
    <s v="Pacific Ocean"/>
    <s v="Company 12"/>
    <n v="51322"/>
    <n v="5"/>
    <n v="1.1037603600000001"/>
    <n v="790420.77405226452"/>
    <n v="749137.23405226448"/>
    <n v="778894.38121444208"/>
    <n v="749137.23405226448"/>
    <x v="0"/>
    <x v="1"/>
  </r>
  <r>
    <s v="CLM-00038"/>
    <x v="37"/>
    <x v="4"/>
    <n v="289523.34000000003"/>
    <s v="In Litigation"/>
    <n v="310849.56"/>
    <n v="316918.08"/>
    <n v="2000000"/>
    <n v="27394.74"/>
    <s v="Human Error"/>
    <s v="North Sea"/>
    <s v="Company 16"/>
    <n v="33734"/>
    <n v="8"/>
    <n v="1.03"/>
    <n v="326425.62240000005"/>
    <n v="299030.88240000006"/>
    <n v="320175.04680000001"/>
    <n v="299030.88240000006"/>
    <x v="0"/>
    <x v="4"/>
  </r>
  <r>
    <s v="CLM-00039"/>
    <x v="38"/>
    <x v="0"/>
    <n v="492783.45"/>
    <s v="Closed"/>
    <n v="489234.72"/>
    <n v="512067.73"/>
    <n v="2000000"/>
    <n v="19284.28"/>
    <s v="Technical Failure"/>
    <s v="Indian Ocean"/>
    <s v="Company 11"/>
    <n v="65176"/>
    <n v="6"/>
    <n v="1.0506"/>
    <n v="537978.35713799996"/>
    <n v="518694.07713799994"/>
    <n v="513989.99683199998"/>
    <n v="518694.07713799994"/>
    <x v="0"/>
    <x v="5"/>
  </r>
  <r>
    <s v="CLM-00040"/>
    <x v="39"/>
    <x v="2"/>
    <n v="812739.57"/>
    <s v="Closed"/>
    <n v="893485.25"/>
    <n v="851033.0199999999"/>
    <n v="5000000"/>
    <n v="38293.449999999997"/>
    <s v="Criminal Activity"/>
    <s v="North Sea"/>
    <s v="Company 18"/>
    <n v="60979"/>
    <n v="7"/>
    <n v="1.1479107743999999"/>
    <n v="976909.97302817053"/>
    <n v="938616.52302817057"/>
    <n v="1025641.3452424775"/>
    <n v="938616.52302817057"/>
    <x v="0"/>
    <x v="0"/>
  </r>
  <r>
    <s v="CLM-00041"/>
    <x v="40"/>
    <x v="3"/>
    <n v="523987.21"/>
    <s v="Open"/>
    <n v="594372.84"/>
    <n v="549880.48"/>
    <n v="5000000"/>
    <n v="25893.27"/>
    <s v="Natural Disaster"/>
    <s v="Atlantic Ocean"/>
    <s v="Company 10"/>
    <n v="91704"/>
    <n v="2"/>
    <n v="1.071612"/>
    <n v="589258.52093375998"/>
    <n v="563365.25093375996"/>
    <n v="636937.06781807996"/>
    <n v="563365.25093375996"/>
    <x v="0"/>
    <x v="3"/>
  </r>
  <r>
    <s v="CLM-00042"/>
    <x v="41"/>
    <x v="1"/>
    <n v="392873.65"/>
    <s v="Closed"/>
    <n v="410384.95"/>
    <n v="424721.10000000003"/>
    <n v="2000000"/>
    <n v="31847.45"/>
    <s v="Technical Failure"/>
    <s v="Mediterranean Sea"/>
    <s v="Company 4"/>
    <n v="45834"/>
    <n v="5"/>
    <n v="1.03"/>
    <n v="437462.73300000007"/>
    <n v="405615.28300000005"/>
    <n v="422696.49850000005"/>
    <n v="405615.28300000005"/>
    <x v="0"/>
    <x v="4"/>
  </r>
  <r>
    <s v="CLM-00043"/>
    <x v="42"/>
    <x v="4"/>
    <n v="539278.54"/>
    <s v="Closed"/>
    <n v="590248.72"/>
    <n v="557573.29"/>
    <n v="5000000"/>
    <n v="18294.75"/>
    <s v="Human Error"/>
    <s v="Pacific Ocean"/>
    <s v="Company 15"/>
    <n v="48072"/>
    <n v="3"/>
    <n v="1.1037603600000001"/>
    <n v="615427.29529678449"/>
    <n v="597132.54529678449"/>
    <n v="651493.13967673923"/>
    <n v="597132.54529678449"/>
    <x v="0"/>
    <x v="1"/>
  </r>
  <r>
    <s v="CLM-00044"/>
    <x v="43"/>
    <x v="0"/>
    <n v="283973.44"/>
    <s v="Open"/>
    <n v="312384.21000000002"/>
    <n v="300456.98"/>
    <n v="2000000"/>
    <n v="16483.54"/>
    <s v="Human Error"/>
    <s v="Indian Ocean"/>
    <s v="Company 9"/>
    <n v="93868"/>
    <n v="4"/>
    <n v="1.2053063131199999"/>
    <n v="362142.69481496955"/>
    <n v="345659.15481496957"/>
    <n v="376518.66043200385"/>
    <n v="345659.15481496957"/>
    <x v="0"/>
    <x v="2"/>
  </r>
  <r>
    <s v="CLM-00045"/>
    <x v="44"/>
    <x v="2"/>
    <n v="482839.65"/>
    <s v="Closed"/>
    <n v="493284.45"/>
    <n v="518138.29000000004"/>
    <n v="5000000"/>
    <n v="35298.639999999999"/>
    <s v="Criminal Activity"/>
    <s v="North Sea"/>
    <s v="Company 7"/>
    <n v="15385"/>
    <n v="1"/>
    <n v="1.0506"/>
    <n v="544356.08747400006"/>
    <n v="509057.44747400004"/>
    <n v="518244.64317"/>
    <n v="509057.44747400004"/>
    <x v="0"/>
    <x v="5"/>
  </r>
  <r>
    <s v="CLM-00046"/>
    <x v="45"/>
    <x v="3"/>
    <n v="683482.94"/>
    <s v="In Litigation"/>
    <n v="705473.28"/>
    <n v="716430.78999999992"/>
    <n v="5000000"/>
    <n v="32947.85"/>
    <s v="Natural Disaster"/>
    <s v="Atlantic Ocean"/>
    <s v="Company 3"/>
    <n v="95565"/>
    <n v="6"/>
    <n v="1.071612"/>
    <n v="767735.83173347998"/>
    <n v="734787.98173348"/>
    <n v="755993.63252735999"/>
    <n v="734787.98173348"/>
    <x v="0"/>
    <x v="3"/>
  </r>
  <r>
    <s v="CLM-00047"/>
    <x v="46"/>
    <x v="1"/>
    <n v="783948.23"/>
    <s v="Closed"/>
    <n v="815738.23"/>
    <n v="813530.62"/>
    <n v="5000000"/>
    <n v="29582.39"/>
    <s v="Technical Failure"/>
    <s v="Mediterranean Sea"/>
    <s v="Company 14"/>
    <n v="47956"/>
    <n v="2"/>
    <n v="1.1037603600000001"/>
    <n v="897942.85000222328"/>
    <n v="868360.46000222326"/>
    <n v="900379.52241056284"/>
    <n v="868360.46000222326"/>
    <x v="0"/>
    <x v="1"/>
  </r>
  <r>
    <s v="CLM-00048"/>
    <x v="47"/>
    <x v="4"/>
    <n v="239582.74"/>
    <s v="Closed"/>
    <n v="260384.12"/>
    <n v="260976.97"/>
    <n v="1000000"/>
    <n v="21394.23"/>
    <s v="Human Error"/>
    <s v="Indian Ocean"/>
    <s v="Company 2"/>
    <n v="52712"/>
    <n v="7"/>
    <n v="1.1479107743999999"/>
    <n v="299578.27573326556"/>
    <n v="278184.04573326558"/>
    <n v="298897.73683066247"/>
    <n v="278184.04573326558"/>
    <x v="0"/>
    <x v="0"/>
  </r>
  <r>
    <s v="CLM-00049"/>
    <x v="48"/>
    <x v="0"/>
    <n v="294738.48"/>
    <s v="Closed"/>
    <n v="320839.53999999998"/>
    <n v="313686.01"/>
    <n v="2000000"/>
    <n v="18947.53"/>
    <s v="Technical Failure"/>
    <s v="North Sea"/>
    <s v="Company 8"/>
    <n v="43734"/>
    <n v="4"/>
    <n v="1.0506"/>
    <n v="329558.52210599999"/>
    <n v="310610.99210599996"/>
    <n v="337074.02072399994"/>
    <n v="310610.99210599996"/>
    <x v="0"/>
    <x v="5"/>
  </r>
  <r>
    <s v="CLM-00050"/>
    <x v="49"/>
    <x v="2"/>
    <n v="583948.29"/>
    <s v="Closed"/>
    <n v="612839.65"/>
    <n v="613232.67000000004"/>
    <n v="5000000"/>
    <n v="29284.38"/>
    <s v="Criminal Activity"/>
    <s v="Pacific Ocean"/>
    <s v="Company 13"/>
    <n v="34059"/>
    <n v="9"/>
    <n v="1.071612"/>
    <n v="657147.48796404002"/>
    <n v="627863.10796404001"/>
    <n v="656726.32301579998"/>
    <n v="627863.10796404001"/>
    <x v="0"/>
    <x v="3"/>
  </r>
  <r>
    <s v="CLM-00051"/>
    <x v="50"/>
    <x v="3"/>
    <n v="784839.21"/>
    <s v="Open"/>
    <n v="815392.45"/>
    <n v="823786.49"/>
    <n v="5000000"/>
    <n v="38947.279999999999"/>
    <s v="Natural Disaster"/>
    <s v="Atlantic Ocean"/>
    <s v="Company 5"/>
    <n v="85948"/>
    <n v="3"/>
    <n v="1.1037603600000001"/>
    <n v="909262.87276553642"/>
    <n v="870315.59276553639"/>
    <n v="899997.86415328202"/>
    <n v="870315.59276553639"/>
    <x v="0"/>
    <x v="1"/>
  </r>
  <r>
    <s v="CLM-00052"/>
    <x v="51"/>
    <x v="1"/>
    <n v="398483.65"/>
    <s v="Closed"/>
    <n v="419384.25"/>
    <n v="427431.03"/>
    <n v="2000000"/>
    <n v="28947.38"/>
    <s v="Technical Failure"/>
    <s v="Mediterranean Sea"/>
    <s v="Company 11"/>
    <n v="26066"/>
    <n v="6"/>
    <n v="1.03"/>
    <n v="440253.96090000006"/>
    <n v="411306.58090000006"/>
    <n v="431965.77750000003"/>
    <n v="411306.58090000006"/>
    <x v="0"/>
    <x v="4"/>
  </r>
  <r>
    <s v="CLM-00053"/>
    <x v="52"/>
    <x v="4"/>
    <n v="485739.23"/>
    <s v="Closed"/>
    <n v="523849.58"/>
    <n v="503135.07"/>
    <n v="5000000"/>
    <n v="17395.84"/>
    <s v="Human Error"/>
    <s v="North Sea"/>
    <s v="Company 17"/>
    <n v="33575"/>
    <n v="8"/>
    <n v="1.2053063131199999"/>
    <n v="606431.87622307311"/>
    <n v="589036.03622307314"/>
    <n v="631399.20589926047"/>
    <n v="589036.03622307314"/>
    <x v="0"/>
    <x v="2"/>
  </r>
  <r>
    <s v="CLM-00054"/>
    <x v="53"/>
    <x v="0"/>
    <n v="593849.48"/>
    <s v="Open"/>
    <n v="629382.74"/>
    <n v="632797.05999999994"/>
    <n v="5000000"/>
    <n v="38947.58"/>
    <s v="Technical Failure"/>
    <s v="Indian Ocean"/>
    <s v="Company 4"/>
    <n v="83845"/>
    <n v="2"/>
    <n v="1.1479107743999999"/>
    <n v="726394.56318264315"/>
    <n v="687446.98318264319"/>
    <n v="722475.22846739378"/>
    <n v="687446.98318264319"/>
    <x v="0"/>
    <x v="0"/>
  </r>
  <r>
    <s v="CLM-00055"/>
    <x v="54"/>
    <x v="2"/>
    <n v="683849.75"/>
    <s v="Closed"/>
    <n v="728947.34"/>
    <n v="716797.2"/>
    <n v="5000000"/>
    <n v="32947.449999999997"/>
    <s v="Criminal Activity"/>
    <s v="Pacific Ocean"/>
    <s v="Company 7"/>
    <n v="32864"/>
    <n v="3"/>
    <n v="1.0506"/>
    <n v="753067.13831999991"/>
    <n v="720119.68831999996"/>
    <n v="765832.075404"/>
    <n v="720119.68831999996"/>
    <x v="0"/>
    <x v="5"/>
  </r>
  <r>
    <s v="CLM-00056"/>
    <x v="55"/>
    <x v="3"/>
    <n v="792483.56"/>
    <s v="Open"/>
    <n v="812849.67"/>
    <n v="827431.81"/>
    <n v="5000000"/>
    <n v="34948.25"/>
    <s v="Natural Disaster"/>
    <s v="Atlantic Ocean"/>
    <s v="Company 8"/>
    <n v="95501"/>
    <n v="7"/>
    <n v="1.071612"/>
    <n v="886685.85677772004"/>
    <n v="851737.60677772004"/>
    <n v="871059.46056804003"/>
    <n v="851737.60677772004"/>
    <x v="0"/>
    <x v="3"/>
  </r>
  <r>
    <s v="CLM-00057"/>
    <x v="56"/>
    <x v="1"/>
    <n v="594837.93999999994"/>
    <s v="Closed"/>
    <n v="629382.74"/>
    <n v="623785.5"/>
    <n v="5000000"/>
    <n v="28947.56"/>
    <s v="Technical Failure"/>
    <s v="Mediterranean Sea"/>
    <s v="Company 10"/>
    <n v="30750"/>
    <n v="4"/>
    <n v="1.1037603600000001"/>
    <n v="688509.70804278005"/>
    <n v="659562.14804278"/>
    <n v="694687.71968018648"/>
    <n v="659562.14804278"/>
    <x v="0"/>
    <x v="1"/>
  </r>
  <r>
    <s v="CLM-00058"/>
    <x v="57"/>
    <x v="4"/>
    <n v="472839.28"/>
    <s v="Closed"/>
    <n v="523849.27"/>
    <n v="494777.76"/>
    <n v="5000000"/>
    <n v="21938.48"/>
    <s v="Human Error"/>
    <s v="North Sea"/>
    <s v="Company 3"/>
    <n v="49338"/>
    <n v="6"/>
    <n v="1.03"/>
    <n v="509621.09280000004"/>
    <n v="487682.61280000006"/>
    <n v="539564.74810000008"/>
    <n v="487682.61280000006"/>
    <x v="0"/>
    <x v="4"/>
  </r>
  <r>
    <s v="CLM-00059"/>
    <x v="58"/>
    <x v="0"/>
    <n v="592483.44999999995"/>
    <s v="Open"/>
    <n v="628849.74"/>
    <n v="625430.82999999996"/>
    <n v="2000000"/>
    <n v="32947.379999999997"/>
    <s v="Technical Failure"/>
    <s v="Atlantic Ocean"/>
    <s v="Company 9"/>
    <n v="64285"/>
    <n v="5"/>
    <n v="1.2053063131199999"/>
    <n v="753835.72781888139"/>
    <n v="720888.34781888139"/>
    <n v="757956.56162587053"/>
    <n v="720888.34781888139"/>
    <x v="0"/>
    <x v="2"/>
  </r>
  <r>
    <s v="CLM-00060"/>
    <x v="59"/>
    <x v="2"/>
    <n v="839483.29"/>
    <s v="Closed"/>
    <n v="872394.58"/>
    <n v="877431.67"/>
    <n v="5000000"/>
    <n v="37948.379999999997"/>
    <s v="Criminal Activity"/>
    <s v="Pacific Ocean"/>
    <s v="Company 6"/>
    <n v="18302"/>
    <n v="3"/>
    <n v="1.1479107743999999"/>
    <n v="1007213.2677927852"/>
    <n v="969264.88779278519"/>
    <n v="1001431.1379101626"/>
    <n v="969264.88779278519"/>
    <x v="0"/>
    <x v="0"/>
  </r>
  <r>
    <s v="CLM-00061"/>
    <x v="60"/>
    <x v="3"/>
    <n v="839483.58"/>
    <s v="Open"/>
    <n v="859382.45"/>
    <n v="878431.02999999991"/>
    <n v="5000000"/>
    <n v="38947.449999999997"/>
    <s v="Natural Disaster"/>
    <s v="North Sea"/>
    <s v="Company 11"/>
    <n v="117196"/>
    <n v="4"/>
    <n v="1.0506"/>
    <n v="922879.64011799986"/>
    <n v="883932.19011799991"/>
    <n v="902867.20196999994"/>
    <n v="883932.19011799991"/>
    <x v="0"/>
    <x v="5"/>
  </r>
  <r>
    <s v="CLM-00062"/>
    <x v="61"/>
    <x v="1"/>
    <n v="793849.23"/>
    <s v="Closed"/>
    <n v="823949.74"/>
    <n v="823331.71"/>
    <n v="5000000"/>
    <n v="29482.48"/>
    <s v="Technical Failure"/>
    <s v="Mediterranean Sea"/>
    <s v="Company 13"/>
    <n v="31755"/>
    <n v="7"/>
    <n v="1.071612"/>
    <n v="882292.14041651995"/>
    <n v="852809.66041651997"/>
    <n v="882954.42878087994"/>
    <n v="852809.66041651997"/>
    <x v="0"/>
    <x v="3"/>
  </r>
  <r>
    <s v="CLM-00063"/>
    <x v="62"/>
    <x v="4"/>
    <n v="473839.25"/>
    <s v="Closed"/>
    <n v="512849.56"/>
    <n v="501321.63"/>
    <n v="5000000"/>
    <n v="27482.38"/>
    <s v="Human Error"/>
    <s v="Pacific Ocean"/>
    <s v="Company 15"/>
    <n v="46472"/>
    <n v="6"/>
    <n v="1.1037603600000001"/>
    <n v="553338.94280458684"/>
    <n v="525856.56280458684"/>
    <n v="566063.01497144171"/>
    <n v="525856.56280458684"/>
    <x v="0"/>
    <x v="1"/>
  </r>
  <r>
    <s v="CLM-00064"/>
    <x v="63"/>
    <x v="0"/>
    <n v="573849.48"/>
    <s v="Open"/>
    <n v="612849.75"/>
    <n v="606697.05999999994"/>
    <n v="5000000"/>
    <n v="32847.58"/>
    <s v="Technical Failure"/>
    <s v="Indian Ocean"/>
    <s v="Company 8"/>
    <n v="88389"/>
    <n v="3"/>
    <n v="1.1479107743999999"/>
    <n v="696434.0919708031"/>
    <n v="663586.51197080314"/>
    <n v="703496.83111334639"/>
    <n v="663586.51197080314"/>
    <x v="0"/>
    <x v="0"/>
  </r>
  <r>
    <s v="CLM-00065"/>
    <x v="64"/>
    <x v="2"/>
    <n v="683849.75"/>
    <s v="Closed"/>
    <n v="728947.34"/>
    <n v="716797.2"/>
    <n v="5000000"/>
    <n v="32947.449999999997"/>
    <s v="Criminal Activity"/>
    <s v="Atlantic Ocean"/>
    <s v="Company 1"/>
    <n v="80880"/>
    <n v="2"/>
    <n v="1.03"/>
    <n v="738301.11599999992"/>
    <n v="705353.66599999997"/>
    <n v="750815.76020000002"/>
    <n v="705353.66599999997"/>
    <x v="0"/>
    <x v="4"/>
  </r>
  <r>
    <s v="CLM-00066"/>
    <x v="65"/>
    <x v="3"/>
    <n v="683849.45"/>
    <s v="Open"/>
    <n v="712849.23"/>
    <n v="713331.89999999991"/>
    <n v="5000000"/>
    <n v="29482.45"/>
    <s v="Natural Disaster"/>
    <s v="Mediterranean Sea"/>
    <s v="Company 7"/>
    <n v="52366"/>
    <n v="4"/>
    <n v="1.0506"/>
    <n v="749426.49413999985"/>
    <n v="719944.0441399999"/>
    <n v="748919.40103800001"/>
    <n v="719944.0441399999"/>
    <x v="0"/>
    <x v="5"/>
  </r>
  <r>
    <s v="CLM-00067"/>
    <x v="66"/>
    <x v="1"/>
    <n v="573839.54"/>
    <s v="Closed"/>
    <n v="612839.84"/>
    <n v="601678.92000000004"/>
    <n v="5000000"/>
    <n v="27839.38"/>
    <s v="Technical Failure"/>
    <s v="North Sea"/>
    <s v="Company 14"/>
    <n v="26779"/>
    <n v="5"/>
    <n v="1.071612"/>
    <n v="644766.35081904009"/>
    <n v="616926.97081904009"/>
    <n v="656726.52662208001"/>
    <n v="616926.97081904009"/>
    <x v="0"/>
    <x v="3"/>
  </r>
  <r>
    <s v="CLM-00068"/>
    <x v="67"/>
    <x v="4"/>
    <n v="572839.44999999995"/>
    <s v="Closed"/>
    <n v="610849.75"/>
    <n v="605786.89999999991"/>
    <n v="5000000"/>
    <n v="32947.449999999997"/>
    <s v="Human Error"/>
    <s v="Pacific Ocean"/>
    <s v="Company 6"/>
    <n v="47457"/>
    <n v="3"/>
    <n v="1.1037603600000001"/>
    <n v="668643.56682728394"/>
    <n v="635696.11682728399"/>
    <n v="674231.73996591009"/>
    <n v="635696.11682728399"/>
    <x v="0"/>
    <x v="1"/>
  </r>
  <r>
    <s v="CLM-00069"/>
    <x v="68"/>
    <x v="4"/>
    <n v="472839.38"/>
    <s v="Open"/>
    <n v="510839.74"/>
    <n v="502313.22000000003"/>
    <n v="2000000"/>
    <n v="29473.84"/>
    <s v="Technical Failure"/>
    <s v="Mediterranean Sea"/>
    <s v="Company 16"/>
    <n v="48237"/>
    <n v="4"/>
    <n v="1.1479107743999999"/>
    <n v="576610.75736155757"/>
    <n v="547136.9173615576"/>
    <n v="586398.44153769454"/>
    <n v="547136.9173615576"/>
    <x v="0"/>
    <x v="0"/>
  </r>
  <r>
    <s v="CLM-00070"/>
    <x v="69"/>
    <x v="0"/>
    <n v="573849.48"/>
    <s v="Closed"/>
    <n v="612849.75"/>
    <n v="606697.05999999994"/>
    <n v="5000000"/>
    <n v="32847.58"/>
    <s v="Technical Failure"/>
    <s v="North Sea"/>
    <s v="Company 7"/>
    <n v="49672"/>
    <n v="3"/>
    <n v="1.03"/>
    <n v="624897.97179999994"/>
    <n v="592050.39179999998"/>
    <n v="631235.24250000005"/>
    <n v="592050.39179999998"/>
    <x v="0"/>
    <x v="4"/>
  </r>
  <r>
    <s v="CLM-00071"/>
    <x v="70"/>
    <x v="2"/>
    <n v="683849.75"/>
    <s v="Closed"/>
    <n v="728947.34"/>
    <n v="721798.13"/>
    <n v="5000000"/>
    <n v="37948.379999999997"/>
    <s v="Criminal Activity"/>
    <s v="Pacific Ocean"/>
    <s v="Company 19"/>
    <n v="55320"/>
    <n v="5"/>
    <n v="1.071612"/>
    <n v="773487.53768556006"/>
    <n v="735539.15768556006"/>
    <n v="781148.71691207995"/>
    <n v="735539.15768556006"/>
    <x v="0"/>
    <x v="3"/>
  </r>
  <r>
    <s v="CLM-00072"/>
    <x v="71"/>
    <x v="3"/>
    <n v="739849.45"/>
    <s v="Open"/>
    <n v="762849.23"/>
    <n v="778796.89999999991"/>
    <n v="5000000"/>
    <n v="38947.449999999997"/>
    <s v="Natural Disaster"/>
    <s v="Indian Ocean"/>
    <s v="Company 5"/>
    <n v="65434"/>
    <n v="3"/>
    <n v="1.0506"/>
    <n v="818204.02313999983"/>
    <n v="779256.57313999988"/>
    <n v="801449.40103800001"/>
    <n v="779256.57313999988"/>
    <x v="0"/>
    <x v="5"/>
  </r>
  <r>
    <s v="CLM-00073"/>
    <x v="72"/>
    <x v="1"/>
    <n v="573839.54"/>
    <s v="Closed"/>
    <n v="612839.84"/>
    <n v="601678.92000000004"/>
    <n v="5000000"/>
    <n v="27839.38"/>
    <s v="Technical Failure"/>
    <s v="Atlantic Ocean"/>
    <s v="Company 20"/>
    <n v="44194"/>
    <n v="6"/>
    <n v="1.1037603600000001"/>
    <n v="664109.34134361136"/>
    <n v="636269.96134361136"/>
    <n v="676428.32242074248"/>
    <n v="636269.96134361136"/>
    <x v="0"/>
    <x v="1"/>
  </r>
  <r>
    <s v="CLM-00074"/>
    <x v="73"/>
    <x v="4"/>
    <n v="572839.44999999995"/>
    <s v="Closed"/>
    <n v="610849.75"/>
    <n v="605786.89999999991"/>
    <n v="5000000"/>
    <n v="32947.449999999997"/>
    <s v="Human Error"/>
    <s v="North Sea"/>
    <s v="Company 9"/>
    <n v="15962"/>
    <n v="3"/>
    <n v="1.2053063131199999"/>
    <n v="730158.77497539402"/>
    <n v="697211.32497539406"/>
    <n v="736261.06004277372"/>
    <n v="697211.32497539406"/>
    <x v="0"/>
    <x v="2"/>
  </r>
  <r>
    <s v="CLM-00075"/>
    <x v="74"/>
    <x v="0"/>
    <n v="793849.23"/>
    <s v="Open"/>
    <n v="823949.74"/>
    <n v="823331.71"/>
    <n v="5000000"/>
    <n v="29482.48"/>
    <s v="Technical Failure"/>
    <s v="Pacific Ocean"/>
    <s v="Company 12"/>
    <n v="98707"/>
    <n v="4"/>
    <n v="1.03"/>
    <n v="848031.66130000004"/>
    <n v="818549.18130000005"/>
    <n v="848668.23219999997"/>
    <n v="818549.18130000005"/>
    <x v="0"/>
    <x v="4"/>
  </r>
  <r>
    <s v="CLM-00076"/>
    <x v="75"/>
    <x v="2"/>
    <n v="573849.48"/>
    <s v="Closed"/>
    <n v="612849.75"/>
    <n v="606697.05999999994"/>
    <n v="5000000"/>
    <n v="32847.58"/>
    <s v="Criminal Activity"/>
    <s v="Indian Ocean"/>
    <s v="Company 14"/>
    <n v="65923"/>
    <n v="3"/>
    <n v="1.071612"/>
    <n v="650143.84986071999"/>
    <n v="617296.26986072003"/>
    <n v="656737.146297"/>
    <n v="617296.26986072003"/>
    <x v="0"/>
    <x v="3"/>
  </r>
  <r>
    <s v="CLM-00077"/>
    <x v="76"/>
    <x v="3"/>
    <n v="572839.44999999995"/>
    <s v="Closed"/>
    <n v="610849.75"/>
    <n v="605786.89999999991"/>
    <n v="5000000"/>
    <n v="32947.449999999997"/>
    <s v="Natural Disaster"/>
    <s v="Mediterranean Sea"/>
    <s v="Company 8"/>
    <n v="110287"/>
    <n v="6"/>
    <n v="1.1037603600000001"/>
    <n v="668643.56682728394"/>
    <n v="635696.11682728399"/>
    <n v="674231.73996591009"/>
    <n v="635696.11682728399"/>
    <x v="0"/>
    <x v="1"/>
  </r>
  <r>
    <s v="CLM-00078"/>
    <x v="24"/>
    <x v="1"/>
    <n v="573839.54"/>
    <s v="Open"/>
    <n v="612839.84"/>
    <n v="601678.92000000004"/>
    <n v="5000000"/>
    <n v="27839.38"/>
    <s v="Technical Failure"/>
    <s v="Atlantic Ocean"/>
    <s v="Company 11"/>
    <n v="60697"/>
    <n v="3"/>
    <n v="1.0506"/>
    <n v="632123.87335200002"/>
    <n v="604284.49335200002"/>
    <n v="643849.53590399993"/>
    <n v="604284.49335200002"/>
    <x v="0"/>
    <x v="5"/>
  </r>
  <r>
    <s v="CLM-00079"/>
    <x v="77"/>
    <x v="4"/>
    <n v="473839.25"/>
    <s v="Closed"/>
    <n v="512849.56"/>
    <n v="501321.63"/>
    <n v="2000000"/>
    <n v="27482.38"/>
    <s v="Human Error"/>
    <s v="North Sea"/>
    <s v="Company 2"/>
    <n v="31641"/>
    <n v="5"/>
    <n v="1.03"/>
    <n v="516361.27890000003"/>
    <n v="488878.89890000003"/>
    <n v="528235.04680000001"/>
    <n v="488878.89890000003"/>
    <x v="0"/>
    <x v="4"/>
  </r>
  <r>
    <s v="CLM-00080"/>
    <x v="78"/>
    <x v="0"/>
    <n v="573849.48"/>
    <s v="Closed"/>
    <n v="612849.75"/>
    <n v="606697.05999999994"/>
    <n v="5000000"/>
    <n v="32847.58"/>
    <s v="Technical Failure"/>
    <s v="Pacific Ocean"/>
    <s v="Company 17"/>
    <n v="77627"/>
    <n v="7"/>
    <n v="1.071612"/>
    <n v="650143.84986071999"/>
    <n v="617296.26986072003"/>
    <n v="656737.146297"/>
    <n v="617296.26986072003"/>
    <x v="0"/>
    <x v="3"/>
  </r>
  <r>
    <s v="CLM-00081"/>
    <x v="79"/>
    <x v="2"/>
    <n v="683849.75"/>
    <s v="Closed"/>
    <n v="728947.34"/>
    <n v="721798.13"/>
    <n v="5000000"/>
    <n v="37948.379999999997"/>
    <s v="Criminal Activity"/>
    <s v="Indian Ocean"/>
    <s v="Company 1"/>
    <n v="19270"/>
    <n v="3"/>
    <n v="1.1037603600000001"/>
    <n v="796692.16381612688"/>
    <n v="758743.78381612687"/>
    <n v="804583.1784194425"/>
    <n v="758743.78381612687"/>
    <x v="0"/>
    <x v="1"/>
  </r>
  <r>
    <s v="CLM-00082"/>
    <x v="80"/>
    <x v="3"/>
    <n v="739849.45"/>
    <s v="Open"/>
    <n v="762849.23"/>
    <n v="778796.89999999991"/>
    <n v="5000000"/>
    <n v="38947.449999999997"/>
    <s v="Natural Disaster"/>
    <s v="Mediterranean Sea"/>
    <s v="Company 13"/>
    <n v="68063"/>
    <n v="4"/>
    <n v="1.1479107743999999"/>
    <n v="893989.35257931915"/>
    <n v="855041.9025793192"/>
    <n v="875682.85035974358"/>
    <n v="855041.9025793192"/>
    <x v="0"/>
    <x v="0"/>
  </r>
  <r>
    <s v="CLM-00083"/>
    <x v="81"/>
    <x v="1"/>
    <n v="573839.54"/>
    <s v="Closed"/>
    <n v="612839.84"/>
    <n v="601678.92000000004"/>
    <n v="5000000"/>
    <n v="27839.38"/>
    <s v="Technical Failure"/>
    <s v="Atlantic Ocean"/>
    <s v="Company 18"/>
    <n v="49315"/>
    <n v="5"/>
    <n v="1.2053063131199999"/>
    <n v="725207.40074722341"/>
    <n v="697368.0207472234"/>
    <n v="738659.72808345058"/>
    <n v="697368.0207472234"/>
    <x v="0"/>
    <x v="2"/>
  </r>
  <r>
    <s v="CLM-00084"/>
    <x v="82"/>
    <x v="4"/>
    <n v="572839.44999999995"/>
    <s v="Closed"/>
    <n v="610849.75"/>
    <n v="605786.89999999991"/>
    <n v="5000000"/>
    <n v="32947.449999999997"/>
    <s v="Human Error"/>
    <s v="North Sea"/>
    <s v="Company 16"/>
    <n v="32699"/>
    <n v="6"/>
    <n v="1.03"/>
    <n v="623960.50699999987"/>
    <n v="591013.05699999991"/>
    <n v="629175.24250000005"/>
    <n v="591013.05699999991"/>
    <x v="0"/>
    <x v="4"/>
  </r>
  <r>
    <s v="CLM-00085"/>
    <x v="83"/>
    <x v="0"/>
    <n v="793849.23"/>
    <s v="Open"/>
    <n v="823949.74"/>
    <n v="823331.71"/>
    <n v="5000000"/>
    <n v="29482.48"/>
    <s v="Technical Failure"/>
    <s v="Pacific Ocean"/>
    <s v="Company 7"/>
    <n v="65127"/>
    <n v="4"/>
    <n v="1.071612"/>
    <n v="882292.14041651995"/>
    <n v="852809.66041651997"/>
    <n v="882954.42878087994"/>
    <n v="852809.66041651997"/>
    <x v="0"/>
    <x v="3"/>
  </r>
  <r>
    <s v="CLM-00086"/>
    <x v="84"/>
    <x v="2"/>
    <n v="573849.48"/>
    <s v="Closed"/>
    <n v="612849.75"/>
    <n v="606697.05999999994"/>
    <n v="5000000"/>
    <n v="32847.58"/>
    <s v="Criminal Activity"/>
    <s v="Indian Ocean"/>
    <s v="Company 4"/>
    <n v="85156"/>
    <n v="3"/>
    <n v="1.1037603600000001"/>
    <n v="669648.16535654163"/>
    <n v="636800.58535654168"/>
    <n v="676439.26068591012"/>
    <n v="636800.58535654168"/>
    <x v="0"/>
    <x v="1"/>
  </r>
  <r>
    <s v="CLM-00087"/>
    <x v="85"/>
    <x v="3"/>
    <n v="572839.44999999995"/>
    <s v="Closed"/>
    <n v="610849.75"/>
    <n v="605786.89999999991"/>
    <n v="5000000"/>
    <n v="32947.449999999997"/>
    <s v="Natural Disaster"/>
    <s v="Atlantic Ocean"/>
    <s v="Company 6"/>
    <n v="102930"/>
    <n v="5"/>
    <n v="1.1479107743999999"/>
    <n v="695389.30950037518"/>
    <n v="662441.85950037523"/>
    <n v="701201.00956454629"/>
    <n v="662441.85950037523"/>
    <x v="0"/>
    <x v="0"/>
  </r>
  <r>
    <s v="CLM-00088"/>
    <x v="86"/>
    <x v="1"/>
    <n v="573839.54"/>
    <s v="Open"/>
    <n v="612839.84"/>
    <n v="601678.92000000004"/>
    <n v="5000000"/>
    <n v="27839.38"/>
    <s v="Technical Failure"/>
    <s v="Mediterranean Sea"/>
    <s v="Company 5"/>
    <n v="40525"/>
    <n v="3"/>
    <n v="1.0506"/>
    <n v="632123.87335200002"/>
    <n v="604284.49335200002"/>
    <n v="643849.53590399993"/>
    <n v="604284.49335200002"/>
    <x v="0"/>
    <x v="5"/>
  </r>
  <r>
    <s v="CLM-00089"/>
    <x v="4"/>
    <x v="4"/>
    <n v="473839.25"/>
    <s v="Closed"/>
    <n v="512849.56"/>
    <n v="501321.63"/>
    <n v="2000000"/>
    <n v="27482.38"/>
    <s v="Human Error"/>
    <s v="North Sea"/>
    <s v="Company 9"/>
    <n v="55488"/>
    <n v="7"/>
    <n v="1.03"/>
    <n v="516361.27890000003"/>
    <n v="488878.89890000003"/>
    <n v="528235.04680000001"/>
    <n v="488878.89890000003"/>
    <x v="0"/>
    <x v="4"/>
  </r>
  <r>
    <s v="CLM-00090"/>
    <x v="87"/>
    <x v="0"/>
    <n v="573849.48"/>
    <s v="Closed"/>
    <n v="612849.75"/>
    <n v="606697.05999999994"/>
    <n v="5000000"/>
    <n v="32847.58"/>
    <s v="Technical Failure"/>
    <s v="Pacific Ocean"/>
    <s v="Company 11"/>
    <n v="65636"/>
    <n v="4"/>
    <n v="1.071612"/>
    <n v="650143.84986071999"/>
    <n v="617296.26986072003"/>
    <n v="656737.146297"/>
    <n v="617296.26986072003"/>
    <x v="0"/>
    <x v="3"/>
  </r>
  <r>
    <s v="CLM-00091"/>
    <x v="88"/>
    <x v="2"/>
    <n v="683849.75"/>
    <s v="Closed"/>
    <n v="728947.34"/>
    <n v="721798.13"/>
    <n v="5000000"/>
    <n v="37948.379999999997"/>
    <s v="Criminal Activity"/>
    <s v="Indian Ocean"/>
    <s v="Company 3"/>
    <n v="54308"/>
    <n v="5"/>
    <n v="1.1037603600000001"/>
    <n v="796692.16381612688"/>
    <n v="758743.78381612687"/>
    <n v="804583.1784194425"/>
    <n v="758743.78381612687"/>
    <x v="0"/>
    <x v="1"/>
  </r>
  <r>
    <s v="CLM-00092"/>
    <x v="89"/>
    <x v="3"/>
    <n v="739849.45"/>
    <s v="Open"/>
    <n v="762849.23"/>
    <n v="778796.89999999991"/>
    <n v="5000000"/>
    <n v="38947.449999999997"/>
    <s v="Natural Disaster"/>
    <s v="Mediterranean Sea"/>
    <s v="Company 17"/>
    <n v="59630"/>
    <n v="6"/>
    <n v="1.0506"/>
    <n v="818204.02313999983"/>
    <n v="779256.57313999988"/>
    <n v="801449.40103800001"/>
    <n v="779256.57313999988"/>
    <x v="0"/>
    <x v="5"/>
  </r>
  <r>
    <s v="CLM-00093"/>
    <x v="90"/>
    <x v="1"/>
    <n v="573839.54"/>
    <s v="Closed"/>
    <n v="612839.84"/>
    <n v="601678.92000000004"/>
    <n v="5000000"/>
    <n v="27839.38"/>
    <s v="Technical Failure"/>
    <s v="Atlantic Ocean"/>
    <s v="Company 14"/>
    <n v="48128"/>
    <n v="3"/>
    <n v="1.1479107743999999"/>
    <n v="690673.71499735559"/>
    <n v="662834.33499735559"/>
    <n v="703485.45531757199"/>
    <n v="662834.33499735559"/>
    <x v="0"/>
    <x v="0"/>
  </r>
  <r>
    <s v="CLM-00094"/>
    <x v="91"/>
    <x v="4"/>
    <n v="572839.44999999995"/>
    <s v="Closed"/>
    <n v="610849.75"/>
    <n v="605786.89999999991"/>
    <n v="5000000"/>
    <n v="32947.449999999997"/>
    <s v="Human Error"/>
    <s v="North Sea"/>
    <s v="Company 15"/>
    <n v="30582"/>
    <n v="4"/>
    <n v="1.03"/>
    <n v="623960.50699999987"/>
    <n v="591013.05699999991"/>
    <n v="629175.24250000005"/>
    <n v="591013.05699999991"/>
    <x v="0"/>
    <x v="4"/>
  </r>
  <r>
    <s v="CLM-00095"/>
    <x v="92"/>
    <x v="0"/>
    <n v="793849.23"/>
    <s v="Open"/>
    <n v="823949.74"/>
    <n v="823331.71"/>
    <n v="5000000"/>
    <n v="29482.48"/>
    <s v="Technical Failure"/>
    <s v="Pacific Ocean"/>
    <s v="Company 16"/>
    <n v="75978"/>
    <n v="3"/>
    <n v="1.071612"/>
    <n v="882292.14041651995"/>
    <n v="852809.66041651997"/>
    <n v="882954.42878087994"/>
    <n v="852809.66041651997"/>
    <x v="0"/>
    <x v="3"/>
  </r>
  <r>
    <s v="CLM-00096"/>
    <x v="93"/>
    <x v="2"/>
    <n v="573849.48"/>
    <s v="Closed"/>
    <n v="612849.75"/>
    <n v="606697.05999999994"/>
    <n v="5000000"/>
    <n v="32847.58"/>
    <s v="Criminal Activity"/>
    <s v="Indian Ocean"/>
    <s v="Company 7"/>
    <n v="76813"/>
    <n v="6"/>
    <n v="1.1037603600000001"/>
    <n v="669648.16535654163"/>
    <n v="636800.58535654168"/>
    <n v="676439.26068591012"/>
    <n v="636800.58535654168"/>
    <x v="0"/>
    <x v="1"/>
  </r>
  <r>
    <s v="CLM-00097"/>
    <x v="94"/>
    <x v="3"/>
    <n v="572839.44999999995"/>
    <s v="Closed"/>
    <n v="610849.75"/>
    <n v="605786.89999999991"/>
    <n v="5000000"/>
    <n v="32947.449999999997"/>
    <s v="Natural Disaster"/>
    <s v="Atlantic Ocean"/>
    <s v="Company 12"/>
    <n v="78039"/>
    <n v="5"/>
    <n v="1.1479107743999999"/>
    <n v="695389.30950037518"/>
    <n v="662441.85950037523"/>
    <n v="701201.00956454629"/>
    <n v="662441.85950037523"/>
    <x v="0"/>
    <x v="0"/>
  </r>
  <r>
    <s v="CLM-00098"/>
    <x v="95"/>
    <x v="1"/>
    <n v="573839.54"/>
    <s v="Open"/>
    <n v="612839.84"/>
    <n v="601678.92000000004"/>
    <n v="5000000"/>
    <n v="27839.38"/>
    <s v="Technical Failure"/>
    <s v="Mediterranean Sea"/>
    <s v="Company 8"/>
    <n v="11983"/>
    <n v="3"/>
    <n v="1.0506"/>
    <n v="632123.87335200002"/>
    <n v="604284.49335200002"/>
    <n v="643849.53590399993"/>
    <n v="604284.49335200002"/>
    <x v="0"/>
    <x v="5"/>
  </r>
  <r>
    <s v="CLM-00099"/>
    <x v="96"/>
    <x v="4"/>
    <n v="473839.25"/>
    <s v="Closed"/>
    <n v="512849.56"/>
    <n v="501321.63"/>
    <n v="2000000"/>
    <n v="27482.38"/>
    <s v="Human Error"/>
    <s v="Pacific Ocean"/>
    <s v="Company 19"/>
    <n v="45624"/>
    <n v="4"/>
    <n v="1.03"/>
    <n v="516361.27890000003"/>
    <n v="488878.89890000003"/>
    <n v="528235.04680000001"/>
    <n v="488878.89890000003"/>
    <x v="0"/>
    <x v="4"/>
  </r>
  <r>
    <s v="CLM-00100"/>
    <x v="97"/>
    <x v="3"/>
    <n v="5000000"/>
    <s v="In Litigation"/>
    <n v="4000000"/>
    <n v="5018723.79"/>
    <n v="10000000"/>
    <n v="18723.79"/>
    <s v="Natural Disaster"/>
    <s v="Atlantic Ocean"/>
    <s v="Company 15"/>
    <n v="103763"/>
    <n v="9"/>
    <n v="1.0506"/>
    <n v="5272671.2137740003"/>
    <n v="5253947.4237740003"/>
    <n v="4202400"/>
    <n v="5253947.4237740003"/>
    <x v="1"/>
    <x v="5"/>
  </r>
  <r>
    <m/>
    <x v="98"/>
    <x v="5"/>
    <m/>
    <m/>
    <m/>
    <m/>
    <m/>
    <m/>
    <m/>
    <m/>
    <m/>
    <m/>
    <m/>
    <m/>
    <m/>
    <m/>
    <m/>
    <m/>
    <x v="2"/>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LM-00001"/>
    <d v="2019-07-18T00:00:00"/>
    <x v="0"/>
    <n v="737423.28"/>
    <s v="Closed"/>
    <n v="489716.94"/>
    <n v="749769.20000000007"/>
    <n v="5000000"/>
    <n v="12345.92"/>
    <x v="0"/>
    <x v="0"/>
    <s v="Company 9"/>
    <n v="58039"/>
    <n v="4"/>
    <n v="1.1479107743999999"/>
    <n v="860668.14299326844"/>
    <n v="848322.2229932684"/>
    <n v="562151.35183219833"/>
    <n v="848322.2229932684"/>
    <n v="1"/>
    <x v="0"/>
  </r>
  <r>
    <s v="CLM-00002"/>
    <d v="2020-05-27T00:00:00"/>
    <x v="1"/>
    <n v="315189.74"/>
    <s v="Closed"/>
    <n v="58229.22"/>
    <n v="348906.5"/>
    <n v="5000000"/>
    <n v="33716.76"/>
    <x v="1"/>
    <x v="1"/>
    <s v="Company 4"/>
    <n v="15519"/>
    <n v="6"/>
    <n v="1.1037603600000001"/>
    <n v="385109.16404634004"/>
    <n v="351392.40404634003"/>
    <n v="64271.10482971921"/>
    <n v="351392.40404634003"/>
    <n v="1"/>
    <x v="1"/>
  </r>
  <r>
    <s v="CLM-00003"/>
    <d v="2018-11-23T00:00:00"/>
    <x v="2"/>
    <n v="678364.99"/>
    <s v="Closed"/>
    <n v="649301.94999999995"/>
    <n v="712761.9"/>
    <n v="5000000"/>
    <n v="34396.910000000003"/>
    <x v="2"/>
    <x v="2"/>
    <s v="Company 2"/>
    <n v="46932"/>
    <n v="3"/>
    <n v="1.2053063131199999"/>
    <n v="859096.41782140615"/>
    <n v="824699.50782140612"/>
    <n v="782607.73945612647"/>
    <n v="824699.50782140612"/>
    <n v="1"/>
    <x v="2"/>
  </r>
  <r>
    <s v="CLM-00004"/>
    <d v="2021-01-05T00:00:00"/>
    <x v="3"/>
    <n v="203840.58"/>
    <s v="Open"/>
    <n v="709725.17"/>
    <n v="215544.46"/>
    <n v="5000000"/>
    <n v="11703.88"/>
    <x v="3"/>
    <x v="3"/>
    <s v="Company 17"/>
    <n v="74301"/>
    <n v="7"/>
    <n v="1.071612"/>
    <n v="230980.02986951999"/>
    <n v="219276.14986951998"/>
    <n v="760550.0088740401"/>
    <n v="219276.14986951998"/>
    <n v="1"/>
    <x v="3"/>
  </r>
  <r>
    <s v="CLM-00005"/>
    <d v="2023-06-14T00:00:00"/>
    <x v="4"/>
    <n v="98692.46"/>
    <s v="In Litigation"/>
    <n v="120802.84"/>
    <n v="146820.18"/>
    <n v="1000000"/>
    <n v="48127.72"/>
    <x v="0"/>
    <x v="0"/>
    <s v="Company 12"/>
    <n v="36109"/>
    <n v="8"/>
    <n v="1.03"/>
    <n v="151224.78539999999"/>
    <n v="103097.06539999999"/>
    <n v="124426.9252"/>
    <n v="103097.06539999999"/>
    <n v="1"/>
    <x v="4"/>
  </r>
  <r>
    <s v="CLM-00006"/>
    <d v="2019-04-29T00:00:00"/>
    <x v="0"/>
    <n v="243918.65"/>
    <s v="Closed"/>
    <n v="289364.92"/>
    <n v="254504.19"/>
    <n v="5000000"/>
    <n v="10585.54"/>
    <x v="1"/>
    <x v="1"/>
    <s v="Company 3"/>
    <n v="58125"/>
    <n v="2"/>
    <n v="1.1479107743999999"/>
    <n v="292148.10183094471"/>
    <n v="281562.56183094473"/>
    <n v="332165.10940139397"/>
    <n v="281562.56183094473"/>
    <n v="1"/>
    <x v="0"/>
  </r>
  <r>
    <s v="CLM-00007"/>
    <d v="2021-07-21T00:00:00"/>
    <x v="3"/>
    <n v="765873.46"/>
    <s v="Closed"/>
    <n v="689203.39"/>
    <n v="783218.83"/>
    <n v="5000000"/>
    <n v="17345.37"/>
    <x v="3"/>
    <x v="4"/>
    <s v="Company 11"/>
    <n v="65042"/>
    <n v="1"/>
    <n v="1.071612"/>
    <n v="839306.69685395993"/>
    <n v="821961.32685395994"/>
    <n v="738558.62316467997"/>
    <n v="821961.32685395994"/>
    <n v="1"/>
    <x v="3"/>
  </r>
  <r>
    <s v="CLM-00008"/>
    <d v="2022-03-18T00:00:00"/>
    <x v="2"/>
    <n v="913843.77"/>
    <s v="Closed"/>
    <n v="800104.83"/>
    <n v="939444.11"/>
    <n v="5000000"/>
    <n v="25600.34"/>
    <x v="2"/>
    <x v="1"/>
    <s v="Company 5"/>
    <n v="15111"/>
    <n v="0"/>
    <n v="1.0506"/>
    <n v="986979.98196599993"/>
    <n v="961379.64196599997"/>
    <n v="840590.13439799997"/>
    <n v="961379.64196599997"/>
    <n v="1"/>
    <x v="5"/>
  </r>
  <r>
    <s v="CLM-00009"/>
    <d v="2020-11-15T00:00:00"/>
    <x v="1"/>
    <n v="754890.21"/>
    <s v="Closed"/>
    <n v="523116.77"/>
    <n v="793074.64999999991"/>
    <n v="5000000"/>
    <n v="38184.44"/>
    <x v="1"/>
    <x v="2"/>
    <s v="Company 8"/>
    <n v="27170"/>
    <n v="6"/>
    <n v="1.1037603600000001"/>
    <n v="875364.36119087401"/>
    <n v="837179.92119087395"/>
    <n v="577395.55437723722"/>
    <n v="837179.92119087395"/>
    <n v="1"/>
    <x v="1"/>
  </r>
  <r>
    <s v="CLM-00010"/>
    <d v="2018-06-07T00:00:00"/>
    <x v="0"/>
    <n v="600293.27"/>
    <s v="Open"/>
    <n v="559394.74"/>
    <n v="601436.52"/>
    <n v="5000000"/>
    <n v="1143.25"/>
    <x v="0"/>
    <x v="1"/>
    <s v="Company 10"/>
    <n v="21885"/>
    <n v="5"/>
    <n v="1.2053063131199999"/>
    <n v="724915.23449692316"/>
    <n v="723771.98449692316"/>
    <n v="674242.01164812094"/>
    <n v="723771.98449692316"/>
    <n v="1"/>
    <x v="2"/>
  </r>
  <r>
    <s v="CLM-00011"/>
    <d v="2021-02-24T00:00:00"/>
    <x v="3"/>
    <n v="320726.12"/>
    <s v="Closed"/>
    <n v="582693.41"/>
    <n v="363045.08999999997"/>
    <n v="5000000"/>
    <n v="42318.97"/>
    <x v="1"/>
    <x v="4"/>
    <s v="Company 7"/>
    <n v="92932"/>
    <n v="7"/>
    <n v="1.071612"/>
    <n v="389043.47498507996"/>
    <n v="346724.50498507998"/>
    <n v="624421.25047692005"/>
    <n v="346724.50498507998"/>
    <n v="1"/>
    <x v="3"/>
  </r>
  <r>
    <s v="CLM-00012"/>
    <d v="2020-12-15T00:00:00"/>
    <x v="1"/>
    <n v="195238.55"/>
    <s v="Closed"/>
    <n v="319792.05"/>
    <n v="220873.24"/>
    <n v="1000000"/>
    <n v="25634.69"/>
    <x v="2"/>
    <x v="2"/>
    <s v="Company 6"/>
    <n v="71437"/>
    <n v="8"/>
    <n v="1.1037603600000001"/>
    <n v="243791.12689676642"/>
    <n v="218156.43689676642"/>
    <n v="352973.78823313804"/>
    <n v="218156.43689676642"/>
    <n v="1"/>
    <x v="1"/>
  </r>
  <r>
    <s v="CLM-00013"/>
    <d v="2022-08-21T00:00:00"/>
    <x v="0"/>
    <n v="158738.94"/>
    <s v="In Litigation"/>
    <n v="301208.46000000002"/>
    <n v="188195.05"/>
    <n v="1000000"/>
    <n v="29456.11"/>
    <x v="0"/>
    <x v="0"/>
    <s v="Company 13"/>
    <n v="48066"/>
    <n v="3"/>
    <n v="1.0506"/>
    <n v="197717.71952999997"/>
    <n v="168261.60952999996"/>
    <n v="316449.608076"/>
    <n v="168261.60952999996"/>
    <n v="1"/>
    <x v="5"/>
  </r>
  <r>
    <s v="CLM-00014"/>
    <d v="2023-01-11T00:00:00"/>
    <x v="2"/>
    <n v="125309.18"/>
    <s v="Closed"/>
    <n v="500694.12"/>
    <n v="140287.41"/>
    <n v="1000000"/>
    <n v="14978.23"/>
    <x v="2"/>
    <x v="3"/>
    <s v="Company 19"/>
    <n v="52965"/>
    <n v="2"/>
    <n v="1.03"/>
    <n v="144496.03230000002"/>
    <n v="129517.80230000002"/>
    <n v="515714.9436"/>
    <n v="129517.80230000002"/>
    <n v="1"/>
    <x v="4"/>
  </r>
  <r>
    <s v="CLM-00015"/>
    <d v="2019-09-30T00:00:00"/>
    <x v="3"/>
    <n v="701924.64"/>
    <s v="Open"/>
    <n v="587613.84"/>
    <n v="726627.31"/>
    <n v="5000000"/>
    <n v="24702.67"/>
    <x v="1"/>
    <x v="1"/>
    <s v="Company 14"/>
    <n v="66879"/>
    <n v="6"/>
    <n v="1.1479107743999999"/>
    <n v="834103.31812228879"/>
    <n v="809400.64812228875"/>
    <n v="674528.25812255754"/>
    <n v="809400.64812228875"/>
    <n v="1"/>
    <x v="0"/>
  </r>
  <r>
    <s v="CLM-00016"/>
    <d v="2018-07-13T00:00:00"/>
    <x v="4"/>
    <n v="590732.85"/>
    <s v="Closed"/>
    <n v="590345.67000000004"/>
    <n v="600165.35"/>
    <n v="5000000"/>
    <n v="9432.5"/>
    <x v="3"/>
    <x v="2"/>
    <s v="Company 1"/>
    <n v="16754"/>
    <n v="4"/>
    <n v="1.2053063131199999"/>
    <n v="723383.08527087432"/>
    <n v="713950.58527087432"/>
    <n v="711547.36297405616"/>
    <n v="713950.58527087432"/>
    <n v="1"/>
    <x v="2"/>
  </r>
  <r>
    <s v="CLM-00017"/>
    <d v="2021-04-02T00:00:00"/>
    <x v="0"/>
    <n v="358145.93"/>
    <s v="Closed"/>
    <n v="403102.27"/>
    <n v="375066.3"/>
    <n v="2000000"/>
    <n v="16920.37"/>
    <x v="0"/>
    <x v="3"/>
    <s v="Company 15"/>
    <n v="95161"/>
    <n v="7"/>
    <n v="1.071612"/>
    <n v="401925.54787559999"/>
    <n v="385005.1778756"/>
    <n v="431969.22975924"/>
    <n v="385005.1778756"/>
    <n v="1"/>
    <x v="3"/>
  </r>
  <r>
    <s v="CLM-00018"/>
    <d v="2019-06-25T00:00:00"/>
    <x v="2"/>
    <n v="453896.75"/>
    <s v="Closed"/>
    <n v="459235.72"/>
    <n v="492825.48"/>
    <n v="500000"/>
    <n v="38928.730000000003"/>
    <x v="2"/>
    <x v="4"/>
    <s v="Company 8"/>
    <n v="22430"/>
    <n v="5"/>
    <n v="1.1479107743999999"/>
    <n v="565719.67839085159"/>
    <n v="526790.94839085161"/>
    <n v="527161.63097734144"/>
    <n v="500000"/>
    <n v="1"/>
    <x v="0"/>
  </r>
  <r>
    <s v="CLM-00019"/>
    <d v="2022-07-12T00:00:00"/>
    <x v="1"/>
    <n v="195984.65"/>
    <s v="In Litigation"/>
    <n v="279603.12"/>
    <n v="215631.84"/>
    <n v="500000"/>
    <n v="19647.189999999999"/>
    <x v="1"/>
    <x v="0"/>
    <s v="Company 10"/>
    <n v="23621"/>
    <n v="3"/>
    <n v="1.0506"/>
    <n v="226542.81110399999"/>
    <n v="206895.62110399999"/>
    <n v="293751.03787200002"/>
    <n v="206895.62110399999"/>
    <n v="1"/>
    <x v="5"/>
  </r>
  <r>
    <s v="CLM-00020"/>
    <d v="2020-03-20T00:00:00"/>
    <x v="3"/>
    <n v="472804.33"/>
    <s v="Open"/>
    <n v="345128.67"/>
    <n v="518485.62"/>
    <n v="5000000"/>
    <n v="45681.29"/>
    <x v="3"/>
    <x v="1"/>
    <s v="Company 11"/>
    <n v="51343"/>
    <n v="8"/>
    <n v="1.1037603600000001"/>
    <n v="572283.87458602327"/>
    <n v="526602.58458602324"/>
    <n v="380939.34504552122"/>
    <n v="526602.58458602324"/>
    <n v="1"/>
    <x v="1"/>
  </r>
  <r>
    <s v="CLM-00021"/>
    <d v="2023-05-30T00:00:00"/>
    <x v="4"/>
    <n v="87924.45"/>
    <s v="Closed"/>
    <n v="99847.18"/>
    <n v="111522.66"/>
    <n v="500000"/>
    <n v="23598.21"/>
    <x v="1"/>
    <x v="4"/>
    <s v="Company 13"/>
    <n v="56279"/>
    <n v="4"/>
    <n v="1.03"/>
    <n v="114868.3398"/>
    <n v="91270.129799999995"/>
    <n v="102842.59539999999"/>
    <n v="91270.129799999995"/>
    <n v="1"/>
    <x v="4"/>
  </r>
  <r>
    <s v="CLM-00022"/>
    <d v="2021-12-03T00:00:00"/>
    <x v="0"/>
    <n v="654327.44999999995"/>
    <s v="Closed"/>
    <n v="706298.12"/>
    <n v="673030.17999999993"/>
    <n v="5000000"/>
    <n v="18702.73"/>
    <x v="0"/>
    <x v="1"/>
    <s v="Company 16"/>
    <n v="67517"/>
    <n v="7"/>
    <n v="1.071612"/>
    <n v="721227.21725015994"/>
    <n v="702524.48725015996"/>
    <n v="756877.54096944002"/>
    <n v="702524.48725015996"/>
    <n v="1"/>
    <x v="3"/>
  </r>
  <r>
    <s v="CLM-00023"/>
    <d v="2020-06-11T00:00:00"/>
    <x v="2"/>
    <n v="231548.73"/>
    <s v="Open"/>
    <n v="202954.87"/>
    <n v="268477.11"/>
    <n v="500000"/>
    <n v="36928.379999999997"/>
    <x v="2"/>
    <x v="3"/>
    <s v="Company 2"/>
    <n v="56749"/>
    <n v="5"/>
    <n v="1.1037603600000001"/>
    <n v="296334.39158535964"/>
    <n v="259406.01158535964"/>
    <n v="224013.54037495321"/>
    <n v="259406.01158535964"/>
    <n v="1"/>
    <x v="1"/>
  </r>
  <r>
    <s v="CLM-00024"/>
    <d v="2019-08-18T00:00:00"/>
    <x v="3"/>
    <n v="194738.52"/>
    <s v="In Litigation"/>
    <n v="239823.12"/>
    <n v="210177.78999999998"/>
    <n v="500000"/>
    <n v="15439.27"/>
    <x v="3"/>
    <x v="0"/>
    <s v="Company 17"/>
    <n v="114375"/>
    <n v="8"/>
    <n v="1.1479107743999999"/>
    <n v="241265.34968058052"/>
    <n v="225826.07968058053"/>
    <n v="275295.54339822411"/>
    <n v="225826.07968058053"/>
    <n v="1"/>
    <x v="0"/>
  </r>
  <r>
    <s v="CLM-00025"/>
    <d v="2022-09-14T00:00:00"/>
    <x v="1"/>
    <n v="872394.65"/>
    <s v="Closed"/>
    <n v="715298.34"/>
    <n v="896897.03"/>
    <n v="10000000"/>
    <n v="24502.38"/>
    <x v="0"/>
    <x v="2"/>
    <s v="Company 4"/>
    <n v="26388"/>
    <n v="2"/>
    <n v="1.0506"/>
    <n v="942280.01971799997"/>
    <n v="917777.63971799996"/>
    <n v="751492.4360039999"/>
    <n v="917777.63971799996"/>
    <n v="1"/>
    <x v="5"/>
  </r>
  <r>
    <s v="CLM-00026"/>
    <d v="2018-05-03T00:00:00"/>
    <x v="0"/>
    <n v="508739.15"/>
    <s v="Closed"/>
    <n v="624539.27"/>
    <n v="520721.69"/>
    <n v="5000000"/>
    <n v="11982.54"/>
    <x v="1"/>
    <x v="4"/>
    <s v="Company 9"/>
    <n v="66172"/>
    <n v="3"/>
    <n v="1.2053063131199999"/>
    <n v="627629.14033551549"/>
    <n v="615646.60033551545"/>
    <n v="752761.12492235622"/>
    <n v="615646.60033551545"/>
    <n v="1"/>
    <x v="2"/>
  </r>
  <r>
    <s v="CLM-00027"/>
    <d v="2021-10-28T00:00:00"/>
    <x v="2"/>
    <n v="376234.78"/>
    <s v="Closed"/>
    <n v="502739.21"/>
    <n v="405983.4"/>
    <n v="2000000"/>
    <n v="29748.62"/>
    <x v="2"/>
    <x v="0"/>
    <s v="Company 6"/>
    <n v="64550"/>
    <n v="7"/>
    <n v="1.071612"/>
    <n v="435056.68324080005"/>
    <n v="405308.06324080005"/>
    <n v="538741.37030652002"/>
    <n v="405308.06324080005"/>
    <n v="1"/>
    <x v="3"/>
  </r>
  <r>
    <s v="CLM-00028"/>
    <d v="2020-04-16T00:00:00"/>
    <x v="3"/>
    <n v="129803.75"/>
    <s v="In Litigation"/>
    <n v="179803.12"/>
    <n v="162723.88"/>
    <n v="1000000"/>
    <n v="32920.129999999997"/>
    <x v="3"/>
    <x v="3"/>
    <s v="Company 18"/>
    <n v="84853"/>
    <n v="4"/>
    <n v="1.1037603600000001"/>
    <n v="179608.16836939682"/>
    <n v="146688.03836939682"/>
    <n v="198459.55646032322"/>
    <n v="146688.03836939682"/>
    <n v="1"/>
    <x v="1"/>
  </r>
  <r>
    <s v="CLM-00029"/>
    <d v="2023-07-07T00:00:00"/>
    <x v="1"/>
    <n v="731235.83999999997"/>
    <s v="Closed"/>
    <n v="624872.34"/>
    <n v="750172.09"/>
    <n v="5000000"/>
    <n v="18936.25"/>
    <x v="1"/>
    <x v="1"/>
    <s v="Company 14"/>
    <n v="69521"/>
    <n v="2"/>
    <n v="1.03"/>
    <n v="772677.25269999995"/>
    <n v="753741.00269999995"/>
    <n v="643618.51020000002"/>
    <n v="753741.00269999995"/>
    <n v="1"/>
    <x v="4"/>
  </r>
  <r>
    <s v="CLM-00030"/>
    <d v="2019-01-22T00:00:00"/>
    <x v="0"/>
    <n v="158924.78"/>
    <s v="Closed"/>
    <n v="239682.47"/>
    <n v="174653.73"/>
    <n v="1000000"/>
    <n v="15728.95"/>
    <x v="0"/>
    <x v="4"/>
    <s v="Company 1"/>
    <n v="55746"/>
    <n v="6"/>
    <n v="1.1479107743999999"/>
    <n v="200486.89845614851"/>
    <n v="184757.9484561485"/>
    <n v="275134.08974780474"/>
    <n v="184757.9484561485"/>
    <n v="1"/>
    <x v="0"/>
  </r>
  <r>
    <s v="CLM-00031"/>
    <d v="2022-11-09T00:00:00"/>
    <x v="2"/>
    <n v="439832.24"/>
    <s v="Closed"/>
    <n v="473893.25"/>
    <n v="471636.18"/>
    <n v="2000000"/>
    <n v="31803.94"/>
    <x v="2"/>
    <x v="1"/>
    <s v="Company 20"/>
    <n v="78974"/>
    <n v="8"/>
    <n v="1.0506"/>
    <n v="495500.97070800001"/>
    <n v="463697.03070800001"/>
    <n v="497872.24845000001"/>
    <n v="463697.03070800001"/>
    <n v="1"/>
    <x v="5"/>
  </r>
  <r>
    <s v="CLM-00032"/>
    <d v="2020-08-13T00:00:00"/>
    <x v="3"/>
    <n v="690239.58"/>
    <s v="In Litigation"/>
    <n v="729324.73"/>
    <n v="717632.12"/>
    <n v="5000000"/>
    <n v="27392.54"/>
    <x v="3"/>
    <x v="2"/>
    <s v="Company 3"/>
    <n v="112726"/>
    <n v="7"/>
    <n v="1.1037603600000001"/>
    <n v="792093.88711876329"/>
    <n v="764701.34711876325"/>
    <n v="804999.72654170287"/>
    <n v="764701.34711876325"/>
    <n v="1"/>
    <x v="1"/>
  </r>
  <r>
    <s v="CLM-00033"/>
    <d v="2021-06-03T00:00:00"/>
    <x v="4"/>
    <n v="215983.48"/>
    <s v="Closed"/>
    <n v="293749.36"/>
    <n v="236967.86000000002"/>
    <n v="2000000"/>
    <n v="20984.38"/>
    <x v="1"/>
    <x v="0"/>
    <s v="Company 19"/>
    <n v="26312"/>
    <n v="4"/>
    <n v="1.071612"/>
    <n v="253937.60239032001"/>
    <n v="232953.22239032001"/>
    <n v="314785.33916832"/>
    <n v="232953.22239032001"/>
    <n v="1"/>
    <x v="3"/>
  </r>
  <r>
    <s v="CLM-00034"/>
    <d v="2019-11-16T00:00:00"/>
    <x v="0"/>
    <n v="507983.42"/>
    <s v="Open"/>
    <n v="539873.21"/>
    <n v="543166.67999999993"/>
    <n v="5000000"/>
    <n v="35183.26"/>
    <x v="0"/>
    <x v="3"/>
    <s v="Company 8"/>
    <n v="28277"/>
    <n v="2"/>
    <n v="1.1479107743999999"/>
    <n v="623506.88426707685"/>
    <n v="588323.62426707684"/>
    <n v="619726.27456891374"/>
    <n v="588323.62426707684"/>
    <n v="1"/>
    <x v="0"/>
  </r>
  <r>
    <s v="CLM-00035"/>
    <d v="2018-12-29T00:00:00"/>
    <x v="2"/>
    <n v="451973.22"/>
    <s v="Closed"/>
    <n v="462839.74"/>
    <n v="480319.12999999995"/>
    <n v="500000"/>
    <n v="28345.91"/>
    <x v="2"/>
    <x v="2"/>
    <s v="Company 5"/>
    <n v="74813"/>
    <n v="4"/>
    <n v="1.2053063131199999"/>
    <n v="578931.67970130593"/>
    <n v="550585.76970130589"/>
    <n v="557863.66058481939"/>
    <n v="500000"/>
    <n v="1"/>
    <x v="2"/>
  </r>
  <r>
    <s v="CLM-00036"/>
    <d v="2021-08-15T00:00:00"/>
    <x v="1"/>
    <n v="289524.33"/>
    <s v="Closed"/>
    <n v="312984.46999999997"/>
    <n v="314363.61"/>
    <n v="2000000"/>
    <n v="24839.279999999999"/>
    <x v="1"/>
    <x v="1"/>
    <s v="Company 7"/>
    <n v="77655"/>
    <n v="3"/>
    <n v="1.071612"/>
    <n v="336875.81683932"/>
    <n v="312036.53683931998"/>
    <n v="335397.91386563994"/>
    <n v="312036.53683931998"/>
    <n v="1"/>
    <x v="3"/>
  </r>
  <r>
    <s v="CLM-00037"/>
    <d v="2020-02-06T00:00:00"/>
    <x v="3"/>
    <n v="674832.75"/>
    <s v="Open"/>
    <n v="705673.45"/>
    <n v="716116.29"/>
    <n v="5000000"/>
    <n v="41283.54"/>
    <x v="3"/>
    <x v="3"/>
    <s v="Company 12"/>
    <n v="80867"/>
    <n v="5"/>
    <n v="1.1037603600000001"/>
    <n v="790420.77405226452"/>
    <n v="749137.23405226448"/>
    <n v="778894.38121444208"/>
    <n v="749137.23405226448"/>
    <n v="1"/>
    <x v="1"/>
  </r>
  <r>
    <s v="CLM-00038"/>
    <d v="2023-04-11T00:00:00"/>
    <x v="4"/>
    <n v="289523.34000000003"/>
    <s v="In Litigation"/>
    <n v="310849.56"/>
    <n v="316918.08"/>
    <n v="2000000"/>
    <n v="27394.74"/>
    <x v="0"/>
    <x v="4"/>
    <s v="Company 16"/>
    <n v="55049"/>
    <n v="8"/>
    <n v="1.03"/>
    <n v="326425.62240000005"/>
    <n v="299030.88240000006"/>
    <n v="320175.04680000001"/>
    <n v="299030.88240000006"/>
    <n v="1"/>
    <x v="4"/>
  </r>
  <r>
    <s v="CLM-00039"/>
    <d v="2022-01-10T00:00:00"/>
    <x v="0"/>
    <n v="492783.45"/>
    <s v="Closed"/>
    <n v="489234.72"/>
    <n v="512067.73"/>
    <n v="2000000"/>
    <n v="19284.28"/>
    <x v="1"/>
    <x v="0"/>
    <s v="Company 11"/>
    <n v="67179"/>
    <n v="6"/>
    <n v="1.0506"/>
    <n v="537978.35713799996"/>
    <n v="518694.07713799994"/>
    <n v="513989.99683199998"/>
    <n v="518694.07713799994"/>
    <n v="1"/>
    <x v="5"/>
  </r>
  <r>
    <s v="CLM-00040"/>
    <d v="2019-09-03T00:00:00"/>
    <x v="2"/>
    <n v="812739.57"/>
    <s v="Closed"/>
    <n v="893485.25"/>
    <n v="851033.0199999999"/>
    <n v="5000000"/>
    <n v="38293.449999999997"/>
    <x v="2"/>
    <x v="4"/>
    <s v="Company 18"/>
    <n v="61457"/>
    <n v="7"/>
    <n v="1.1479107743999999"/>
    <n v="976909.97302817053"/>
    <n v="938616.52302817057"/>
    <n v="1025641.3452424775"/>
    <n v="938616.52302817057"/>
    <n v="1"/>
    <x v="0"/>
  </r>
  <r>
    <s v="CLM-00041"/>
    <d v="2021-11-14T00:00:00"/>
    <x v="3"/>
    <n v="523987.21"/>
    <s v="Open"/>
    <n v="594372.84"/>
    <n v="549880.48"/>
    <n v="5000000"/>
    <n v="25893.27"/>
    <x v="3"/>
    <x v="1"/>
    <s v="Company 10"/>
    <n v="76925"/>
    <n v="2"/>
    <n v="1.071612"/>
    <n v="589258.52093375998"/>
    <n v="563365.25093375996"/>
    <n v="636937.06781807996"/>
    <n v="563365.25093375996"/>
    <n v="1"/>
    <x v="3"/>
  </r>
  <r>
    <s v="CLM-00042"/>
    <d v="2023-02-28T00:00:00"/>
    <x v="1"/>
    <n v="392873.65"/>
    <s v="Closed"/>
    <n v="410384.95"/>
    <n v="424721.10000000003"/>
    <n v="2000000"/>
    <n v="31847.45"/>
    <x v="1"/>
    <x v="2"/>
    <s v="Company 4"/>
    <n v="29729"/>
    <n v="5"/>
    <n v="1.03"/>
    <n v="437462.73300000007"/>
    <n v="405615.28300000005"/>
    <n v="422696.49850000005"/>
    <n v="405615.28300000005"/>
    <n v="1"/>
    <x v="4"/>
  </r>
  <r>
    <s v="CLM-00043"/>
    <d v="2020-07-21T00:00:00"/>
    <x v="4"/>
    <n v="539278.54"/>
    <s v="Closed"/>
    <n v="590248.72"/>
    <n v="557573.29"/>
    <n v="5000000"/>
    <n v="18294.75"/>
    <x v="0"/>
    <x v="3"/>
    <s v="Company 15"/>
    <n v="48041"/>
    <n v="3"/>
    <n v="1.1037603600000001"/>
    <n v="615427.29529678449"/>
    <n v="597132.54529678449"/>
    <n v="651493.13967673923"/>
    <n v="597132.54529678449"/>
    <n v="1"/>
    <x v="1"/>
  </r>
  <r>
    <s v="CLM-00044"/>
    <d v="2018-03-19T00:00:00"/>
    <x v="0"/>
    <n v="283973.44"/>
    <s v="Open"/>
    <n v="312384.21000000002"/>
    <n v="300456.98"/>
    <n v="2000000"/>
    <n v="16483.54"/>
    <x v="0"/>
    <x v="0"/>
    <s v="Company 9"/>
    <n v="53341"/>
    <n v="4"/>
    <n v="1.2053063131199999"/>
    <n v="362142.69481496955"/>
    <n v="345659.15481496957"/>
    <n v="376518.66043200385"/>
    <n v="345659.15481496957"/>
    <n v="1"/>
    <x v="2"/>
  </r>
  <r>
    <s v="CLM-00045"/>
    <d v="2022-06-26T00:00:00"/>
    <x v="2"/>
    <n v="482839.65"/>
    <s v="Closed"/>
    <n v="493284.45"/>
    <n v="518138.29000000004"/>
    <n v="5000000"/>
    <n v="35298.639999999999"/>
    <x v="2"/>
    <x v="4"/>
    <s v="Company 7"/>
    <n v="70053"/>
    <n v="1"/>
    <n v="1.0506"/>
    <n v="544356.08747400006"/>
    <n v="509057.44747400004"/>
    <n v="518244.64317"/>
    <n v="509057.44747400004"/>
    <n v="1"/>
    <x v="5"/>
  </r>
  <r>
    <s v="CLM-00046"/>
    <d v="2021-10-03T00:00:00"/>
    <x v="3"/>
    <n v="683482.94"/>
    <s v="In Litigation"/>
    <n v="705473.28"/>
    <n v="716430.78999999992"/>
    <n v="5000000"/>
    <n v="32947.85"/>
    <x v="3"/>
    <x v="1"/>
    <s v="Company 3"/>
    <n v="53077"/>
    <n v="6"/>
    <n v="1.071612"/>
    <n v="767735.83173347998"/>
    <n v="734787.98173348"/>
    <n v="755993.63252735999"/>
    <n v="734787.98173348"/>
    <n v="1"/>
    <x v="3"/>
  </r>
  <r>
    <s v="CLM-00047"/>
    <d v="2020-01-17T00:00:00"/>
    <x v="1"/>
    <n v="783948.23"/>
    <s v="Closed"/>
    <n v="815738.23"/>
    <n v="813530.62"/>
    <n v="5000000"/>
    <n v="29582.39"/>
    <x v="1"/>
    <x v="2"/>
    <s v="Company 14"/>
    <n v="49671"/>
    <n v="2"/>
    <n v="1.1037603600000001"/>
    <n v="897942.85000222328"/>
    <n v="868360.46000222326"/>
    <n v="900379.52241056284"/>
    <n v="868360.46000222326"/>
    <n v="1"/>
    <x v="1"/>
  </r>
  <r>
    <s v="CLM-00048"/>
    <d v="2019-04-05T00:00:00"/>
    <x v="4"/>
    <n v="239582.74"/>
    <s v="Closed"/>
    <n v="260384.12"/>
    <n v="260976.97"/>
    <n v="1000000"/>
    <n v="21394.23"/>
    <x v="0"/>
    <x v="0"/>
    <s v="Company 2"/>
    <n v="57863"/>
    <n v="7"/>
    <n v="1.1479107743999999"/>
    <n v="299578.27573326556"/>
    <n v="278184.04573326558"/>
    <n v="298897.73683066247"/>
    <n v="278184.04573326558"/>
    <n v="1"/>
    <x v="0"/>
  </r>
  <r>
    <s v="CLM-00049"/>
    <d v="2022-12-21T00:00:00"/>
    <x v="0"/>
    <n v="294738.48"/>
    <s v="Closed"/>
    <n v="320839.53999999998"/>
    <n v="313686.01"/>
    <n v="2000000"/>
    <n v="18947.53"/>
    <x v="1"/>
    <x v="4"/>
    <s v="Company 8"/>
    <n v="74668"/>
    <n v="4"/>
    <n v="1.0506"/>
    <n v="329558.52210599999"/>
    <n v="310610.99210599996"/>
    <n v="337074.02072399994"/>
    <n v="310610.99210599996"/>
    <n v="1"/>
    <x v="5"/>
  </r>
  <r>
    <s v="CLM-00050"/>
    <d v="2021-02-03T00:00:00"/>
    <x v="2"/>
    <n v="583948.29"/>
    <s v="Closed"/>
    <n v="612839.65"/>
    <n v="613232.67000000004"/>
    <n v="5000000"/>
    <n v="29284.38"/>
    <x v="2"/>
    <x v="3"/>
    <s v="Company 13"/>
    <n v="80590"/>
    <n v="9"/>
    <n v="1.071612"/>
    <n v="657147.48796404002"/>
    <n v="627863.10796404001"/>
    <n v="656726.32301579998"/>
    <n v="627863.10796404001"/>
    <n v="1"/>
    <x v="3"/>
  </r>
  <r>
    <s v="CLM-00051"/>
    <d v="2020-03-12T00:00:00"/>
    <x v="3"/>
    <n v="784839.21"/>
    <s v="Open"/>
    <n v="815392.45"/>
    <n v="823786.49"/>
    <n v="5000000"/>
    <n v="38947.279999999999"/>
    <x v="3"/>
    <x v="1"/>
    <s v="Company 5"/>
    <n v="90873"/>
    <n v="3"/>
    <n v="1.1037603600000001"/>
    <n v="909262.87276553642"/>
    <n v="870315.59276553639"/>
    <n v="899997.86415328202"/>
    <n v="870315.59276553639"/>
    <n v="1"/>
    <x v="1"/>
  </r>
  <r>
    <s v="CLM-00052"/>
    <d v="2023-07-08T00:00:00"/>
    <x v="1"/>
    <n v="398483.65"/>
    <s v="Closed"/>
    <n v="419384.25"/>
    <n v="427431.03"/>
    <n v="2000000"/>
    <n v="28947.38"/>
    <x v="1"/>
    <x v="2"/>
    <s v="Company 11"/>
    <n v="47192"/>
    <n v="6"/>
    <n v="1.03"/>
    <n v="440253.96090000006"/>
    <n v="411306.58090000006"/>
    <n v="431965.77750000003"/>
    <n v="411306.58090000006"/>
    <n v="1"/>
    <x v="4"/>
  </r>
  <r>
    <s v="CLM-00053"/>
    <d v="2018-09-23T00:00:00"/>
    <x v="4"/>
    <n v="485739.23"/>
    <s v="Closed"/>
    <n v="523849.58"/>
    <n v="503135.07"/>
    <n v="5000000"/>
    <n v="17395.84"/>
    <x v="0"/>
    <x v="4"/>
    <s v="Company 17"/>
    <n v="45180"/>
    <n v="8"/>
    <n v="1.2053063131199999"/>
    <n v="606431.87622307311"/>
    <n v="589036.03622307314"/>
    <n v="631399.20589926047"/>
    <n v="589036.03622307314"/>
    <n v="1"/>
    <x v="2"/>
  </r>
  <r>
    <s v="CLM-00054"/>
    <d v="2019-11-15T00:00:00"/>
    <x v="0"/>
    <n v="593849.48"/>
    <s v="Open"/>
    <n v="629382.74"/>
    <n v="632797.05999999994"/>
    <n v="5000000"/>
    <n v="38947.58"/>
    <x v="1"/>
    <x v="0"/>
    <s v="Company 4"/>
    <n v="91801"/>
    <n v="2"/>
    <n v="1.1479107743999999"/>
    <n v="726394.56318264315"/>
    <n v="687446.98318264319"/>
    <n v="722475.22846739378"/>
    <n v="687446.98318264319"/>
    <n v="1"/>
    <x v="0"/>
  </r>
  <r>
    <s v="CLM-00055"/>
    <d v="2022-08-12T00:00:00"/>
    <x v="2"/>
    <n v="683849.75"/>
    <s v="Closed"/>
    <n v="728947.34"/>
    <n v="716797.2"/>
    <n v="5000000"/>
    <n v="32947.449999999997"/>
    <x v="2"/>
    <x v="3"/>
    <s v="Company 7"/>
    <n v="26345"/>
    <n v="3"/>
    <n v="1.0506"/>
    <n v="753067.13831999991"/>
    <n v="720119.68831999996"/>
    <n v="765832.075404"/>
    <n v="720119.68831999996"/>
    <n v="1"/>
    <x v="5"/>
  </r>
  <r>
    <s v="CLM-00056"/>
    <d v="2021-05-23T00:00:00"/>
    <x v="3"/>
    <n v="792483.56"/>
    <s v="Open"/>
    <n v="812849.67"/>
    <n v="827431.81"/>
    <n v="5000000"/>
    <n v="34948.25"/>
    <x v="3"/>
    <x v="1"/>
    <s v="Company 8"/>
    <n v="59473"/>
    <n v="7"/>
    <n v="1.071612"/>
    <n v="886685.85677772004"/>
    <n v="851737.60677772004"/>
    <n v="871059.46056804003"/>
    <n v="851737.60677772004"/>
    <n v="1"/>
    <x v="3"/>
  </r>
  <r>
    <s v="CLM-00057"/>
    <d v="2020-10-17T00:00:00"/>
    <x v="1"/>
    <n v="594837.93999999994"/>
    <s v="Closed"/>
    <n v="629382.74"/>
    <n v="623785.5"/>
    <n v="5000000"/>
    <n v="28947.56"/>
    <x v="1"/>
    <x v="2"/>
    <s v="Company 10"/>
    <n v="30809"/>
    <n v="4"/>
    <n v="1.1037603600000001"/>
    <n v="688509.70804278005"/>
    <n v="659562.14804278"/>
    <n v="694687.71968018648"/>
    <n v="659562.14804278"/>
    <n v="1"/>
    <x v="1"/>
  </r>
  <r>
    <s v="CLM-00058"/>
    <d v="2023-03-13T00:00:00"/>
    <x v="4"/>
    <n v="472839.28"/>
    <s v="Closed"/>
    <n v="523849.27"/>
    <n v="494777.76"/>
    <n v="5000000"/>
    <n v="21938.48"/>
    <x v="0"/>
    <x v="4"/>
    <s v="Company 3"/>
    <n v="15583"/>
    <n v="6"/>
    <n v="1.03"/>
    <n v="509621.09280000004"/>
    <n v="487682.61280000006"/>
    <n v="539564.74810000008"/>
    <n v="487682.61280000006"/>
    <n v="1"/>
    <x v="4"/>
  </r>
  <r>
    <s v="CLM-00059"/>
    <d v="2018-12-05T00:00:00"/>
    <x v="0"/>
    <n v="592483.44999999995"/>
    <s v="Open"/>
    <n v="628849.74"/>
    <n v="625430.82999999996"/>
    <n v="2000000"/>
    <n v="32947.379999999997"/>
    <x v="1"/>
    <x v="1"/>
    <s v="Company 9"/>
    <n v="20667"/>
    <n v="5"/>
    <n v="1.2053063131199999"/>
    <n v="753835.72781888139"/>
    <n v="720888.34781888139"/>
    <n v="757956.56162587053"/>
    <n v="720888.34781888139"/>
    <n v="1"/>
    <x v="2"/>
  </r>
  <r>
    <s v="CLM-00060"/>
    <d v="2019-06-29T00:00:00"/>
    <x v="2"/>
    <n v="839483.29"/>
    <s v="Closed"/>
    <n v="872394.58"/>
    <n v="877431.67"/>
    <n v="5000000"/>
    <n v="37948.379999999997"/>
    <x v="2"/>
    <x v="3"/>
    <s v="Company 6"/>
    <n v="50296"/>
    <n v="3"/>
    <n v="1.1479107743999999"/>
    <n v="1007213.2677927852"/>
    <n v="969264.88779278519"/>
    <n v="1001431.1379101626"/>
    <n v="969264.88779278519"/>
    <n v="1"/>
    <x v="0"/>
  </r>
  <r>
    <s v="CLM-00061"/>
    <d v="2022-09-17T00:00:00"/>
    <x v="3"/>
    <n v="839483.58"/>
    <s v="Open"/>
    <n v="859382.45"/>
    <n v="878431.02999999991"/>
    <n v="5000000"/>
    <n v="38947.449999999997"/>
    <x v="3"/>
    <x v="4"/>
    <s v="Company 11"/>
    <n v="75704"/>
    <n v="4"/>
    <n v="1.0506"/>
    <n v="922879.64011799986"/>
    <n v="883932.19011799991"/>
    <n v="902867.20196999994"/>
    <n v="883932.19011799991"/>
    <n v="1"/>
    <x v="5"/>
  </r>
  <r>
    <s v="CLM-00062"/>
    <d v="2021-01-11T00:00:00"/>
    <x v="1"/>
    <n v="793849.23"/>
    <s v="Closed"/>
    <n v="823949.74"/>
    <n v="823331.71"/>
    <n v="5000000"/>
    <n v="29482.48"/>
    <x v="1"/>
    <x v="2"/>
    <s v="Company 13"/>
    <n v="74156"/>
    <n v="7"/>
    <n v="1.071612"/>
    <n v="882292.14041651995"/>
    <n v="852809.66041651997"/>
    <n v="882954.42878087994"/>
    <n v="852809.66041651997"/>
    <n v="1"/>
    <x v="3"/>
  </r>
  <r>
    <s v="CLM-00063"/>
    <d v="2020-04-25T00:00:00"/>
    <x v="4"/>
    <n v="473839.25"/>
    <s v="Closed"/>
    <n v="512849.56"/>
    <n v="501321.63"/>
    <n v="5000000"/>
    <n v="27482.38"/>
    <x v="0"/>
    <x v="3"/>
    <s v="Company 15"/>
    <n v="17386"/>
    <n v="6"/>
    <n v="1.1037603600000001"/>
    <n v="553338.94280458684"/>
    <n v="525856.56280458684"/>
    <n v="566063.01497144171"/>
    <n v="525856.56280458684"/>
    <n v="1"/>
    <x v="1"/>
  </r>
  <r>
    <s v="CLM-00064"/>
    <d v="2019-03-19T00:00:00"/>
    <x v="0"/>
    <n v="573849.48"/>
    <s v="Open"/>
    <n v="612849.75"/>
    <n v="606697.05999999994"/>
    <n v="5000000"/>
    <n v="32847.58"/>
    <x v="1"/>
    <x v="0"/>
    <s v="Company 8"/>
    <n v="93493"/>
    <n v="3"/>
    <n v="1.1479107743999999"/>
    <n v="696434.0919708031"/>
    <n v="663586.51197080314"/>
    <n v="703496.83111334639"/>
    <n v="663586.51197080314"/>
    <n v="1"/>
    <x v="0"/>
  </r>
  <r>
    <s v="CLM-00065"/>
    <d v="2023-02-02T00:00:00"/>
    <x v="2"/>
    <n v="683849.75"/>
    <s v="Closed"/>
    <n v="728947.34"/>
    <n v="716797.2"/>
    <n v="5000000"/>
    <n v="32947.449999999997"/>
    <x v="2"/>
    <x v="1"/>
    <s v="Company 1"/>
    <n v="85822"/>
    <n v="2"/>
    <n v="1.03"/>
    <n v="738301.11599999992"/>
    <n v="705353.66599999997"/>
    <n v="750815.76020000002"/>
    <n v="705353.66599999997"/>
    <n v="1"/>
    <x v="4"/>
  </r>
  <r>
    <s v="CLM-00066"/>
    <d v="2022-07-11T00:00:00"/>
    <x v="3"/>
    <n v="683849.45"/>
    <s v="Open"/>
    <n v="712849.23"/>
    <n v="713331.89999999991"/>
    <n v="5000000"/>
    <n v="29482.45"/>
    <x v="3"/>
    <x v="2"/>
    <s v="Company 7"/>
    <n v="91007"/>
    <n v="4"/>
    <n v="1.0506"/>
    <n v="749426.49413999985"/>
    <n v="719944.0441399999"/>
    <n v="748919.40103800001"/>
    <n v="719944.0441399999"/>
    <n v="1"/>
    <x v="5"/>
  </r>
  <r>
    <s v="CLM-00067"/>
    <d v="2021-06-22T00:00:00"/>
    <x v="1"/>
    <n v="573839.54"/>
    <s v="Closed"/>
    <n v="612839.84"/>
    <n v="601678.92000000004"/>
    <n v="5000000"/>
    <n v="27839.38"/>
    <x v="1"/>
    <x v="4"/>
    <s v="Company 14"/>
    <n v="18675"/>
    <n v="5"/>
    <n v="1.071612"/>
    <n v="644766.35081904009"/>
    <n v="616926.97081904009"/>
    <n v="656726.52662208001"/>
    <n v="616926.97081904009"/>
    <n v="1"/>
    <x v="3"/>
  </r>
  <r>
    <s v="CLM-00068"/>
    <d v="2020-01-27T00:00:00"/>
    <x v="4"/>
    <n v="572839.44999999995"/>
    <s v="Closed"/>
    <n v="610849.75"/>
    <n v="605786.89999999991"/>
    <n v="5000000"/>
    <n v="32947.449999999997"/>
    <x v="0"/>
    <x v="3"/>
    <s v="Company 6"/>
    <n v="14023"/>
    <n v="3"/>
    <n v="1.1037603600000001"/>
    <n v="668643.56682728394"/>
    <n v="635696.11682728399"/>
    <n v="674231.73996591009"/>
    <n v="635696.11682728399"/>
    <n v="1"/>
    <x v="1"/>
  </r>
  <r>
    <s v="CLM-00069"/>
    <d v="2019-05-08T00:00:00"/>
    <x v="4"/>
    <n v="472839.38"/>
    <s v="Open"/>
    <n v="510839.74"/>
    <n v="502313.22000000003"/>
    <n v="2000000"/>
    <n v="29473.84"/>
    <x v="1"/>
    <x v="2"/>
    <s v="Company 16"/>
    <n v="7588"/>
    <n v="4"/>
    <n v="1.1479107743999999"/>
    <n v="576610.75736155757"/>
    <n v="547136.9173615576"/>
    <n v="586398.44153769454"/>
    <n v="547136.9173615576"/>
    <n v="1"/>
    <x v="0"/>
  </r>
  <r>
    <s v="CLM-00070"/>
    <d v="2023-04-19T00:00:00"/>
    <x v="0"/>
    <n v="573849.48"/>
    <s v="Closed"/>
    <n v="612849.75"/>
    <n v="606697.05999999994"/>
    <n v="5000000"/>
    <n v="32847.58"/>
    <x v="1"/>
    <x v="4"/>
    <s v="Company 7"/>
    <n v="94214"/>
    <n v="3"/>
    <n v="1.03"/>
    <n v="624897.97179999994"/>
    <n v="592050.39179999998"/>
    <n v="631235.24250000005"/>
    <n v="592050.39179999998"/>
    <n v="1"/>
    <x v="4"/>
  </r>
  <r>
    <s v="CLM-00071"/>
    <d v="2021-10-12T00:00:00"/>
    <x v="2"/>
    <n v="683849.75"/>
    <s v="Closed"/>
    <n v="728947.34"/>
    <n v="721798.13"/>
    <n v="5000000"/>
    <n v="37948.379999999997"/>
    <x v="2"/>
    <x v="3"/>
    <s v="Company 19"/>
    <n v="16212"/>
    <n v="5"/>
    <n v="1.071612"/>
    <n v="773487.53768556006"/>
    <n v="735539.15768556006"/>
    <n v="781148.71691207995"/>
    <n v="735539.15768556006"/>
    <n v="1"/>
    <x v="3"/>
  </r>
  <r>
    <s v="CLM-00072"/>
    <d v="2022-03-28T00:00:00"/>
    <x v="3"/>
    <n v="739849.45"/>
    <s v="Open"/>
    <n v="762849.23"/>
    <n v="778796.89999999991"/>
    <n v="5000000"/>
    <n v="38947.449999999997"/>
    <x v="3"/>
    <x v="0"/>
    <s v="Company 5"/>
    <n v="59639"/>
    <n v="3"/>
    <n v="1.0506"/>
    <n v="818204.02313999983"/>
    <n v="779256.57313999988"/>
    <n v="801449.40103800001"/>
    <n v="779256.57313999988"/>
    <n v="1"/>
    <x v="5"/>
  </r>
  <r>
    <s v="CLM-00073"/>
    <d v="2020-08-04T00:00:00"/>
    <x v="1"/>
    <n v="573839.54"/>
    <s v="Closed"/>
    <n v="612839.84"/>
    <n v="601678.92000000004"/>
    <n v="5000000"/>
    <n v="27839.38"/>
    <x v="1"/>
    <x v="1"/>
    <s v="Company 20"/>
    <n v="26707"/>
    <n v="6"/>
    <n v="1.1037603600000001"/>
    <n v="664109.34134361136"/>
    <n v="636269.96134361136"/>
    <n v="676428.32242074248"/>
    <n v="636269.96134361136"/>
    <n v="1"/>
    <x v="1"/>
  </r>
  <r>
    <s v="CLM-00074"/>
    <d v="2018-06-17T00:00:00"/>
    <x v="4"/>
    <n v="572839.44999999995"/>
    <s v="Closed"/>
    <n v="610849.75"/>
    <n v="605786.89999999991"/>
    <n v="5000000"/>
    <n v="32947.449999999997"/>
    <x v="0"/>
    <x v="4"/>
    <s v="Company 9"/>
    <n v="41486"/>
    <n v="3"/>
    <n v="1.2053063131199999"/>
    <n v="730158.77497539402"/>
    <n v="697211.32497539406"/>
    <n v="736261.06004277372"/>
    <n v="697211.32497539406"/>
    <n v="1"/>
    <x v="2"/>
  </r>
  <r>
    <s v="CLM-00075"/>
    <d v="2023-05-22T00:00:00"/>
    <x v="0"/>
    <n v="793849.23"/>
    <s v="Open"/>
    <n v="823949.74"/>
    <n v="823331.71"/>
    <n v="5000000"/>
    <n v="29482.48"/>
    <x v="1"/>
    <x v="3"/>
    <s v="Company 12"/>
    <n v="49463"/>
    <n v="4"/>
    <n v="1.03"/>
    <n v="848031.66130000004"/>
    <n v="818549.18130000005"/>
    <n v="848668.23219999997"/>
    <n v="818549.18130000005"/>
    <n v="1"/>
    <x v="4"/>
  </r>
  <r>
    <s v="CLM-00076"/>
    <d v="2021-07-06T00:00:00"/>
    <x v="2"/>
    <n v="573849.48"/>
    <s v="Closed"/>
    <n v="612849.75"/>
    <n v="606697.05999999994"/>
    <n v="5000000"/>
    <n v="32847.58"/>
    <x v="2"/>
    <x v="0"/>
    <s v="Company 14"/>
    <n v="42841"/>
    <n v="3"/>
    <n v="1.071612"/>
    <n v="650143.84986071999"/>
    <n v="617296.26986072003"/>
    <n v="656737.146297"/>
    <n v="617296.26986072003"/>
    <n v="1"/>
    <x v="3"/>
  </r>
  <r>
    <s v="CLM-00077"/>
    <d v="2020-02-18T00:00:00"/>
    <x v="3"/>
    <n v="572839.44999999995"/>
    <s v="Closed"/>
    <n v="610849.75"/>
    <n v="605786.89999999991"/>
    <n v="5000000"/>
    <n v="32947.449999999997"/>
    <x v="3"/>
    <x v="2"/>
    <s v="Company 8"/>
    <n v="72310"/>
    <n v="6"/>
    <n v="1.1037603600000001"/>
    <n v="668643.56682728394"/>
    <n v="635696.11682728399"/>
    <n v="674231.73996591009"/>
    <n v="635696.11682728399"/>
    <n v="1"/>
    <x v="1"/>
  </r>
  <r>
    <s v="CLM-00078"/>
    <d v="2022-09-14T00:00:00"/>
    <x v="1"/>
    <n v="573839.54"/>
    <s v="Open"/>
    <n v="612839.84"/>
    <n v="601678.92000000004"/>
    <n v="5000000"/>
    <n v="27839.38"/>
    <x v="1"/>
    <x v="1"/>
    <s v="Company 11"/>
    <n v="21399"/>
    <n v="3"/>
    <n v="1.0506"/>
    <n v="632123.87335200002"/>
    <n v="604284.49335200002"/>
    <n v="643849.53590399993"/>
    <n v="604284.49335200002"/>
    <n v="1"/>
    <x v="5"/>
  </r>
  <r>
    <s v="CLM-00079"/>
    <d v="2023-03-07T00:00:00"/>
    <x v="4"/>
    <n v="473839.25"/>
    <s v="Closed"/>
    <n v="512849.56"/>
    <n v="501321.63"/>
    <n v="2000000"/>
    <n v="27482.38"/>
    <x v="0"/>
    <x v="4"/>
    <s v="Company 2"/>
    <n v="37317"/>
    <n v="5"/>
    <n v="1.03"/>
    <n v="516361.27890000003"/>
    <n v="488878.89890000003"/>
    <n v="528235.04680000001"/>
    <n v="488878.89890000003"/>
    <n v="1"/>
    <x v="4"/>
  </r>
  <r>
    <s v="CLM-00080"/>
    <d v="2021-12-01T00:00:00"/>
    <x v="0"/>
    <n v="573849.48"/>
    <s v="Closed"/>
    <n v="612849.75"/>
    <n v="606697.05999999994"/>
    <n v="5000000"/>
    <n v="32847.58"/>
    <x v="1"/>
    <x v="3"/>
    <s v="Company 17"/>
    <n v="34612"/>
    <n v="7"/>
    <n v="1.071612"/>
    <n v="650143.84986071999"/>
    <n v="617296.26986072003"/>
    <n v="656737.146297"/>
    <n v="617296.26986072003"/>
    <n v="1"/>
    <x v="3"/>
  </r>
  <r>
    <s v="CLM-00081"/>
    <d v="2020-06-05T00:00:00"/>
    <x v="2"/>
    <n v="683849.75"/>
    <s v="Closed"/>
    <n v="728947.34"/>
    <n v="721798.13"/>
    <n v="5000000"/>
    <n v="37948.379999999997"/>
    <x v="2"/>
    <x v="0"/>
    <s v="Company 1"/>
    <n v="67442"/>
    <n v="3"/>
    <n v="1.1037603600000001"/>
    <n v="796692.16381612688"/>
    <n v="758743.78381612687"/>
    <n v="804583.1784194425"/>
    <n v="758743.78381612687"/>
    <n v="1"/>
    <x v="1"/>
  </r>
  <r>
    <s v="CLM-00082"/>
    <d v="2019-08-30T00:00:00"/>
    <x v="3"/>
    <n v="739849.45"/>
    <s v="Open"/>
    <n v="762849.23"/>
    <n v="778796.89999999991"/>
    <n v="5000000"/>
    <n v="38947.449999999997"/>
    <x v="3"/>
    <x v="2"/>
    <s v="Company 13"/>
    <n v="91795"/>
    <n v="4"/>
    <n v="1.1479107743999999"/>
    <n v="893989.35257931915"/>
    <n v="855041.9025793192"/>
    <n v="875682.85035974358"/>
    <n v="855041.9025793192"/>
    <n v="1"/>
    <x v="0"/>
  </r>
  <r>
    <s v="CLM-00083"/>
    <d v="2018-11-22T00:00:00"/>
    <x v="1"/>
    <n v="573839.54"/>
    <s v="Closed"/>
    <n v="612839.84"/>
    <n v="601678.92000000004"/>
    <n v="5000000"/>
    <n v="27839.38"/>
    <x v="1"/>
    <x v="1"/>
    <s v="Company 18"/>
    <n v="22549"/>
    <n v="5"/>
    <n v="1.2053063131199999"/>
    <n v="725207.40074722341"/>
    <n v="697368.0207472234"/>
    <n v="738659.72808345058"/>
    <n v="697368.0207472234"/>
    <n v="1"/>
    <x v="2"/>
  </r>
  <r>
    <s v="CLM-00084"/>
    <d v="2023-01-29T00:00:00"/>
    <x v="4"/>
    <n v="572839.44999999995"/>
    <s v="Closed"/>
    <n v="610849.75"/>
    <n v="605786.89999999991"/>
    <n v="5000000"/>
    <n v="32947.449999999997"/>
    <x v="0"/>
    <x v="4"/>
    <s v="Company 16"/>
    <n v="53470"/>
    <n v="6"/>
    <n v="1.03"/>
    <n v="623960.50699999987"/>
    <n v="591013.05699999991"/>
    <n v="629175.24250000005"/>
    <n v="591013.05699999991"/>
    <n v="1"/>
    <x v="4"/>
  </r>
  <r>
    <s v="CLM-00085"/>
    <d v="2021-04-10T00:00:00"/>
    <x v="0"/>
    <n v="793849.23"/>
    <s v="Open"/>
    <n v="823949.74"/>
    <n v="823331.71"/>
    <n v="5000000"/>
    <n v="29482.48"/>
    <x v="1"/>
    <x v="3"/>
    <s v="Company 7"/>
    <n v="70274"/>
    <n v="4"/>
    <n v="1.071612"/>
    <n v="882292.14041651995"/>
    <n v="852809.66041651997"/>
    <n v="882954.42878087994"/>
    <n v="852809.66041651997"/>
    <n v="1"/>
    <x v="3"/>
  </r>
  <r>
    <s v="CLM-00086"/>
    <d v="2020-07-20T00:00:00"/>
    <x v="2"/>
    <n v="573849.48"/>
    <s v="Closed"/>
    <n v="612849.75"/>
    <n v="606697.05999999994"/>
    <n v="5000000"/>
    <n v="32847.58"/>
    <x v="2"/>
    <x v="0"/>
    <s v="Company 4"/>
    <n v="44836"/>
    <n v="3"/>
    <n v="1.1037603600000001"/>
    <n v="669648.16535654163"/>
    <n v="636800.58535654168"/>
    <n v="676439.26068591012"/>
    <n v="636800.58535654168"/>
    <n v="1"/>
    <x v="1"/>
  </r>
  <r>
    <s v="CLM-00087"/>
    <d v="2019-02-24T00:00:00"/>
    <x v="3"/>
    <n v="572839.44999999995"/>
    <s v="Closed"/>
    <n v="610849.75"/>
    <n v="605786.89999999991"/>
    <n v="5000000"/>
    <n v="32947.449999999997"/>
    <x v="3"/>
    <x v="1"/>
    <s v="Company 6"/>
    <n v="60022"/>
    <n v="5"/>
    <n v="1.1479107743999999"/>
    <n v="695389.30950037518"/>
    <n v="662441.85950037523"/>
    <n v="701201.00956454629"/>
    <n v="662441.85950037523"/>
    <n v="1"/>
    <x v="0"/>
  </r>
  <r>
    <s v="CLM-00088"/>
    <d v="2022-11-19T00:00:00"/>
    <x v="1"/>
    <n v="573839.54"/>
    <s v="Open"/>
    <n v="612839.84"/>
    <n v="601678.92000000004"/>
    <n v="5000000"/>
    <n v="27839.38"/>
    <x v="1"/>
    <x v="2"/>
    <s v="Company 5"/>
    <n v="24192"/>
    <n v="3"/>
    <n v="1.0506"/>
    <n v="632123.87335200002"/>
    <n v="604284.49335200002"/>
    <n v="643849.53590399993"/>
    <n v="604284.49335200002"/>
    <n v="1"/>
    <x v="5"/>
  </r>
  <r>
    <s v="CLM-00089"/>
    <d v="2023-06-14T00:00:00"/>
    <x v="4"/>
    <n v="473839.25"/>
    <s v="Closed"/>
    <n v="512849.56"/>
    <n v="501321.63"/>
    <n v="2000000"/>
    <n v="27482.38"/>
    <x v="0"/>
    <x v="4"/>
    <s v="Company 9"/>
    <n v="48914"/>
    <n v="7"/>
    <n v="1.03"/>
    <n v="516361.27890000003"/>
    <n v="488878.89890000003"/>
    <n v="528235.04680000001"/>
    <n v="488878.89890000003"/>
    <n v="1"/>
    <x v="4"/>
  </r>
  <r>
    <s v="CLM-00090"/>
    <d v="2021-08-11T00:00:00"/>
    <x v="0"/>
    <n v="573849.48"/>
    <s v="Closed"/>
    <n v="612849.75"/>
    <n v="606697.05999999994"/>
    <n v="5000000"/>
    <n v="32847.58"/>
    <x v="1"/>
    <x v="3"/>
    <s v="Company 11"/>
    <n v="86353"/>
    <n v="4"/>
    <n v="1.071612"/>
    <n v="650143.84986071999"/>
    <n v="617296.26986072003"/>
    <n v="656737.146297"/>
    <n v="617296.26986072003"/>
    <n v="1"/>
    <x v="3"/>
  </r>
  <r>
    <s v="CLM-00091"/>
    <d v="2020-12-21T00:00:00"/>
    <x v="2"/>
    <n v="683849.75"/>
    <s v="Closed"/>
    <n v="728947.34"/>
    <n v="721798.13"/>
    <n v="5000000"/>
    <n v="37948.379999999997"/>
    <x v="2"/>
    <x v="0"/>
    <s v="Company 3"/>
    <n v="24591"/>
    <n v="5"/>
    <n v="1.1037603600000001"/>
    <n v="796692.16381612688"/>
    <n v="758743.78381612687"/>
    <n v="804583.1784194425"/>
    <n v="758743.78381612687"/>
    <n v="1"/>
    <x v="1"/>
  </r>
  <r>
    <s v="CLM-00092"/>
    <d v="2022-05-23T00:00:00"/>
    <x v="3"/>
    <n v="739849.45"/>
    <s v="Open"/>
    <n v="762849.23"/>
    <n v="778796.89999999991"/>
    <n v="5000000"/>
    <n v="38947.449999999997"/>
    <x v="3"/>
    <x v="2"/>
    <s v="Company 17"/>
    <n v="113122"/>
    <n v="6"/>
    <n v="1.0506"/>
    <n v="818204.02313999983"/>
    <n v="779256.57313999988"/>
    <n v="801449.40103800001"/>
    <n v="779256.57313999988"/>
    <n v="1"/>
    <x v="5"/>
  </r>
  <r>
    <s v="CLM-00093"/>
    <d v="2019-09-18T00:00:00"/>
    <x v="1"/>
    <n v="573839.54"/>
    <s v="Closed"/>
    <n v="612839.84"/>
    <n v="601678.92000000004"/>
    <n v="5000000"/>
    <n v="27839.38"/>
    <x v="1"/>
    <x v="1"/>
    <s v="Company 14"/>
    <n v="72498"/>
    <n v="3"/>
    <n v="1.1479107743999999"/>
    <n v="690673.71499735559"/>
    <n v="662834.33499735559"/>
    <n v="703485.45531757199"/>
    <n v="662834.33499735559"/>
    <n v="1"/>
    <x v="0"/>
  </r>
  <r>
    <s v="CLM-00094"/>
    <d v="2023-07-02T00:00:00"/>
    <x v="4"/>
    <n v="572839.44999999995"/>
    <s v="Closed"/>
    <n v="610849.75"/>
    <n v="605786.89999999991"/>
    <n v="5000000"/>
    <n v="32947.449999999997"/>
    <x v="0"/>
    <x v="4"/>
    <s v="Company 15"/>
    <n v="33434"/>
    <n v="4"/>
    <n v="1.03"/>
    <n v="623960.50699999987"/>
    <n v="591013.05699999991"/>
    <n v="629175.24250000005"/>
    <n v="591013.05699999991"/>
    <n v="1"/>
    <x v="4"/>
  </r>
  <r>
    <s v="CLM-00095"/>
    <d v="2021-03-26T00:00:00"/>
    <x v="0"/>
    <n v="793849.23"/>
    <s v="Open"/>
    <n v="823949.74"/>
    <n v="823331.71"/>
    <n v="5000000"/>
    <n v="29482.48"/>
    <x v="1"/>
    <x v="3"/>
    <s v="Company 16"/>
    <n v="52351"/>
    <n v="3"/>
    <n v="1.071612"/>
    <n v="882292.14041651995"/>
    <n v="852809.66041651997"/>
    <n v="882954.42878087994"/>
    <n v="852809.66041651997"/>
    <n v="1"/>
    <x v="3"/>
  </r>
  <r>
    <s v="CLM-00096"/>
    <d v="2020-02-29T00:00:00"/>
    <x v="2"/>
    <n v="573849.48"/>
    <s v="Closed"/>
    <n v="612849.75"/>
    <n v="606697.05999999994"/>
    <n v="5000000"/>
    <n v="32847.58"/>
    <x v="2"/>
    <x v="0"/>
    <s v="Company 7"/>
    <n v="75585"/>
    <n v="6"/>
    <n v="1.1037603600000001"/>
    <n v="669648.16535654163"/>
    <n v="636800.58535654168"/>
    <n v="676439.26068591012"/>
    <n v="636800.58535654168"/>
    <n v="1"/>
    <x v="1"/>
  </r>
  <r>
    <s v="CLM-00097"/>
    <d v="2019-01-16T00:00:00"/>
    <x v="3"/>
    <n v="572839.44999999995"/>
    <s v="Closed"/>
    <n v="610849.75"/>
    <n v="605786.89999999991"/>
    <n v="5000000"/>
    <n v="32947.449999999997"/>
    <x v="3"/>
    <x v="1"/>
    <s v="Company 12"/>
    <n v="67294"/>
    <n v="5"/>
    <n v="1.1479107743999999"/>
    <n v="695389.30950037518"/>
    <n v="662441.85950037523"/>
    <n v="701201.00956454629"/>
    <n v="662441.85950037523"/>
    <n v="1"/>
    <x v="0"/>
  </r>
  <r>
    <s v="CLM-00098"/>
    <d v="2022-04-14T00:00:00"/>
    <x v="1"/>
    <n v="573839.54"/>
    <s v="Open"/>
    <n v="612839.84"/>
    <n v="601678.92000000004"/>
    <n v="5000000"/>
    <n v="27839.38"/>
    <x v="1"/>
    <x v="2"/>
    <s v="Company 8"/>
    <n v="12492"/>
    <n v="3"/>
    <n v="1.0506"/>
    <n v="632123.87335200002"/>
    <n v="604284.49335200002"/>
    <n v="643849.53590399993"/>
    <n v="604284.49335200002"/>
    <n v="1"/>
    <x v="5"/>
  </r>
  <r>
    <s v="CLM-00099"/>
    <d v="2023-08-01T00:00:00"/>
    <x v="4"/>
    <n v="473839.25"/>
    <s v="Closed"/>
    <n v="512849.56"/>
    <n v="501321.63"/>
    <n v="2000000"/>
    <n v="27482.38"/>
    <x v="0"/>
    <x v="3"/>
    <s v="Company 19"/>
    <n v="7700"/>
    <n v="4"/>
    <n v="1.03"/>
    <n v="516361.27890000003"/>
    <n v="488878.89890000003"/>
    <n v="528235.04680000001"/>
    <n v="488878.89890000003"/>
    <n v="1"/>
    <x v="4"/>
  </r>
  <r>
    <s v="CLM-00100"/>
    <d v="2022-12-27T00:00:00"/>
    <x v="3"/>
    <n v="5000000"/>
    <s v="In Litigation"/>
    <n v="4000000"/>
    <n v="5018723.79"/>
    <n v="10000000"/>
    <n v="18723.79"/>
    <x v="3"/>
    <x v="1"/>
    <s v="Company 15"/>
    <n v="115933"/>
    <n v="9"/>
    <n v="1.0506"/>
    <n v="5272671.2137740003"/>
    <n v="5253947.4237740003"/>
    <n v="4202400"/>
    <n v="5253947.4237740003"/>
    <n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11A2DC-68F8-451F-9E0D-4E2CEE2BCE09}"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K28:Q36"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items count="5">
        <item x="2"/>
        <item x="0"/>
        <item x="3"/>
        <item x="1"/>
        <item t="default"/>
      </items>
    </pivotField>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Average of Capped net adjusted incurred claim " fld="18" subtotal="average" baseField="20" baseItem="2" numFmtId="169"/>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9770CC-B647-42A3-8370-16D4DF73AEEC}"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7:Q25"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Count of Capped net adjusted incurred claim " fld="18" subtotal="count" baseField="2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79A05D-363E-41E8-A1A9-6CA011AE6796}"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Q14"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Sum of Capped net adjusted incurred claim " fld="18" baseField="0" baseItem="0" numFmtId="169"/>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51F9D8-FAC1-4178-95B2-F8542071355D}"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89:H97"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Average of Capped net adjusted incurred claim " fld="18" subtotal="average" baseField="20" baseItem="2" numFmtId="169"/>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E782CC-81EB-4EC7-BCBC-E6A2ECA34CEA}"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8:H86"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Count of Capped net adjusted incurred claim " fld="18"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2E01CC-634E-480F-8D9C-0D6390556FB9}"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7:H75"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Sum of Capped net adjusted incurred claim " fld="18" baseField="0" baseItem="0" numFmtId="169"/>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AA4468-33E6-4EE1-AEB7-653BAB40A058}"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54:I62"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Average of Capped net adjusted incurred claim " fld="18" subtotal="average" baseField="20" baseItem="2" numFmtId="169"/>
  </dataFields>
  <formats count="1">
    <format dxfId="5">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039EB4-3780-4BD5-B4F8-D282F05B329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3:I51"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Count of Capped net adjusted incurred claim " fld="18" subtotal="count" baseField="20" baseItem="0"/>
  </dataFields>
  <chartFormats count="5">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FEF359-BBBC-4115-B5E8-007BBB445AE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32:I40"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Sum of Capped net adjusted incurred claim " fld="18" baseField="0" baseItem="0" numFmtId="169"/>
  </dataFields>
  <formats count="1">
    <format dxfId="6">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E84BB5-0F02-4180-B2AC-1BB2EA5A1E1A}" name="PivotTable6"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C20:E27" firstHeaderRow="0" firstDataRow="1" firstDataCol="1"/>
  <pivotFields count="24">
    <pivotField showAll="0"/>
    <pivotField dataField="1"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9">
        <item sd="0" x="1"/>
        <item sd="0" x="2"/>
        <item sd="0" x="3"/>
        <item sd="0" x="4"/>
        <item sd="0" x="5"/>
        <item sd="0" x="6"/>
        <item h="1" x="0"/>
        <item h="1" x="7"/>
        <item t="default"/>
      </items>
    </pivotField>
  </pivotFields>
  <rowFields count="3">
    <field x="23"/>
    <field x="22"/>
    <field x="21"/>
  </rowFields>
  <rowItems count="7">
    <i>
      <x/>
    </i>
    <i>
      <x v="1"/>
    </i>
    <i>
      <x v="2"/>
    </i>
    <i>
      <x v="3"/>
    </i>
    <i>
      <x v="4"/>
    </i>
    <i>
      <x v="5"/>
    </i>
    <i t="grand">
      <x/>
    </i>
  </rowItems>
  <colFields count="1">
    <field x="-2"/>
  </colFields>
  <colItems count="2">
    <i>
      <x/>
    </i>
    <i i="1">
      <x v="1"/>
    </i>
  </colItems>
  <dataFields count="2">
    <dataField name="Sum of Gross inflation adjusted claim" fld="15" baseField="0" baseItem="0" numFmtId="171"/>
    <dataField name="Count of Date of Claim" fld="1" subtotal="count" baseField="0" baseItem="0"/>
  </dataFields>
  <formats count="1">
    <format dxfId="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5886437-EF44-4250-B229-1CE4CD6E8D63}"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9:I26" firstHeaderRow="0" firstDataRow="1" firstDataCol="1" rowPageCount="1" colPageCount="1"/>
  <pivotFields count="24">
    <pivotField dataField="1" showAll="0"/>
    <pivotField numFmtId="14"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axis="axisPage" showAll="0">
      <items count="4">
        <item x="1"/>
        <item x="0"/>
        <item x="2"/>
        <item t="default"/>
      </items>
    </pivotField>
    <pivotField axis="axisRow" showAll="0">
      <items count="8">
        <item x="2"/>
        <item x="0"/>
        <item x="1"/>
        <item x="3"/>
        <item x="5"/>
        <item x="4"/>
        <item x="6"/>
        <item t="default"/>
      </items>
    </pivotField>
    <pivotField showAll="0"/>
    <pivotField showAll="0"/>
    <pivotField showAll="0">
      <items count="9">
        <item x="1"/>
        <item x="2"/>
        <item x="3"/>
        <item x="4"/>
        <item x="5"/>
        <item x="6"/>
        <item x="0"/>
        <item x="7"/>
        <item t="default"/>
      </items>
    </pivotField>
  </pivotFields>
  <rowFields count="1">
    <field x="20"/>
  </rowFields>
  <rowItems count="7">
    <i>
      <x/>
    </i>
    <i>
      <x v="1"/>
    </i>
    <i>
      <x v="2"/>
    </i>
    <i>
      <x v="3"/>
    </i>
    <i>
      <x v="4"/>
    </i>
    <i>
      <x v="5"/>
    </i>
    <i t="grand">
      <x/>
    </i>
  </rowItems>
  <colFields count="1">
    <field x="-2"/>
  </colFields>
  <colItems count="2">
    <i>
      <x/>
    </i>
    <i i="1">
      <x v="1"/>
    </i>
  </colItems>
  <pageFields count="1">
    <pageField fld="19" item="1" hier="-1"/>
  </pageFields>
  <dataFields count="2">
    <dataField name="Sum of Capped net adjusted incurred claim " fld="18" baseField="0" baseItem="0" numFmtId="164"/>
    <dataField name="Count of Claim ID" fld="0" subtotal="count" baseField="0" baseItem="0"/>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zoomScale="70" zoomScaleNormal="70" workbookViewId="0">
      <pane ySplit="1" topLeftCell="A2" activePane="bottomLeft" state="frozen"/>
      <selection pane="bottomLeft" activeCell="F1" sqref="F1:F1048576"/>
    </sheetView>
  </sheetViews>
  <sheetFormatPr defaultColWidth="10.6640625" defaultRowHeight="15.75"/>
  <cols>
    <col min="1" max="1" width="10.44140625" bestFit="1" customWidth="1"/>
    <col min="2" max="2" width="12.44140625" bestFit="1" customWidth="1"/>
    <col min="3" max="3" width="21.44140625" bestFit="1" customWidth="1"/>
    <col min="4" max="4" width="21.44140625" style="3" customWidth="1"/>
    <col min="5" max="5" width="11.44140625" customWidth="1"/>
    <col min="6" max="6" width="20" style="27" customWidth="1"/>
    <col min="7" max="7" width="16" style="87" bestFit="1" customWidth="1"/>
    <col min="8" max="8" width="12.77734375" style="3" customWidth="1"/>
    <col min="9" max="9" width="15" bestFit="1" customWidth="1"/>
    <col min="10" max="10" width="16.6640625" bestFit="1" customWidth="1"/>
    <col min="11" max="11" width="12" bestFit="1" customWidth="1"/>
    <col min="12" max="12" width="12" customWidth="1"/>
    <col min="13" max="13" width="18" bestFit="1" customWidth="1"/>
    <col min="14" max="14" width="12.6640625" bestFit="1" customWidth="1"/>
    <col min="15" max="15" width="23" style="28" bestFit="1" customWidth="1"/>
    <col min="16" max="16" width="23" style="28" customWidth="1"/>
    <col min="17" max="17" width="32.44140625" style="29" bestFit="1" customWidth="1"/>
    <col min="18" max="18" width="10.6640625" style="84"/>
  </cols>
  <sheetData>
    <row r="1" spans="1:19" s="78" customFormat="1" ht="24.95" customHeight="1">
      <c r="A1" s="78" t="s">
        <v>81</v>
      </c>
      <c r="B1" s="78" t="s">
        <v>0</v>
      </c>
      <c r="C1" s="78" t="s">
        <v>1</v>
      </c>
      <c r="D1" s="79" t="s">
        <v>163</v>
      </c>
      <c r="E1" s="78" t="s">
        <v>2</v>
      </c>
      <c r="F1" s="80" t="s">
        <v>185</v>
      </c>
      <c r="G1" s="85" t="s">
        <v>3</v>
      </c>
      <c r="H1" s="79" t="s">
        <v>4</v>
      </c>
      <c r="I1" s="78" t="s">
        <v>5</v>
      </c>
      <c r="J1" s="78" t="s">
        <v>6</v>
      </c>
      <c r="K1" s="78" t="s">
        <v>7</v>
      </c>
      <c r="L1" s="78" t="s">
        <v>162</v>
      </c>
      <c r="M1" s="78" t="s">
        <v>8</v>
      </c>
      <c r="N1" s="78" t="s">
        <v>147</v>
      </c>
      <c r="O1" s="81" t="s">
        <v>186</v>
      </c>
      <c r="P1" s="81" t="s">
        <v>187</v>
      </c>
      <c r="Q1" s="82" t="s">
        <v>188</v>
      </c>
      <c r="R1" s="83" t="s">
        <v>189</v>
      </c>
      <c r="S1" s="78" t="s">
        <v>170</v>
      </c>
    </row>
    <row r="2" spans="1:19">
      <c r="A2" t="s">
        <v>9</v>
      </c>
      <c r="B2" s="1">
        <v>43664</v>
      </c>
      <c r="C2" t="s">
        <v>10</v>
      </c>
      <c r="D2" s="3">
        <v>737423.28</v>
      </c>
      <c r="E2" t="s">
        <v>11</v>
      </c>
      <c r="F2" s="27">
        <f>D2+H2</f>
        <v>749769.20000000007</v>
      </c>
      <c r="G2" s="86">
        <v>5000000</v>
      </c>
      <c r="H2" s="3">
        <v>12345.92</v>
      </c>
      <c r="I2" t="s">
        <v>12</v>
      </c>
      <c r="J2" t="s">
        <v>13</v>
      </c>
      <c r="K2" t="s">
        <v>14</v>
      </c>
      <c r="L2">
        <f ca="1">IF(C2="Cargo Liability",RANDBETWEEN(10000,80000),IF(C2="Collision Liability",RANDBETWEEN(20000,100000),IF(C2="Environmental Pollution",RANDBETWEEN(50000,120000),IF(C2="Damage to Other Vessels",RANDBETWEEN(15000,90000),IF(C2="Injury to Third Parties",RANDBETWEEN(5000,60000))))))</f>
        <v>79532</v>
      </c>
      <c r="M2">
        <v>4</v>
      </c>
      <c r="N2">
        <f>IF(YEAR(B2)=2023, 1.03,
   IF(YEAR(B2)=2022, 1.0506,
   IF(YEAR(B2)=2021, 1.071612,
   IF(YEAR(B2)=2020, 1.10376036,
   IF(YEAR(B2)=2019, 1.1479107744,
   IF(YEAR(B2)=2018, 1.20530631312, 1))))))</f>
        <v>1.1479107743999999</v>
      </c>
      <c r="O2" s="28">
        <f>F2*N2</f>
        <v>860668.14299326844</v>
      </c>
      <c r="P2" s="28">
        <f>O2-H2</f>
        <v>848322.2229932684</v>
      </c>
      <c r="Q2" s="30">
        <f xml:space="preserve"> MIN(P2,G2)</f>
        <v>848322.2229932684</v>
      </c>
      <c r="R2" s="84">
        <f>IF(Q2&lt;1000000,1,0)</f>
        <v>1</v>
      </c>
      <c r="S2">
        <f>YEAR(B2)</f>
        <v>2019</v>
      </c>
    </row>
    <row r="3" spans="1:19">
      <c r="A3" t="s">
        <v>15</v>
      </c>
      <c r="B3" s="1">
        <v>43978</v>
      </c>
      <c r="C3" t="s">
        <v>16</v>
      </c>
      <c r="D3" s="3">
        <v>315189.74</v>
      </c>
      <c r="E3" t="s">
        <v>11</v>
      </c>
      <c r="F3" s="27">
        <f>D3+H3</f>
        <v>348906.5</v>
      </c>
      <c r="G3" s="86">
        <v>5000000</v>
      </c>
      <c r="H3" s="3">
        <v>33716.76</v>
      </c>
      <c r="I3" t="s">
        <v>17</v>
      </c>
      <c r="J3" t="s">
        <v>18</v>
      </c>
      <c r="K3" t="s">
        <v>19</v>
      </c>
      <c r="L3">
        <f ca="1">IF(C3="Cargo Liability",RANDBETWEEN(10000,80000),IF(C3="Collision Liability",RANDBETWEEN(20000,100000),IF(C3="Environmental Pollution",RANDBETWEEN(50000,120000),IF(C3="Damage to Other Vessels",RANDBETWEEN(15000,90000),IF(C3="Injury to Third Parties",RANDBETWEEN(5000,60000))))))</f>
        <v>66150</v>
      </c>
      <c r="M3">
        <v>6</v>
      </c>
      <c r="N3">
        <f>IF(YEAR(B3)=2023, 1.03,
   IF(YEAR(B3)=2022, 1.0506,
   IF(YEAR(B3)=2021, 1.071612,
   IF(YEAR(B3)=2020, 1.10376036,
   IF(YEAR(B3)=2019, 1.1479107744,
   IF(YEAR(B3)=2018, 1.20530631312, 1))))))</f>
        <v>1.1037603600000001</v>
      </c>
      <c r="O3" s="28">
        <f>F3*N3</f>
        <v>385109.16404634004</v>
      </c>
      <c r="P3" s="28">
        <f>O3-H3</f>
        <v>351392.40404634003</v>
      </c>
      <c r="Q3" s="30">
        <f xml:space="preserve"> MIN(P3,G3)</f>
        <v>351392.40404634003</v>
      </c>
      <c r="R3" s="84">
        <f>IF(Q3&lt;1000000,1,0)</f>
        <v>1</v>
      </c>
      <c r="S3">
        <f>YEAR(B3)</f>
        <v>2020</v>
      </c>
    </row>
    <row r="4" spans="1:19">
      <c r="A4" t="s">
        <v>20</v>
      </c>
      <c r="B4" s="1">
        <v>43427</v>
      </c>
      <c r="C4" t="s">
        <v>21</v>
      </c>
      <c r="D4" s="3">
        <v>678364.99</v>
      </c>
      <c r="E4" t="s">
        <v>11</v>
      </c>
      <c r="F4" s="27">
        <f>D4+H4</f>
        <v>712761.9</v>
      </c>
      <c r="G4" s="86">
        <v>5000000</v>
      </c>
      <c r="H4" s="3">
        <v>34396.910000000003</v>
      </c>
      <c r="I4" t="s">
        <v>22</v>
      </c>
      <c r="J4" t="s">
        <v>23</v>
      </c>
      <c r="K4" t="s">
        <v>24</v>
      </c>
      <c r="L4">
        <f ca="1">IF(C4="Cargo Liability",RANDBETWEEN(10000,80000),IF(C4="Collision Liability",RANDBETWEEN(20000,100000),IF(C4="Environmental Pollution",RANDBETWEEN(50000,120000),IF(C4="Damage to Other Vessels",RANDBETWEEN(15000,90000),IF(C4="Injury to Third Parties",RANDBETWEEN(5000,60000))))))</f>
        <v>44483</v>
      </c>
      <c r="M4">
        <v>3</v>
      </c>
      <c r="N4">
        <f>IF(YEAR(B4)=2023, 1.03,
   IF(YEAR(B4)=2022, 1.0506,
   IF(YEAR(B4)=2021, 1.071612,
   IF(YEAR(B4)=2020, 1.10376036,
   IF(YEAR(B4)=2019, 1.1479107744,
   IF(YEAR(B4)=2018, 1.20530631312, 1))))))</f>
        <v>1.2053063131199999</v>
      </c>
      <c r="O4" s="28">
        <f>F4*N4</f>
        <v>859096.41782140615</v>
      </c>
      <c r="P4" s="28">
        <f>O4-H4</f>
        <v>824699.50782140612</v>
      </c>
      <c r="Q4" s="30">
        <f xml:space="preserve"> MIN(P4,G4)</f>
        <v>824699.50782140612</v>
      </c>
      <c r="R4" s="84">
        <f>IF(Q4&lt;1000000,1,0)</f>
        <v>1</v>
      </c>
      <c r="S4">
        <f>YEAR(B4)</f>
        <v>2018</v>
      </c>
    </row>
    <row r="5" spans="1:19">
      <c r="A5" t="s">
        <v>25</v>
      </c>
      <c r="B5" s="1">
        <v>44201</v>
      </c>
      <c r="C5" t="s">
        <v>26</v>
      </c>
      <c r="D5" s="3">
        <v>203840.58</v>
      </c>
      <c r="E5" t="s">
        <v>27</v>
      </c>
      <c r="F5" s="27">
        <f>D5+H5</f>
        <v>215544.46</v>
      </c>
      <c r="G5" s="86">
        <v>5000000</v>
      </c>
      <c r="H5" s="3">
        <v>11703.88</v>
      </c>
      <c r="I5" t="s">
        <v>28</v>
      </c>
      <c r="J5" t="s">
        <v>29</v>
      </c>
      <c r="K5" t="s">
        <v>30</v>
      </c>
      <c r="L5">
        <f ca="1">IF(C5="Cargo Liability",RANDBETWEEN(10000,80000),IF(C5="Collision Liability",RANDBETWEEN(20000,100000),IF(C5="Environmental Pollution",RANDBETWEEN(50000,120000),IF(C5="Damage to Other Vessels",RANDBETWEEN(15000,90000),IF(C5="Injury to Third Parties",RANDBETWEEN(5000,60000))))))</f>
        <v>82522</v>
      </c>
      <c r="M5">
        <v>7</v>
      </c>
      <c r="N5">
        <f>IF(YEAR(B5)=2023, 1.03,
   IF(YEAR(B5)=2022, 1.0506,
   IF(YEAR(B5)=2021, 1.071612,
   IF(YEAR(B5)=2020, 1.10376036,
   IF(YEAR(B5)=2019, 1.1479107744,
   IF(YEAR(B5)=2018, 1.20530631312, 1))))))</f>
        <v>1.071612</v>
      </c>
      <c r="O5" s="28">
        <f>F5*N5</f>
        <v>230980.02986951999</v>
      </c>
      <c r="P5" s="28">
        <f>O5-H5</f>
        <v>219276.14986951998</v>
      </c>
      <c r="Q5" s="30">
        <f xml:space="preserve"> MIN(P5,G5)</f>
        <v>219276.14986951998</v>
      </c>
      <c r="R5" s="84">
        <f>IF(Q5&lt;1000000,1,0)</f>
        <v>1</v>
      </c>
      <c r="S5">
        <f>YEAR(B5)</f>
        <v>2021</v>
      </c>
    </row>
    <row r="6" spans="1:19">
      <c r="A6" t="s">
        <v>31</v>
      </c>
      <c r="B6" s="1">
        <v>45091</v>
      </c>
      <c r="C6" t="s">
        <v>32</v>
      </c>
      <c r="D6" s="3">
        <v>98692.46</v>
      </c>
      <c r="E6" t="s">
        <v>33</v>
      </c>
      <c r="F6" s="27">
        <f>D6+H6</f>
        <v>146820.18</v>
      </c>
      <c r="G6" s="86">
        <v>1000000</v>
      </c>
      <c r="H6" s="3">
        <v>48127.72</v>
      </c>
      <c r="I6" t="s">
        <v>12</v>
      </c>
      <c r="J6" t="s">
        <v>13</v>
      </c>
      <c r="K6" t="s">
        <v>34</v>
      </c>
      <c r="L6">
        <f ca="1">IF(C6="Cargo Liability",RANDBETWEEN(10000,80000),IF(C6="Collision Liability",RANDBETWEEN(20000,100000),IF(C6="Environmental Pollution",RANDBETWEEN(50000,120000),IF(C6="Damage to Other Vessels",RANDBETWEEN(15000,90000),IF(C6="Injury to Third Parties",RANDBETWEEN(5000,60000))))))</f>
        <v>22412</v>
      </c>
      <c r="M6">
        <v>8</v>
      </c>
      <c r="N6">
        <f>IF(YEAR(B6)=2023, 1.03,
   IF(YEAR(B6)=2022, 1.0506,
   IF(YEAR(B6)=2021, 1.071612,
   IF(YEAR(B6)=2020, 1.10376036,
   IF(YEAR(B6)=2019, 1.1479107744,
   IF(YEAR(B6)=2018, 1.20530631312, 1))))))</f>
        <v>1.03</v>
      </c>
      <c r="O6" s="28">
        <f>F6*N6</f>
        <v>151224.78539999999</v>
      </c>
      <c r="P6" s="28">
        <f>O6-H6</f>
        <v>103097.06539999999</v>
      </c>
      <c r="Q6" s="30">
        <f xml:space="preserve"> MIN(P6,G6)</f>
        <v>103097.06539999999</v>
      </c>
      <c r="R6" s="84">
        <f>IF(Q6&lt;1000000,1,0)</f>
        <v>1</v>
      </c>
      <c r="S6">
        <f>YEAR(B6)</f>
        <v>2023</v>
      </c>
    </row>
    <row r="7" spans="1:19">
      <c r="A7" t="s">
        <v>35</v>
      </c>
      <c r="B7" s="1">
        <v>43584</v>
      </c>
      <c r="C7" t="s">
        <v>10</v>
      </c>
      <c r="D7" s="3">
        <v>243918.65</v>
      </c>
      <c r="E7" t="s">
        <v>11</v>
      </c>
      <c r="F7" s="27">
        <f>D7+H7</f>
        <v>254504.19</v>
      </c>
      <c r="G7" s="86">
        <v>5000000</v>
      </c>
      <c r="H7" s="3">
        <v>10585.54</v>
      </c>
      <c r="I7" t="s">
        <v>17</v>
      </c>
      <c r="J7" t="s">
        <v>18</v>
      </c>
      <c r="K7" t="s">
        <v>36</v>
      </c>
      <c r="L7">
        <f ca="1">IF(C7="Cargo Liability",RANDBETWEEN(10000,80000),IF(C7="Collision Liability",RANDBETWEEN(20000,100000),IF(C7="Environmental Pollution",RANDBETWEEN(50000,120000),IF(C7="Damage to Other Vessels",RANDBETWEEN(15000,90000),IF(C7="Injury to Third Parties",RANDBETWEEN(5000,60000))))))</f>
        <v>64251</v>
      </c>
      <c r="M7">
        <v>2</v>
      </c>
      <c r="N7">
        <f>IF(YEAR(B7)=2023, 1.03,
   IF(YEAR(B7)=2022, 1.0506,
   IF(YEAR(B7)=2021, 1.071612,
   IF(YEAR(B7)=2020, 1.10376036,
   IF(YEAR(B7)=2019, 1.1479107744,
   IF(YEAR(B7)=2018, 1.20530631312, 1))))))</f>
        <v>1.1479107743999999</v>
      </c>
      <c r="O7" s="28">
        <f>F7*N7</f>
        <v>292148.10183094471</v>
      </c>
      <c r="P7" s="28">
        <f>O7-H7</f>
        <v>281562.56183094473</v>
      </c>
      <c r="Q7" s="30">
        <f xml:space="preserve"> MIN(P7,G7)</f>
        <v>281562.56183094473</v>
      </c>
      <c r="R7" s="84">
        <f>IF(Q7&lt;1000000,1,0)</f>
        <v>1</v>
      </c>
      <c r="S7">
        <f>YEAR(B7)</f>
        <v>2019</v>
      </c>
    </row>
    <row r="8" spans="1:19">
      <c r="A8" t="s">
        <v>37</v>
      </c>
      <c r="B8" s="1">
        <v>44398</v>
      </c>
      <c r="C8" t="s">
        <v>26</v>
      </c>
      <c r="D8" s="3">
        <v>765873.46</v>
      </c>
      <c r="E8" t="s">
        <v>11</v>
      </c>
      <c r="F8" s="27">
        <f>D8+H8</f>
        <v>783218.83</v>
      </c>
      <c r="G8" s="86">
        <v>5000000</v>
      </c>
      <c r="H8" s="3">
        <v>17345.37</v>
      </c>
      <c r="I8" t="s">
        <v>28</v>
      </c>
      <c r="J8" t="s">
        <v>38</v>
      </c>
      <c r="K8" t="s">
        <v>39</v>
      </c>
      <c r="L8">
        <f ca="1">IF(C8="Cargo Liability",RANDBETWEEN(10000,80000),IF(C8="Collision Liability",RANDBETWEEN(20000,100000),IF(C8="Environmental Pollution",RANDBETWEEN(50000,120000),IF(C8="Damage to Other Vessels",RANDBETWEEN(15000,90000),IF(C8="Injury to Third Parties",RANDBETWEEN(5000,60000))))))</f>
        <v>64136</v>
      </c>
      <c r="M8">
        <v>1</v>
      </c>
      <c r="N8">
        <f>IF(YEAR(B8)=2023, 1.03,
   IF(YEAR(B8)=2022, 1.0506,
   IF(YEAR(B8)=2021, 1.071612,
   IF(YEAR(B8)=2020, 1.10376036,
   IF(YEAR(B8)=2019, 1.1479107744,
   IF(YEAR(B8)=2018, 1.20530631312, 1))))))</f>
        <v>1.071612</v>
      </c>
      <c r="O8" s="28">
        <f>F8*N8</f>
        <v>839306.69685395993</v>
      </c>
      <c r="P8" s="28">
        <f>O8-H8</f>
        <v>821961.32685395994</v>
      </c>
      <c r="Q8" s="30">
        <f xml:space="preserve"> MIN(P8,G8)</f>
        <v>821961.32685395994</v>
      </c>
      <c r="R8" s="84">
        <f>IF(Q8&lt;1000000,1,0)</f>
        <v>1</v>
      </c>
      <c r="S8">
        <f>YEAR(B8)</f>
        <v>2021</v>
      </c>
    </row>
    <row r="9" spans="1:19">
      <c r="A9" t="s">
        <v>40</v>
      </c>
      <c r="B9" s="1">
        <v>44638</v>
      </c>
      <c r="C9" t="s">
        <v>21</v>
      </c>
      <c r="D9" s="3">
        <v>913843.77</v>
      </c>
      <c r="E9" t="s">
        <v>11</v>
      </c>
      <c r="F9" s="27">
        <f>D9+H9</f>
        <v>939444.11</v>
      </c>
      <c r="G9" s="86">
        <v>5000000</v>
      </c>
      <c r="H9" s="3">
        <v>25600.34</v>
      </c>
      <c r="I9" t="s">
        <v>22</v>
      </c>
      <c r="J9" t="s">
        <v>18</v>
      </c>
      <c r="K9" t="s">
        <v>41</v>
      </c>
      <c r="L9">
        <f ca="1">IF(C9="Cargo Liability",RANDBETWEEN(10000,80000),IF(C9="Collision Liability",RANDBETWEEN(20000,100000),IF(C9="Environmental Pollution",RANDBETWEEN(50000,120000),IF(C9="Damage to Other Vessels",RANDBETWEEN(15000,90000),IF(C9="Injury to Third Parties",RANDBETWEEN(5000,60000))))))</f>
        <v>40134</v>
      </c>
      <c r="M9">
        <v>0</v>
      </c>
      <c r="N9">
        <f>IF(YEAR(B9)=2023, 1.03,
   IF(YEAR(B9)=2022, 1.0506,
   IF(YEAR(B9)=2021, 1.071612,
   IF(YEAR(B9)=2020, 1.10376036,
   IF(YEAR(B9)=2019, 1.1479107744,
   IF(YEAR(B9)=2018, 1.20530631312, 1))))))</f>
        <v>1.0506</v>
      </c>
      <c r="O9" s="28">
        <f>F9*N9</f>
        <v>986979.98196599993</v>
      </c>
      <c r="P9" s="28">
        <f>O9-H9</f>
        <v>961379.64196599997</v>
      </c>
      <c r="Q9" s="30">
        <f xml:space="preserve"> MIN(P9,G9)</f>
        <v>961379.64196599997</v>
      </c>
      <c r="R9" s="84">
        <f>IF(Q9&lt;1000000,1,0)</f>
        <v>1</v>
      </c>
      <c r="S9">
        <f>YEAR(B9)</f>
        <v>2022</v>
      </c>
    </row>
    <row r="10" spans="1:19">
      <c r="A10" t="s">
        <v>42</v>
      </c>
      <c r="B10" s="1">
        <v>44150</v>
      </c>
      <c r="C10" t="s">
        <v>16</v>
      </c>
      <c r="D10" s="3">
        <v>754890.21</v>
      </c>
      <c r="E10" t="s">
        <v>11</v>
      </c>
      <c r="F10" s="27">
        <f>D10+H10</f>
        <v>793074.64999999991</v>
      </c>
      <c r="G10" s="86">
        <v>5000000</v>
      </c>
      <c r="H10" s="3">
        <v>38184.44</v>
      </c>
      <c r="I10" t="s">
        <v>17</v>
      </c>
      <c r="J10" t="s">
        <v>23</v>
      </c>
      <c r="K10" t="s">
        <v>43</v>
      </c>
      <c r="L10">
        <f ca="1">IF(C10="Cargo Liability",RANDBETWEEN(10000,80000),IF(C10="Collision Liability",RANDBETWEEN(20000,100000),IF(C10="Environmental Pollution",RANDBETWEEN(50000,120000),IF(C10="Damage to Other Vessels",RANDBETWEEN(15000,90000),IF(C10="Injury to Third Parties",RANDBETWEEN(5000,60000))))))</f>
        <v>60017</v>
      </c>
      <c r="M10">
        <v>6</v>
      </c>
      <c r="N10">
        <f>IF(YEAR(B10)=2023, 1.03,
   IF(YEAR(B10)=2022, 1.0506,
   IF(YEAR(B10)=2021, 1.071612,
   IF(YEAR(B10)=2020, 1.10376036,
   IF(YEAR(B10)=2019, 1.1479107744,
   IF(YEAR(B10)=2018, 1.20530631312, 1))))))</f>
        <v>1.1037603600000001</v>
      </c>
      <c r="O10" s="28">
        <f>F10*N10</f>
        <v>875364.36119087401</v>
      </c>
      <c r="P10" s="28">
        <f>O10-H10</f>
        <v>837179.92119087395</v>
      </c>
      <c r="Q10" s="30">
        <f xml:space="preserve"> MIN(P10,G10)</f>
        <v>837179.92119087395</v>
      </c>
      <c r="R10" s="84">
        <f>IF(Q10&lt;1000000,1,0)</f>
        <v>1</v>
      </c>
      <c r="S10">
        <f>YEAR(B10)</f>
        <v>2020</v>
      </c>
    </row>
    <row r="11" spans="1:19">
      <c r="A11" t="s">
        <v>44</v>
      </c>
      <c r="B11" s="1">
        <v>43258</v>
      </c>
      <c r="C11" t="s">
        <v>10</v>
      </c>
      <c r="D11" s="3">
        <v>600293.27</v>
      </c>
      <c r="E11" t="s">
        <v>27</v>
      </c>
      <c r="F11" s="27">
        <f>D11+H11</f>
        <v>601436.52</v>
      </c>
      <c r="G11" s="86">
        <v>5000000</v>
      </c>
      <c r="H11" s="3">
        <v>1143.25</v>
      </c>
      <c r="I11" t="s">
        <v>12</v>
      </c>
      <c r="J11" t="s">
        <v>18</v>
      </c>
      <c r="K11" t="s">
        <v>45</v>
      </c>
      <c r="L11">
        <f ca="1">IF(C11="Cargo Liability",RANDBETWEEN(10000,80000),IF(C11="Collision Liability",RANDBETWEEN(20000,100000),IF(C11="Environmental Pollution",RANDBETWEEN(50000,120000),IF(C11="Damage to Other Vessels",RANDBETWEEN(15000,90000),IF(C11="Injury to Third Parties",RANDBETWEEN(5000,60000))))))</f>
        <v>66058</v>
      </c>
      <c r="M11">
        <v>5</v>
      </c>
      <c r="N11">
        <f>IF(YEAR(B11)=2023, 1.03,
   IF(YEAR(B11)=2022, 1.0506,
   IF(YEAR(B11)=2021, 1.071612,
   IF(YEAR(B11)=2020, 1.10376036,
   IF(YEAR(B11)=2019, 1.1479107744,
   IF(YEAR(B11)=2018, 1.20530631312, 1))))))</f>
        <v>1.2053063131199999</v>
      </c>
      <c r="O11" s="28">
        <f>F11*N11</f>
        <v>724915.23449692316</v>
      </c>
      <c r="P11" s="28">
        <f>O11-H11</f>
        <v>723771.98449692316</v>
      </c>
      <c r="Q11" s="30">
        <f xml:space="preserve"> MIN(P11,G11)</f>
        <v>723771.98449692316</v>
      </c>
      <c r="R11" s="84">
        <f>IF(Q11&lt;1000000,1,0)</f>
        <v>1</v>
      </c>
      <c r="S11">
        <f>YEAR(B11)</f>
        <v>2018</v>
      </c>
    </row>
    <row r="12" spans="1:19">
      <c r="A12" t="s">
        <v>46</v>
      </c>
      <c r="B12" s="1">
        <v>44251</v>
      </c>
      <c r="C12" t="s">
        <v>26</v>
      </c>
      <c r="D12" s="3">
        <v>320726.12</v>
      </c>
      <c r="E12" t="s">
        <v>11</v>
      </c>
      <c r="F12" s="27">
        <f>D12+H12</f>
        <v>363045.08999999997</v>
      </c>
      <c r="G12" s="86">
        <v>5000000</v>
      </c>
      <c r="H12" s="3">
        <v>42318.97</v>
      </c>
      <c r="I12" t="s">
        <v>17</v>
      </c>
      <c r="J12" t="s">
        <v>38</v>
      </c>
      <c r="K12" t="s">
        <v>47</v>
      </c>
      <c r="L12">
        <f ca="1">IF(C12="Cargo Liability",RANDBETWEEN(10000,80000),IF(C12="Collision Liability",RANDBETWEEN(20000,100000),IF(C12="Environmental Pollution",RANDBETWEEN(50000,120000),IF(C12="Damage to Other Vessels",RANDBETWEEN(15000,90000),IF(C12="Injury to Third Parties",RANDBETWEEN(5000,60000))))))</f>
        <v>102870</v>
      </c>
      <c r="M12">
        <v>7</v>
      </c>
      <c r="N12">
        <f>IF(YEAR(B12)=2023, 1.03,
   IF(YEAR(B12)=2022, 1.0506,
   IF(YEAR(B12)=2021, 1.071612,
   IF(YEAR(B12)=2020, 1.10376036,
   IF(YEAR(B12)=2019, 1.1479107744,
   IF(YEAR(B12)=2018, 1.20530631312, 1))))))</f>
        <v>1.071612</v>
      </c>
      <c r="O12" s="28">
        <f>F12*N12</f>
        <v>389043.47498507996</v>
      </c>
      <c r="P12" s="28">
        <f>O12-H12</f>
        <v>346724.50498507998</v>
      </c>
      <c r="Q12" s="30">
        <f xml:space="preserve"> MIN(P12,G12)</f>
        <v>346724.50498507998</v>
      </c>
      <c r="R12" s="84">
        <f>IF(Q12&lt;1000000,1,0)</f>
        <v>1</v>
      </c>
      <c r="S12">
        <f>YEAR(B12)</f>
        <v>2021</v>
      </c>
    </row>
    <row r="13" spans="1:19">
      <c r="A13" t="s">
        <v>48</v>
      </c>
      <c r="B13" s="1">
        <v>44180</v>
      </c>
      <c r="C13" t="s">
        <v>16</v>
      </c>
      <c r="D13" s="3">
        <v>195238.55</v>
      </c>
      <c r="E13" t="s">
        <v>11</v>
      </c>
      <c r="F13" s="27">
        <f>D13+H13</f>
        <v>220873.24</v>
      </c>
      <c r="G13" s="86">
        <v>1000000</v>
      </c>
      <c r="H13" s="3">
        <v>25634.69</v>
      </c>
      <c r="I13" t="s">
        <v>22</v>
      </c>
      <c r="J13" t="s">
        <v>23</v>
      </c>
      <c r="K13" t="s">
        <v>49</v>
      </c>
      <c r="L13">
        <f ca="1">IF(C13="Cargo Liability",RANDBETWEEN(10000,80000),IF(C13="Collision Liability",RANDBETWEEN(20000,100000),IF(C13="Environmental Pollution",RANDBETWEEN(50000,120000),IF(C13="Damage to Other Vessels",RANDBETWEEN(15000,90000),IF(C13="Injury to Third Parties",RANDBETWEEN(5000,60000))))))</f>
        <v>37937</v>
      </c>
      <c r="M13">
        <v>8</v>
      </c>
      <c r="N13">
        <f>IF(YEAR(B13)=2023, 1.03,
   IF(YEAR(B13)=2022, 1.0506,
   IF(YEAR(B13)=2021, 1.071612,
   IF(YEAR(B13)=2020, 1.10376036,
   IF(YEAR(B13)=2019, 1.1479107744,
   IF(YEAR(B13)=2018, 1.20530631312, 1))))))</f>
        <v>1.1037603600000001</v>
      </c>
      <c r="O13" s="28">
        <f>F13*N13</f>
        <v>243791.12689676642</v>
      </c>
      <c r="P13" s="28">
        <f>O13-H13</f>
        <v>218156.43689676642</v>
      </c>
      <c r="Q13" s="30">
        <f xml:space="preserve"> MIN(P13,G13)</f>
        <v>218156.43689676642</v>
      </c>
      <c r="R13" s="84">
        <f>IF(Q13&lt;1000000,1,0)</f>
        <v>1</v>
      </c>
      <c r="S13">
        <f>YEAR(B13)</f>
        <v>2020</v>
      </c>
    </row>
    <row r="14" spans="1:19">
      <c r="A14" t="s">
        <v>50</v>
      </c>
      <c r="B14" s="1">
        <v>44794</v>
      </c>
      <c r="C14" t="s">
        <v>10</v>
      </c>
      <c r="D14" s="3">
        <v>158738.94</v>
      </c>
      <c r="E14" t="s">
        <v>33</v>
      </c>
      <c r="F14" s="27">
        <f>D14+H14</f>
        <v>188195.05</v>
      </c>
      <c r="G14" s="86">
        <v>1000000</v>
      </c>
      <c r="H14" s="3">
        <v>29456.11</v>
      </c>
      <c r="I14" t="s">
        <v>12</v>
      </c>
      <c r="J14" t="s">
        <v>13</v>
      </c>
      <c r="K14" t="s">
        <v>51</v>
      </c>
      <c r="L14">
        <f ca="1">IF(C14="Cargo Liability",RANDBETWEEN(10000,80000),IF(C14="Collision Liability",RANDBETWEEN(20000,100000),IF(C14="Environmental Pollution",RANDBETWEEN(50000,120000),IF(C14="Damage to Other Vessels",RANDBETWEEN(15000,90000),IF(C14="Injury to Third Parties",RANDBETWEEN(5000,60000))))))</f>
        <v>84849</v>
      </c>
      <c r="M14">
        <v>3</v>
      </c>
      <c r="N14">
        <f>IF(YEAR(B14)=2023, 1.03,
   IF(YEAR(B14)=2022, 1.0506,
   IF(YEAR(B14)=2021, 1.071612,
   IF(YEAR(B14)=2020, 1.10376036,
   IF(YEAR(B14)=2019, 1.1479107744,
   IF(YEAR(B14)=2018, 1.20530631312, 1))))))</f>
        <v>1.0506</v>
      </c>
      <c r="O14" s="28">
        <f>F14*N14</f>
        <v>197717.71952999997</v>
      </c>
      <c r="P14" s="28">
        <f>O14-H14</f>
        <v>168261.60952999996</v>
      </c>
      <c r="Q14" s="30">
        <f xml:space="preserve"> MIN(P14,G14)</f>
        <v>168261.60952999996</v>
      </c>
      <c r="R14" s="84">
        <f>IF(Q14&lt;1000000,1,0)</f>
        <v>1</v>
      </c>
      <c r="S14">
        <f>YEAR(B14)</f>
        <v>2022</v>
      </c>
    </row>
    <row r="15" spans="1:19">
      <c r="A15" t="s">
        <v>52</v>
      </c>
      <c r="B15" s="1">
        <v>44937</v>
      </c>
      <c r="C15" t="s">
        <v>21</v>
      </c>
      <c r="D15" s="3">
        <v>125309.18</v>
      </c>
      <c r="E15" t="s">
        <v>11</v>
      </c>
      <c r="F15" s="27">
        <f>D15+H15</f>
        <v>140287.41</v>
      </c>
      <c r="G15" s="86">
        <v>1000000</v>
      </c>
      <c r="H15" s="3">
        <v>14978.23</v>
      </c>
      <c r="I15" t="s">
        <v>22</v>
      </c>
      <c r="J15" t="s">
        <v>29</v>
      </c>
      <c r="K15" t="s">
        <v>53</v>
      </c>
      <c r="L15">
        <f ca="1">IF(C15="Cargo Liability",RANDBETWEEN(10000,80000),IF(C15="Collision Liability",RANDBETWEEN(20000,100000),IF(C15="Environmental Pollution",RANDBETWEEN(50000,120000),IF(C15="Damage to Other Vessels",RANDBETWEEN(15000,90000),IF(C15="Injury to Third Parties",RANDBETWEEN(5000,60000))))))</f>
        <v>50859</v>
      </c>
      <c r="M15">
        <v>2</v>
      </c>
      <c r="N15">
        <f>IF(YEAR(B15)=2023, 1.03,
   IF(YEAR(B15)=2022, 1.0506,
   IF(YEAR(B15)=2021, 1.071612,
   IF(YEAR(B15)=2020, 1.10376036,
   IF(YEAR(B15)=2019, 1.1479107744,
   IF(YEAR(B15)=2018, 1.20530631312, 1))))))</f>
        <v>1.03</v>
      </c>
      <c r="O15" s="28">
        <f>F15*N15</f>
        <v>144496.03230000002</v>
      </c>
      <c r="P15" s="28">
        <f>O15-H15</f>
        <v>129517.80230000002</v>
      </c>
      <c r="Q15" s="30">
        <f xml:space="preserve"> MIN(P15,G15)</f>
        <v>129517.80230000002</v>
      </c>
      <c r="R15" s="84">
        <f>IF(Q15&lt;1000000,1,0)</f>
        <v>1</v>
      </c>
      <c r="S15">
        <f>YEAR(B15)</f>
        <v>2023</v>
      </c>
    </row>
    <row r="16" spans="1:19">
      <c r="A16" t="s">
        <v>54</v>
      </c>
      <c r="B16" s="1">
        <v>43738</v>
      </c>
      <c r="C16" t="s">
        <v>26</v>
      </c>
      <c r="D16" s="3">
        <v>701924.64</v>
      </c>
      <c r="E16" t="s">
        <v>27</v>
      </c>
      <c r="F16" s="27">
        <f>D16+H16</f>
        <v>726627.31</v>
      </c>
      <c r="G16" s="86">
        <v>5000000</v>
      </c>
      <c r="H16" s="3">
        <v>24702.67</v>
      </c>
      <c r="I16" t="s">
        <v>17</v>
      </c>
      <c r="J16" t="s">
        <v>18</v>
      </c>
      <c r="K16" t="s">
        <v>55</v>
      </c>
      <c r="L16">
        <f ca="1">IF(C16="Cargo Liability",RANDBETWEEN(10000,80000),IF(C16="Collision Liability",RANDBETWEEN(20000,100000),IF(C16="Environmental Pollution",RANDBETWEEN(50000,120000),IF(C16="Damage to Other Vessels",RANDBETWEEN(15000,90000),IF(C16="Injury to Third Parties",RANDBETWEEN(5000,60000))))))</f>
        <v>65859</v>
      </c>
      <c r="M16">
        <v>6</v>
      </c>
      <c r="N16">
        <f>IF(YEAR(B16)=2023, 1.03,
   IF(YEAR(B16)=2022, 1.0506,
   IF(YEAR(B16)=2021, 1.071612,
   IF(YEAR(B16)=2020, 1.10376036,
   IF(YEAR(B16)=2019, 1.1479107744,
   IF(YEAR(B16)=2018, 1.20530631312, 1))))))</f>
        <v>1.1479107743999999</v>
      </c>
      <c r="O16" s="28">
        <f>F16*N16</f>
        <v>834103.31812228879</v>
      </c>
      <c r="P16" s="28">
        <f>O16-H16</f>
        <v>809400.64812228875</v>
      </c>
      <c r="Q16" s="30">
        <f xml:space="preserve"> MIN(P16,G16)</f>
        <v>809400.64812228875</v>
      </c>
      <c r="R16" s="84">
        <f>IF(Q16&lt;1000000,1,0)</f>
        <v>1</v>
      </c>
      <c r="S16">
        <f>YEAR(B16)</f>
        <v>2019</v>
      </c>
    </row>
    <row r="17" spans="1:19">
      <c r="A17" t="s">
        <v>56</v>
      </c>
      <c r="B17" s="1">
        <v>43294</v>
      </c>
      <c r="C17" t="s">
        <v>32</v>
      </c>
      <c r="D17" s="3">
        <v>590732.85</v>
      </c>
      <c r="E17" t="s">
        <v>11</v>
      </c>
      <c r="F17" s="27">
        <f>D17+H17</f>
        <v>600165.35</v>
      </c>
      <c r="G17" s="86">
        <v>5000000</v>
      </c>
      <c r="H17" s="3">
        <v>9432.5</v>
      </c>
      <c r="I17" t="s">
        <v>28</v>
      </c>
      <c r="J17" t="s">
        <v>23</v>
      </c>
      <c r="K17" t="s">
        <v>57</v>
      </c>
      <c r="L17">
        <f ca="1">IF(C17="Cargo Liability",RANDBETWEEN(10000,80000),IF(C17="Collision Liability",RANDBETWEEN(20000,100000),IF(C17="Environmental Pollution",RANDBETWEEN(50000,120000),IF(C17="Damage to Other Vessels",RANDBETWEEN(15000,90000),IF(C17="Injury to Third Parties",RANDBETWEEN(5000,60000))))))</f>
        <v>17930</v>
      </c>
      <c r="M17">
        <v>4</v>
      </c>
      <c r="N17">
        <f>IF(YEAR(B17)=2023, 1.03,
   IF(YEAR(B17)=2022, 1.0506,
   IF(YEAR(B17)=2021, 1.071612,
   IF(YEAR(B17)=2020, 1.10376036,
   IF(YEAR(B17)=2019, 1.1479107744,
   IF(YEAR(B17)=2018, 1.20530631312, 1))))))</f>
        <v>1.2053063131199999</v>
      </c>
      <c r="O17" s="28">
        <f>F17*N17</f>
        <v>723383.08527087432</v>
      </c>
      <c r="P17" s="28">
        <f>O17-H17</f>
        <v>713950.58527087432</v>
      </c>
      <c r="Q17" s="30">
        <f xml:space="preserve"> MIN(P17,G17)</f>
        <v>713950.58527087432</v>
      </c>
      <c r="R17" s="84">
        <f>IF(Q17&lt;1000000,1,0)</f>
        <v>1</v>
      </c>
      <c r="S17">
        <f>YEAR(B17)</f>
        <v>2018</v>
      </c>
    </row>
    <row r="18" spans="1:19">
      <c r="A18" t="s">
        <v>58</v>
      </c>
      <c r="B18" s="1">
        <v>44288</v>
      </c>
      <c r="C18" t="s">
        <v>10</v>
      </c>
      <c r="D18" s="3">
        <v>358145.93</v>
      </c>
      <c r="E18" t="s">
        <v>11</v>
      </c>
      <c r="F18" s="27">
        <f>D18+H18</f>
        <v>375066.3</v>
      </c>
      <c r="G18" s="86">
        <v>2000000</v>
      </c>
      <c r="H18" s="3">
        <v>16920.37</v>
      </c>
      <c r="I18" t="s">
        <v>12</v>
      </c>
      <c r="J18" t="s">
        <v>29</v>
      </c>
      <c r="K18" t="s">
        <v>59</v>
      </c>
      <c r="L18">
        <f ca="1">IF(C18="Cargo Liability",RANDBETWEEN(10000,80000),IF(C18="Collision Liability",RANDBETWEEN(20000,100000),IF(C18="Environmental Pollution",RANDBETWEEN(50000,120000),IF(C18="Damage to Other Vessels",RANDBETWEEN(15000,90000),IF(C18="Injury to Third Parties",RANDBETWEEN(5000,60000))))))</f>
        <v>90647</v>
      </c>
      <c r="M18">
        <v>7</v>
      </c>
      <c r="N18">
        <f>IF(YEAR(B18)=2023, 1.03,
   IF(YEAR(B18)=2022, 1.0506,
   IF(YEAR(B18)=2021, 1.071612,
   IF(YEAR(B18)=2020, 1.10376036,
   IF(YEAR(B18)=2019, 1.1479107744,
   IF(YEAR(B18)=2018, 1.20530631312, 1))))))</f>
        <v>1.071612</v>
      </c>
      <c r="O18" s="28">
        <f>F18*N18</f>
        <v>401925.54787559999</v>
      </c>
      <c r="P18" s="28">
        <f>O18-H18</f>
        <v>385005.1778756</v>
      </c>
      <c r="Q18" s="30">
        <f xml:space="preserve"> MIN(P18,G18)</f>
        <v>385005.1778756</v>
      </c>
      <c r="R18" s="84">
        <f>IF(Q18&lt;1000000,1,0)</f>
        <v>1</v>
      </c>
      <c r="S18">
        <f>YEAR(B18)</f>
        <v>2021</v>
      </c>
    </row>
    <row r="19" spans="1:19">
      <c r="A19" t="s">
        <v>60</v>
      </c>
      <c r="B19" s="1">
        <v>43641</v>
      </c>
      <c r="C19" t="s">
        <v>21</v>
      </c>
      <c r="D19" s="3">
        <v>453896.75</v>
      </c>
      <c r="E19" t="s">
        <v>11</v>
      </c>
      <c r="F19" s="27">
        <f>D19+H19</f>
        <v>492825.48</v>
      </c>
      <c r="G19" s="86">
        <v>500000</v>
      </c>
      <c r="H19" s="3">
        <v>38928.730000000003</v>
      </c>
      <c r="I19" t="s">
        <v>22</v>
      </c>
      <c r="J19" t="s">
        <v>38</v>
      </c>
      <c r="K19" t="s">
        <v>43</v>
      </c>
      <c r="L19">
        <f ca="1">IF(C19="Cargo Liability",RANDBETWEEN(10000,80000),IF(C19="Collision Liability",RANDBETWEEN(20000,100000),IF(C19="Environmental Pollution",RANDBETWEEN(50000,120000),IF(C19="Damage to Other Vessels",RANDBETWEEN(15000,90000),IF(C19="Injury to Third Parties",RANDBETWEEN(5000,60000))))))</f>
        <v>74335</v>
      </c>
      <c r="M19">
        <v>5</v>
      </c>
      <c r="N19">
        <f>IF(YEAR(B19)=2023, 1.03,
   IF(YEAR(B19)=2022, 1.0506,
   IF(YEAR(B19)=2021, 1.071612,
   IF(YEAR(B19)=2020, 1.10376036,
   IF(YEAR(B19)=2019, 1.1479107744,
   IF(YEAR(B19)=2018, 1.20530631312, 1))))))</f>
        <v>1.1479107743999999</v>
      </c>
      <c r="O19" s="28">
        <f>F19*N19</f>
        <v>565719.67839085159</v>
      </c>
      <c r="P19" s="28">
        <f>O19-H19</f>
        <v>526790.94839085161</v>
      </c>
      <c r="Q19" s="30">
        <f xml:space="preserve"> MIN(P19,G19)</f>
        <v>500000</v>
      </c>
      <c r="R19" s="84">
        <f>IF(Q19&lt;1000000,1,0)</f>
        <v>1</v>
      </c>
      <c r="S19">
        <f>YEAR(B19)</f>
        <v>2019</v>
      </c>
    </row>
    <row r="20" spans="1:19">
      <c r="A20" t="s">
        <v>61</v>
      </c>
      <c r="B20" s="1">
        <v>44754</v>
      </c>
      <c r="C20" t="s">
        <v>16</v>
      </c>
      <c r="D20" s="3">
        <v>195984.65</v>
      </c>
      <c r="E20" t="s">
        <v>33</v>
      </c>
      <c r="F20" s="27">
        <f>D20+H20</f>
        <v>215631.84</v>
      </c>
      <c r="G20" s="86">
        <v>500000</v>
      </c>
      <c r="H20" s="3">
        <v>19647.189999999999</v>
      </c>
      <c r="I20" t="s">
        <v>17</v>
      </c>
      <c r="J20" t="s">
        <v>13</v>
      </c>
      <c r="K20" t="s">
        <v>45</v>
      </c>
      <c r="L20">
        <f ca="1">IF(C20="Cargo Liability",RANDBETWEEN(10000,80000),IF(C20="Collision Liability",RANDBETWEEN(20000,100000),IF(C20="Environmental Pollution",RANDBETWEEN(50000,120000),IF(C20="Damage to Other Vessels",RANDBETWEEN(15000,90000),IF(C20="Injury to Third Parties",RANDBETWEEN(5000,60000))))))</f>
        <v>14290</v>
      </c>
      <c r="M20">
        <v>3</v>
      </c>
      <c r="N20">
        <f>IF(YEAR(B20)=2023, 1.03,
   IF(YEAR(B20)=2022, 1.0506,
   IF(YEAR(B20)=2021, 1.071612,
   IF(YEAR(B20)=2020, 1.10376036,
   IF(YEAR(B20)=2019, 1.1479107744,
   IF(YEAR(B20)=2018, 1.20530631312, 1))))))</f>
        <v>1.0506</v>
      </c>
      <c r="O20" s="28">
        <f>F20*N20</f>
        <v>226542.81110399999</v>
      </c>
      <c r="P20" s="28">
        <f>O20-H20</f>
        <v>206895.62110399999</v>
      </c>
      <c r="Q20" s="30">
        <f xml:space="preserve"> MIN(P20,G20)</f>
        <v>206895.62110399999</v>
      </c>
      <c r="R20" s="84">
        <f>IF(Q20&lt;1000000,1,0)</f>
        <v>1</v>
      </c>
      <c r="S20">
        <f>YEAR(B20)</f>
        <v>2022</v>
      </c>
    </row>
    <row r="21" spans="1:19">
      <c r="A21" t="s">
        <v>62</v>
      </c>
      <c r="B21" s="1">
        <v>43910</v>
      </c>
      <c r="C21" t="s">
        <v>26</v>
      </c>
      <c r="D21" s="3">
        <v>472804.33</v>
      </c>
      <c r="E21" t="s">
        <v>27</v>
      </c>
      <c r="F21" s="27">
        <f>D21+H21</f>
        <v>518485.62</v>
      </c>
      <c r="G21" s="86">
        <v>5000000</v>
      </c>
      <c r="H21" s="3">
        <v>45681.29</v>
      </c>
      <c r="I21" t="s">
        <v>28</v>
      </c>
      <c r="J21" t="s">
        <v>18</v>
      </c>
      <c r="K21" t="s">
        <v>39</v>
      </c>
      <c r="L21">
        <f ca="1">IF(C21="Cargo Liability",RANDBETWEEN(10000,80000),IF(C21="Collision Liability",RANDBETWEEN(20000,100000),IF(C21="Environmental Pollution",RANDBETWEEN(50000,120000),IF(C21="Damage to Other Vessels",RANDBETWEEN(15000,90000),IF(C21="Injury to Third Parties",RANDBETWEEN(5000,60000))))))</f>
        <v>90094</v>
      </c>
      <c r="M21">
        <v>8</v>
      </c>
      <c r="N21">
        <f>IF(YEAR(B21)=2023, 1.03,
   IF(YEAR(B21)=2022, 1.0506,
   IF(YEAR(B21)=2021, 1.071612,
   IF(YEAR(B21)=2020, 1.10376036,
   IF(YEAR(B21)=2019, 1.1479107744,
   IF(YEAR(B21)=2018, 1.20530631312, 1))))))</f>
        <v>1.1037603600000001</v>
      </c>
      <c r="O21" s="28">
        <f>F21*N21</f>
        <v>572283.87458602327</v>
      </c>
      <c r="P21" s="28">
        <f>O21-H21</f>
        <v>526602.58458602324</v>
      </c>
      <c r="Q21" s="30">
        <f xml:space="preserve"> MIN(P21,G21)</f>
        <v>526602.58458602324</v>
      </c>
      <c r="R21" s="84">
        <f>IF(Q21&lt;1000000,1,0)</f>
        <v>1</v>
      </c>
      <c r="S21">
        <f>YEAR(B21)</f>
        <v>2020</v>
      </c>
    </row>
    <row r="22" spans="1:19">
      <c r="A22" t="s">
        <v>63</v>
      </c>
      <c r="B22" s="1">
        <v>45076</v>
      </c>
      <c r="C22" t="s">
        <v>32</v>
      </c>
      <c r="D22" s="3">
        <v>87924.45</v>
      </c>
      <c r="E22" t="s">
        <v>11</v>
      </c>
      <c r="F22" s="27">
        <f>D22+H22</f>
        <v>111522.66</v>
      </c>
      <c r="G22" s="86">
        <v>500000</v>
      </c>
      <c r="H22" s="3">
        <v>23598.21</v>
      </c>
      <c r="I22" t="s">
        <v>17</v>
      </c>
      <c r="J22" t="s">
        <v>38</v>
      </c>
      <c r="K22" t="s">
        <v>51</v>
      </c>
      <c r="L22">
        <f ca="1">IF(C22="Cargo Liability",RANDBETWEEN(10000,80000),IF(C22="Collision Liability",RANDBETWEEN(20000,100000),IF(C22="Environmental Pollution",RANDBETWEEN(50000,120000),IF(C22="Damage to Other Vessels",RANDBETWEEN(15000,90000),IF(C22="Injury to Third Parties",RANDBETWEEN(5000,60000))))))</f>
        <v>41461</v>
      </c>
      <c r="M22">
        <v>4</v>
      </c>
      <c r="N22">
        <f>IF(YEAR(B22)=2023, 1.03,
   IF(YEAR(B22)=2022, 1.0506,
   IF(YEAR(B22)=2021, 1.071612,
   IF(YEAR(B22)=2020, 1.10376036,
   IF(YEAR(B22)=2019, 1.1479107744,
   IF(YEAR(B22)=2018, 1.20530631312, 1))))))</f>
        <v>1.03</v>
      </c>
      <c r="O22" s="28">
        <f>F22*N22</f>
        <v>114868.3398</v>
      </c>
      <c r="P22" s="28">
        <f>O22-H22</f>
        <v>91270.129799999995</v>
      </c>
      <c r="Q22" s="30">
        <f xml:space="preserve"> MIN(P22,G22)</f>
        <v>91270.129799999995</v>
      </c>
      <c r="R22" s="84">
        <f>IF(Q22&lt;1000000,1,0)</f>
        <v>1</v>
      </c>
      <c r="S22">
        <f>YEAR(B22)</f>
        <v>2023</v>
      </c>
    </row>
    <row r="23" spans="1:19">
      <c r="A23" t="s">
        <v>64</v>
      </c>
      <c r="B23" s="1">
        <v>44533</v>
      </c>
      <c r="C23" t="s">
        <v>10</v>
      </c>
      <c r="D23" s="3">
        <v>654327.44999999995</v>
      </c>
      <c r="E23" t="s">
        <v>11</v>
      </c>
      <c r="F23" s="27">
        <f>D23+H23</f>
        <v>673030.17999999993</v>
      </c>
      <c r="G23" s="86">
        <v>5000000</v>
      </c>
      <c r="H23" s="3">
        <v>18702.73</v>
      </c>
      <c r="I23" t="s">
        <v>12</v>
      </c>
      <c r="J23" t="s">
        <v>18</v>
      </c>
      <c r="K23" t="s">
        <v>65</v>
      </c>
      <c r="L23">
        <f ca="1">IF(C23="Cargo Liability",RANDBETWEEN(10000,80000),IF(C23="Collision Liability",RANDBETWEEN(20000,100000),IF(C23="Environmental Pollution",RANDBETWEEN(50000,120000),IF(C23="Damage to Other Vessels",RANDBETWEEN(15000,90000),IF(C23="Injury to Third Parties",RANDBETWEEN(5000,60000))))))</f>
        <v>20430</v>
      </c>
      <c r="M23">
        <v>7</v>
      </c>
      <c r="N23">
        <f>IF(YEAR(B23)=2023, 1.03,
   IF(YEAR(B23)=2022, 1.0506,
   IF(YEAR(B23)=2021, 1.071612,
   IF(YEAR(B23)=2020, 1.10376036,
   IF(YEAR(B23)=2019, 1.1479107744,
   IF(YEAR(B23)=2018, 1.20530631312, 1))))))</f>
        <v>1.071612</v>
      </c>
      <c r="O23" s="28">
        <f>F23*N23</f>
        <v>721227.21725015994</v>
      </c>
      <c r="P23" s="28">
        <f>O23-H23</f>
        <v>702524.48725015996</v>
      </c>
      <c r="Q23" s="30">
        <f xml:space="preserve"> MIN(P23,G23)</f>
        <v>702524.48725015996</v>
      </c>
      <c r="R23" s="84">
        <f>IF(Q23&lt;1000000,1,0)</f>
        <v>1</v>
      </c>
      <c r="S23">
        <f>YEAR(B23)</f>
        <v>2021</v>
      </c>
    </row>
    <row r="24" spans="1:19">
      <c r="A24" t="s">
        <v>66</v>
      </c>
      <c r="B24" s="1">
        <v>43993</v>
      </c>
      <c r="C24" t="s">
        <v>21</v>
      </c>
      <c r="D24" s="3">
        <v>231548.73</v>
      </c>
      <c r="E24" t="s">
        <v>27</v>
      </c>
      <c r="F24" s="27">
        <f>D24+H24</f>
        <v>268477.11</v>
      </c>
      <c r="G24" s="86">
        <v>500000</v>
      </c>
      <c r="H24" s="3">
        <v>36928.379999999997</v>
      </c>
      <c r="I24" t="s">
        <v>22</v>
      </c>
      <c r="J24" t="s">
        <v>29</v>
      </c>
      <c r="K24" t="s">
        <v>24</v>
      </c>
      <c r="L24">
        <f ca="1">IF(C24="Cargo Liability",RANDBETWEEN(10000,80000),IF(C24="Collision Liability",RANDBETWEEN(20000,100000),IF(C24="Environmental Pollution",RANDBETWEEN(50000,120000),IF(C24="Damage to Other Vessels",RANDBETWEEN(15000,90000),IF(C24="Injury to Third Parties",RANDBETWEEN(5000,60000))))))</f>
        <v>85966</v>
      </c>
      <c r="M24">
        <v>5</v>
      </c>
      <c r="N24">
        <f>IF(YEAR(B24)=2023, 1.03,
   IF(YEAR(B24)=2022, 1.0506,
   IF(YEAR(B24)=2021, 1.071612,
   IF(YEAR(B24)=2020, 1.10376036,
   IF(YEAR(B24)=2019, 1.1479107744,
   IF(YEAR(B24)=2018, 1.20530631312, 1))))))</f>
        <v>1.1037603600000001</v>
      </c>
      <c r="O24" s="28">
        <f>F24*N24</f>
        <v>296334.39158535964</v>
      </c>
      <c r="P24" s="28">
        <f>O24-H24</f>
        <v>259406.01158535964</v>
      </c>
      <c r="Q24" s="30">
        <f xml:space="preserve"> MIN(P24,G24)</f>
        <v>259406.01158535964</v>
      </c>
      <c r="R24" s="84">
        <f>IF(Q24&lt;1000000,1,0)</f>
        <v>1</v>
      </c>
      <c r="S24">
        <f>YEAR(B24)</f>
        <v>2020</v>
      </c>
    </row>
    <row r="25" spans="1:19">
      <c r="A25" t="s">
        <v>67</v>
      </c>
      <c r="B25" s="1">
        <v>43695</v>
      </c>
      <c r="C25" t="s">
        <v>26</v>
      </c>
      <c r="D25" s="3">
        <v>194738.52</v>
      </c>
      <c r="E25" t="s">
        <v>33</v>
      </c>
      <c r="F25" s="27">
        <f>D25+H25</f>
        <v>210177.78999999998</v>
      </c>
      <c r="G25" s="86">
        <v>500000</v>
      </c>
      <c r="H25" s="3">
        <v>15439.27</v>
      </c>
      <c r="I25" t="s">
        <v>28</v>
      </c>
      <c r="J25" t="s">
        <v>13</v>
      </c>
      <c r="K25" t="s">
        <v>30</v>
      </c>
      <c r="L25">
        <f ca="1">IF(C25="Cargo Liability",RANDBETWEEN(10000,80000),IF(C25="Collision Liability",RANDBETWEEN(20000,100000),IF(C25="Environmental Pollution",RANDBETWEEN(50000,120000),IF(C25="Damage to Other Vessels",RANDBETWEEN(15000,90000),IF(C25="Injury to Third Parties",RANDBETWEEN(5000,60000))))))</f>
        <v>84380</v>
      </c>
      <c r="M25">
        <v>8</v>
      </c>
      <c r="N25">
        <f>IF(YEAR(B25)=2023, 1.03,
   IF(YEAR(B25)=2022, 1.0506,
   IF(YEAR(B25)=2021, 1.071612,
   IF(YEAR(B25)=2020, 1.10376036,
   IF(YEAR(B25)=2019, 1.1479107744,
   IF(YEAR(B25)=2018, 1.20530631312, 1))))))</f>
        <v>1.1479107743999999</v>
      </c>
      <c r="O25" s="28">
        <f>F25*N25</f>
        <v>241265.34968058052</v>
      </c>
      <c r="P25" s="28">
        <f>O25-H25</f>
        <v>225826.07968058053</v>
      </c>
      <c r="Q25" s="30">
        <f xml:space="preserve"> MIN(P25,G25)</f>
        <v>225826.07968058053</v>
      </c>
      <c r="R25" s="84">
        <f>IF(Q25&lt;1000000,1,0)</f>
        <v>1</v>
      </c>
      <c r="S25">
        <f>YEAR(B25)</f>
        <v>2019</v>
      </c>
    </row>
    <row r="26" spans="1:19">
      <c r="A26" t="s">
        <v>68</v>
      </c>
      <c r="B26" s="1">
        <v>44818</v>
      </c>
      <c r="C26" t="s">
        <v>16</v>
      </c>
      <c r="D26" s="3">
        <v>872394.65</v>
      </c>
      <c r="E26" t="s">
        <v>11</v>
      </c>
      <c r="F26" s="27">
        <f>D26+H26</f>
        <v>896897.03</v>
      </c>
      <c r="G26" s="86">
        <v>10000000</v>
      </c>
      <c r="H26" s="3">
        <v>24502.38</v>
      </c>
      <c r="I26" t="s">
        <v>12</v>
      </c>
      <c r="J26" t="s">
        <v>23</v>
      </c>
      <c r="K26" t="s">
        <v>19</v>
      </c>
      <c r="L26">
        <f ca="1">IF(C26="Cargo Liability",RANDBETWEEN(10000,80000),IF(C26="Collision Liability",RANDBETWEEN(20000,100000),IF(C26="Environmental Pollution",RANDBETWEEN(50000,120000),IF(C26="Damage to Other Vessels",RANDBETWEEN(15000,90000),IF(C26="Injury to Third Parties",RANDBETWEEN(5000,60000))))))</f>
        <v>15990</v>
      </c>
      <c r="M26">
        <v>2</v>
      </c>
      <c r="N26">
        <f>IF(YEAR(B26)=2023, 1.03,
   IF(YEAR(B26)=2022, 1.0506,
   IF(YEAR(B26)=2021, 1.071612,
   IF(YEAR(B26)=2020, 1.10376036,
   IF(YEAR(B26)=2019, 1.1479107744,
   IF(YEAR(B26)=2018, 1.20530631312, 1))))))</f>
        <v>1.0506</v>
      </c>
      <c r="O26" s="28">
        <f>F26*N26</f>
        <v>942280.01971799997</v>
      </c>
      <c r="P26" s="28">
        <f>O26-H26</f>
        <v>917777.63971799996</v>
      </c>
      <c r="Q26" s="30">
        <f xml:space="preserve"> MIN(P26,G26)</f>
        <v>917777.63971799996</v>
      </c>
      <c r="R26" s="84">
        <f>IF(Q26&lt;1000000,1,0)</f>
        <v>1</v>
      </c>
      <c r="S26">
        <f>YEAR(B26)</f>
        <v>2022</v>
      </c>
    </row>
    <row r="27" spans="1:19">
      <c r="A27" t="s">
        <v>69</v>
      </c>
      <c r="B27" s="1">
        <v>43223</v>
      </c>
      <c r="C27" t="s">
        <v>10</v>
      </c>
      <c r="D27" s="3">
        <v>508739.15</v>
      </c>
      <c r="E27" t="s">
        <v>11</v>
      </c>
      <c r="F27" s="27">
        <f>D27+H27</f>
        <v>520721.69</v>
      </c>
      <c r="G27" s="86">
        <v>5000000</v>
      </c>
      <c r="H27" s="3">
        <v>11982.54</v>
      </c>
      <c r="I27" t="s">
        <v>17</v>
      </c>
      <c r="J27" t="s">
        <v>38</v>
      </c>
      <c r="K27" t="s">
        <v>14</v>
      </c>
      <c r="L27">
        <f ca="1">IF(C27="Cargo Liability",RANDBETWEEN(10000,80000),IF(C27="Collision Liability",RANDBETWEEN(20000,100000),IF(C27="Environmental Pollution",RANDBETWEEN(50000,120000),IF(C27="Damage to Other Vessels",RANDBETWEEN(15000,90000),IF(C27="Injury to Third Parties",RANDBETWEEN(5000,60000))))))</f>
        <v>50513</v>
      </c>
      <c r="M27">
        <v>3</v>
      </c>
      <c r="N27">
        <f>IF(YEAR(B27)=2023, 1.03,
   IF(YEAR(B27)=2022, 1.0506,
   IF(YEAR(B27)=2021, 1.071612,
   IF(YEAR(B27)=2020, 1.10376036,
   IF(YEAR(B27)=2019, 1.1479107744,
   IF(YEAR(B27)=2018, 1.20530631312, 1))))))</f>
        <v>1.2053063131199999</v>
      </c>
      <c r="O27" s="28">
        <f>F27*N27</f>
        <v>627629.14033551549</v>
      </c>
      <c r="P27" s="28">
        <f>O27-H27</f>
        <v>615646.60033551545</v>
      </c>
      <c r="Q27" s="30">
        <f xml:space="preserve"> MIN(P27,G27)</f>
        <v>615646.60033551545</v>
      </c>
      <c r="R27" s="84">
        <f>IF(Q27&lt;1000000,1,0)</f>
        <v>1</v>
      </c>
      <c r="S27">
        <f>YEAR(B27)</f>
        <v>2018</v>
      </c>
    </row>
    <row r="28" spans="1:19">
      <c r="A28" t="s">
        <v>70</v>
      </c>
      <c r="B28" s="1">
        <v>44497</v>
      </c>
      <c r="C28" t="s">
        <v>21</v>
      </c>
      <c r="D28" s="3">
        <v>376234.78</v>
      </c>
      <c r="E28" t="s">
        <v>11</v>
      </c>
      <c r="F28" s="27">
        <f>D28+H28</f>
        <v>405983.4</v>
      </c>
      <c r="G28" s="86">
        <v>2000000</v>
      </c>
      <c r="H28" s="3">
        <v>29748.62</v>
      </c>
      <c r="I28" t="s">
        <v>22</v>
      </c>
      <c r="J28" t="s">
        <v>13</v>
      </c>
      <c r="K28" t="s">
        <v>49</v>
      </c>
      <c r="L28">
        <f ca="1">IF(C28="Cargo Liability",RANDBETWEEN(10000,80000),IF(C28="Collision Liability",RANDBETWEEN(20000,100000),IF(C28="Environmental Pollution",RANDBETWEEN(50000,120000),IF(C28="Damage to Other Vessels",RANDBETWEEN(15000,90000),IF(C28="Injury to Third Parties",RANDBETWEEN(5000,60000))))))</f>
        <v>58190</v>
      </c>
      <c r="M28">
        <v>7</v>
      </c>
      <c r="N28">
        <f>IF(YEAR(B28)=2023, 1.03,
   IF(YEAR(B28)=2022, 1.0506,
   IF(YEAR(B28)=2021, 1.071612,
   IF(YEAR(B28)=2020, 1.10376036,
   IF(YEAR(B28)=2019, 1.1479107744,
   IF(YEAR(B28)=2018, 1.20530631312, 1))))))</f>
        <v>1.071612</v>
      </c>
      <c r="O28" s="28">
        <f>F28*N28</f>
        <v>435056.68324080005</v>
      </c>
      <c r="P28" s="28">
        <f>O28-H28</f>
        <v>405308.06324080005</v>
      </c>
      <c r="Q28" s="30">
        <f xml:space="preserve"> MIN(P28,G28)</f>
        <v>405308.06324080005</v>
      </c>
      <c r="R28" s="84">
        <f>IF(Q28&lt;1000000,1,0)</f>
        <v>1</v>
      </c>
      <c r="S28">
        <f>YEAR(B28)</f>
        <v>2021</v>
      </c>
    </row>
    <row r="29" spans="1:19">
      <c r="A29" t="s">
        <v>71</v>
      </c>
      <c r="B29" s="1">
        <v>43937</v>
      </c>
      <c r="C29" t="s">
        <v>26</v>
      </c>
      <c r="D29" s="3">
        <v>129803.75</v>
      </c>
      <c r="E29" t="s">
        <v>33</v>
      </c>
      <c r="F29" s="27">
        <f>D29+H29</f>
        <v>162723.88</v>
      </c>
      <c r="G29" s="86">
        <v>1000000</v>
      </c>
      <c r="H29" s="3">
        <v>32920.129999999997</v>
      </c>
      <c r="I29" t="s">
        <v>28</v>
      </c>
      <c r="J29" t="s">
        <v>29</v>
      </c>
      <c r="K29" t="s">
        <v>72</v>
      </c>
      <c r="L29">
        <f ca="1">IF(C29="Cargo Liability",RANDBETWEEN(10000,80000),IF(C29="Collision Liability",RANDBETWEEN(20000,100000),IF(C29="Environmental Pollution",RANDBETWEEN(50000,120000),IF(C29="Damage to Other Vessels",RANDBETWEEN(15000,90000),IF(C29="Injury to Third Parties",RANDBETWEEN(5000,60000))))))</f>
        <v>73734</v>
      </c>
      <c r="M29">
        <v>4</v>
      </c>
      <c r="N29">
        <f>IF(YEAR(B29)=2023, 1.03,
   IF(YEAR(B29)=2022, 1.0506,
   IF(YEAR(B29)=2021, 1.071612,
   IF(YEAR(B29)=2020, 1.10376036,
   IF(YEAR(B29)=2019, 1.1479107744,
   IF(YEAR(B29)=2018, 1.20530631312, 1))))))</f>
        <v>1.1037603600000001</v>
      </c>
      <c r="O29" s="28">
        <f>F29*N29</f>
        <v>179608.16836939682</v>
      </c>
      <c r="P29" s="28">
        <f>O29-H29</f>
        <v>146688.03836939682</v>
      </c>
      <c r="Q29" s="30">
        <f xml:space="preserve"> MIN(P29,G29)</f>
        <v>146688.03836939682</v>
      </c>
      <c r="R29" s="84">
        <f>IF(Q29&lt;1000000,1,0)</f>
        <v>1</v>
      </c>
      <c r="S29">
        <f>YEAR(B29)</f>
        <v>2020</v>
      </c>
    </row>
    <row r="30" spans="1:19">
      <c r="A30" t="s">
        <v>73</v>
      </c>
      <c r="B30" s="1">
        <v>45114</v>
      </c>
      <c r="C30" t="s">
        <v>16</v>
      </c>
      <c r="D30" s="3">
        <v>731235.83999999997</v>
      </c>
      <c r="E30" t="s">
        <v>11</v>
      </c>
      <c r="F30" s="27">
        <f>D30+H30</f>
        <v>750172.09</v>
      </c>
      <c r="G30" s="86">
        <v>5000000</v>
      </c>
      <c r="H30" s="3">
        <v>18936.25</v>
      </c>
      <c r="I30" t="s">
        <v>17</v>
      </c>
      <c r="J30" t="s">
        <v>18</v>
      </c>
      <c r="K30" t="s">
        <v>55</v>
      </c>
      <c r="L30">
        <f ca="1">IF(C30="Cargo Liability",RANDBETWEEN(10000,80000),IF(C30="Collision Liability",RANDBETWEEN(20000,100000),IF(C30="Environmental Pollution",RANDBETWEEN(50000,120000),IF(C30="Damage to Other Vessels",RANDBETWEEN(15000,90000),IF(C30="Injury to Third Parties",RANDBETWEEN(5000,60000))))))</f>
        <v>79461</v>
      </c>
      <c r="M30">
        <v>2</v>
      </c>
      <c r="N30">
        <f>IF(YEAR(B30)=2023, 1.03,
   IF(YEAR(B30)=2022, 1.0506,
   IF(YEAR(B30)=2021, 1.071612,
   IF(YEAR(B30)=2020, 1.10376036,
   IF(YEAR(B30)=2019, 1.1479107744,
   IF(YEAR(B30)=2018, 1.20530631312, 1))))))</f>
        <v>1.03</v>
      </c>
      <c r="O30" s="28">
        <f>F30*N30</f>
        <v>772677.25269999995</v>
      </c>
      <c r="P30" s="28">
        <f>O30-H30</f>
        <v>753741.00269999995</v>
      </c>
      <c r="Q30" s="30">
        <f xml:space="preserve"> MIN(P30,G30)</f>
        <v>753741.00269999995</v>
      </c>
      <c r="R30" s="84">
        <f>IF(Q30&lt;1000000,1,0)</f>
        <v>1</v>
      </c>
      <c r="S30">
        <f>YEAR(B30)</f>
        <v>2023</v>
      </c>
    </row>
    <row r="31" spans="1:19">
      <c r="A31" t="s">
        <v>74</v>
      </c>
      <c r="B31" s="1">
        <v>43487</v>
      </c>
      <c r="C31" t="s">
        <v>10</v>
      </c>
      <c r="D31" s="3">
        <v>158924.78</v>
      </c>
      <c r="E31" t="s">
        <v>11</v>
      </c>
      <c r="F31" s="27">
        <f>D31+H31</f>
        <v>174653.73</v>
      </c>
      <c r="G31" s="86">
        <v>1000000</v>
      </c>
      <c r="H31" s="3">
        <v>15728.95</v>
      </c>
      <c r="I31" t="s">
        <v>12</v>
      </c>
      <c r="J31" t="s">
        <v>38</v>
      </c>
      <c r="K31" t="s">
        <v>57</v>
      </c>
      <c r="L31">
        <f ca="1">IF(C31="Cargo Liability",RANDBETWEEN(10000,80000),IF(C31="Collision Liability",RANDBETWEEN(20000,100000),IF(C31="Environmental Pollution",RANDBETWEEN(50000,120000),IF(C31="Damage to Other Vessels",RANDBETWEEN(15000,90000),IF(C31="Injury to Third Parties",RANDBETWEEN(5000,60000))))))</f>
        <v>25302</v>
      </c>
      <c r="M31">
        <v>6</v>
      </c>
      <c r="N31">
        <f>IF(YEAR(B31)=2023, 1.03,
   IF(YEAR(B31)=2022, 1.0506,
   IF(YEAR(B31)=2021, 1.071612,
   IF(YEAR(B31)=2020, 1.10376036,
   IF(YEAR(B31)=2019, 1.1479107744,
   IF(YEAR(B31)=2018, 1.20530631312, 1))))))</f>
        <v>1.1479107743999999</v>
      </c>
      <c r="O31" s="28">
        <f>F31*N31</f>
        <v>200486.89845614851</v>
      </c>
      <c r="P31" s="28">
        <f>O31-H31</f>
        <v>184757.9484561485</v>
      </c>
      <c r="Q31" s="30">
        <f xml:space="preserve"> MIN(P31,G31)</f>
        <v>184757.9484561485</v>
      </c>
      <c r="R31" s="84">
        <f>IF(Q31&lt;1000000,1,0)</f>
        <v>1</v>
      </c>
      <c r="S31">
        <f>YEAR(B31)</f>
        <v>2019</v>
      </c>
    </row>
    <row r="32" spans="1:19">
      <c r="A32" t="s">
        <v>75</v>
      </c>
      <c r="B32" s="1">
        <v>44874</v>
      </c>
      <c r="C32" t="s">
        <v>21</v>
      </c>
      <c r="D32" s="3">
        <v>439832.24</v>
      </c>
      <c r="E32" t="s">
        <v>11</v>
      </c>
      <c r="F32" s="27">
        <f>D32+H32</f>
        <v>471636.18</v>
      </c>
      <c r="G32" s="86">
        <v>2000000</v>
      </c>
      <c r="H32" s="3">
        <v>31803.94</v>
      </c>
      <c r="I32" t="s">
        <v>22</v>
      </c>
      <c r="J32" t="s">
        <v>18</v>
      </c>
      <c r="K32" t="s">
        <v>76</v>
      </c>
      <c r="L32">
        <f ca="1">IF(C32="Cargo Liability",RANDBETWEEN(10000,80000),IF(C32="Collision Liability",RANDBETWEEN(20000,100000),IF(C32="Environmental Pollution",RANDBETWEEN(50000,120000),IF(C32="Damage to Other Vessels",RANDBETWEEN(15000,90000),IF(C32="Injury to Third Parties",RANDBETWEEN(5000,60000))))))</f>
        <v>57297</v>
      </c>
      <c r="M32">
        <v>8</v>
      </c>
      <c r="N32">
        <f>IF(YEAR(B32)=2023, 1.03,
   IF(YEAR(B32)=2022, 1.0506,
   IF(YEAR(B32)=2021, 1.071612,
   IF(YEAR(B32)=2020, 1.10376036,
   IF(YEAR(B32)=2019, 1.1479107744,
   IF(YEAR(B32)=2018, 1.20530631312, 1))))))</f>
        <v>1.0506</v>
      </c>
      <c r="O32" s="28">
        <f>F32*N32</f>
        <v>495500.97070800001</v>
      </c>
      <c r="P32" s="28">
        <f>O32-H32</f>
        <v>463697.03070800001</v>
      </c>
      <c r="Q32" s="30">
        <f xml:space="preserve"> MIN(P32,G32)</f>
        <v>463697.03070800001</v>
      </c>
      <c r="R32" s="84">
        <f>IF(Q32&lt;1000000,1,0)</f>
        <v>1</v>
      </c>
      <c r="S32">
        <f>YEAR(B32)</f>
        <v>2022</v>
      </c>
    </row>
    <row r="33" spans="1:19">
      <c r="A33" t="s">
        <v>77</v>
      </c>
      <c r="B33" s="1">
        <v>44056</v>
      </c>
      <c r="C33" t="s">
        <v>26</v>
      </c>
      <c r="D33" s="3">
        <v>690239.58</v>
      </c>
      <c r="E33" t="s">
        <v>33</v>
      </c>
      <c r="F33" s="27">
        <f>D33+H33</f>
        <v>717632.12</v>
      </c>
      <c r="G33" s="86">
        <v>5000000</v>
      </c>
      <c r="H33" s="3">
        <v>27392.54</v>
      </c>
      <c r="I33" t="s">
        <v>28</v>
      </c>
      <c r="J33" t="s">
        <v>23</v>
      </c>
      <c r="K33" t="s">
        <v>36</v>
      </c>
      <c r="L33">
        <f ca="1">IF(C33="Cargo Liability",RANDBETWEEN(10000,80000),IF(C33="Collision Liability",RANDBETWEEN(20000,100000),IF(C33="Environmental Pollution",RANDBETWEEN(50000,120000),IF(C33="Damage to Other Vessels",RANDBETWEEN(15000,90000),IF(C33="Injury to Third Parties",RANDBETWEEN(5000,60000))))))</f>
        <v>114177</v>
      </c>
      <c r="M33">
        <v>7</v>
      </c>
      <c r="N33">
        <f>IF(YEAR(B33)=2023, 1.03,
   IF(YEAR(B33)=2022, 1.0506,
   IF(YEAR(B33)=2021, 1.071612,
   IF(YEAR(B33)=2020, 1.10376036,
   IF(YEAR(B33)=2019, 1.1479107744,
   IF(YEAR(B33)=2018, 1.20530631312, 1))))))</f>
        <v>1.1037603600000001</v>
      </c>
      <c r="O33" s="28">
        <f>F33*N33</f>
        <v>792093.88711876329</v>
      </c>
      <c r="P33" s="28">
        <f>O33-H33</f>
        <v>764701.34711876325</v>
      </c>
      <c r="Q33" s="30">
        <f xml:space="preserve"> MIN(P33,G33)</f>
        <v>764701.34711876325</v>
      </c>
      <c r="R33" s="84">
        <f>IF(Q33&lt;1000000,1,0)</f>
        <v>1</v>
      </c>
      <c r="S33">
        <f>YEAR(B33)</f>
        <v>2020</v>
      </c>
    </row>
    <row r="34" spans="1:19">
      <c r="A34" t="s">
        <v>78</v>
      </c>
      <c r="B34" s="1">
        <v>44350</v>
      </c>
      <c r="C34" t="s">
        <v>32</v>
      </c>
      <c r="D34" s="3">
        <v>215983.48</v>
      </c>
      <c r="E34" t="s">
        <v>11</v>
      </c>
      <c r="F34" s="27">
        <f>D34+H34</f>
        <v>236967.86000000002</v>
      </c>
      <c r="G34" s="86">
        <v>2000000</v>
      </c>
      <c r="H34" s="3">
        <v>20984.38</v>
      </c>
      <c r="I34" t="s">
        <v>17</v>
      </c>
      <c r="J34" t="s">
        <v>13</v>
      </c>
      <c r="K34" t="s">
        <v>53</v>
      </c>
      <c r="L34">
        <f ca="1">IF(C34="Cargo Liability",RANDBETWEEN(10000,80000),IF(C34="Collision Liability",RANDBETWEEN(20000,100000),IF(C34="Environmental Pollution",RANDBETWEEN(50000,120000),IF(C34="Damage to Other Vessels",RANDBETWEEN(15000,90000),IF(C34="Injury to Third Parties",RANDBETWEEN(5000,60000))))))</f>
        <v>46045</v>
      </c>
      <c r="M34">
        <v>4</v>
      </c>
      <c r="N34">
        <f>IF(YEAR(B34)=2023, 1.03,
   IF(YEAR(B34)=2022, 1.0506,
   IF(YEAR(B34)=2021, 1.071612,
   IF(YEAR(B34)=2020, 1.10376036,
   IF(YEAR(B34)=2019, 1.1479107744,
   IF(YEAR(B34)=2018, 1.20530631312, 1))))))</f>
        <v>1.071612</v>
      </c>
      <c r="O34" s="28">
        <f>F34*N34</f>
        <v>253937.60239032001</v>
      </c>
      <c r="P34" s="28">
        <f>O34-H34</f>
        <v>232953.22239032001</v>
      </c>
      <c r="Q34" s="30">
        <f xml:space="preserve"> MIN(P34,G34)</f>
        <v>232953.22239032001</v>
      </c>
      <c r="R34" s="84">
        <f>IF(Q34&lt;1000000,1,0)</f>
        <v>1</v>
      </c>
      <c r="S34">
        <f>YEAR(B34)</f>
        <v>2021</v>
      </c>
    </row>
    <row r="35" spans="1:19">
      <c r="A35" t="s">
        <v>79</v>
      </c>
      <c r="B35" s="1">
        <v>43785</v>
      </c>
      <c r="C35" t="s">
        <v>10</v>
      </c>
      <c r="D35" s="3">
        <v>507983.42</v>
      </c>
      <c r="E35" t="s">
        <v>27</v>
      </c>
      <c r="F35" s="27">
        <f>D35+H35</f>
        <v>543166.67999999993</v>
      </c>
      <c r="G35" s="86">
        <v>5000000</v>
      </c>
      <c r="H35" s="3">
        <v>35183.26</v>
      </c>
      <c r="I35" t="s">
        <v>12</v>
      </c>
      <c r="J35" t="s">
        <v>29</v>
      </c>
      <c r="K35" t="s">
        <v>43</v>
      </c>
      <c r="L35">
        <f ca="1">IF(C35="Cargo Liability",RANDBETWEEN(10000,80000),IF(C35="Collision Liability",RANDBETWEEN(20000,100000),IF(C35="Environmental Pollution",RANDBETWEEN(50000,120000),IF(C35="Damage to Other Vessels",RANDBETWEEN(15000,90000),IF(C35="Injury to Third Parties",RANDBETWEEN(5000,60000))))))</f>
        <v>59649</v>
      </c>
      <c r="M35">
        <v>2</v>
      </c>
      <c r="N35">
        <f>IF(YEAR(B35)=2023, 1.03,
   IF(YEAR(B35)=2022, 1.0506,
   IF(YEAR(B35)=2021, 1.071612,
   IF(YEAR(B35)=2020, 1.10376036,
   IF(YEAR(B35)=2019, 1.1479107744,
   IF(YEAR(B35)=2018, 1.20530631312, 1))))))</f>
        <v>1.1479107743999999</v>
      </c>
      <c r="O35" s="28">
        <f>F35*N35</f>
        <v>623506.88426707685</v>
      </c>
      <c r="P35" s="28">
        <f>O35-H35</f>
        <v>588323.62426707684</v>
      </c>
      <c r="Q35" s="30">
        <f xml:space="preserve"> MIN(P35,G35)</f>
        <v>588323.62426707684</v>
      </c>
      <c r="R35" s="84">
        <f>IF(Q35&lt;1000000,1,0)</f>
        <v>1</v>
      </c>
      <c r="S35">
        <f>YEAR(B35)</f>
        <v>2019</v>
      </c>
    </row>
    <row r="36" spans="1:19">
      <c r="A36" t="s">
        <v>80</v>
      </c>
      <c r="B36" s="1">
        <v>43463</v>
      </c>
      <c r="C36" t="s">
        <v>21</v>
      </c>
      <c r="D36" s="3">
        <v>451973.22</v>
      </c>
      <c r="E36" t="s">
        <v>11</v>
      </c>
      <c r="F36" s="27">
        <f>D36+H36</f>
        <v>480319.12999999995</v>
      </c>
      <c r="G36" s="86">
        <v>500000</v>
      </c>
      <c r="H36" s="3">
        <v>28345.91</v>
      </c>
      <c r="I36" t="s">
        <v>22</v>
      </c>
      <c r="J36" t="s">
        <v>23</v>
      </c>
      <c r="K36" t="s">
        <v>41</v>
      </c>
      <c r="L36">
        <f ca="1">IF(C36="Cargo Liability",RANDBETWEEN(10000,80000),IF(C36="Collision Liability",RANDBETWEEN(20000,100000),IF(C36="Environmental Pollution",RANDBETWEEN(50000,120000),IF(C36="Damage to Other Vessels",RANDBETWEEN(15000,90000),IF(C36="Injury to Third Parties",RANDBETWEEN(5000,60000))))))</f>
        <v>37576</v>
      </c>
      <c r="M36">
        <v>4</v>
      </c>
      <c r="N36">
        <f>IF(YEAR(B36)=2023, 1.03,
   IF(YEAR(B36)=2022, 1.0506,
   IF(YEAR(B36)=2021, 1.071612,
   IF(YEAR(B36)=2020, 1.10376036,
   IF(YEAR(B36)=2019, 1.1479107744,
   IF(YEAR(B36)=2018, 1.20530631312, 1))))))</f>
        <v>1.2053063131199999</v>
      </c>
      <c r="O36" s="28">
        <f>F36*N36</f>
        <v>578931.67970130593</v>
      </c>
      <c r="P36" s="28">
        <f>O36-H36</f>
        <v>550585.76970130589</v>
      </c>
      <c r="Q36" s="30">
        <f xml:space="preserve"> MIN(P36,G36)</f>
        <v>500000</v>
      </c>
      <c r="R36" s="84">
        <f>IF(Q36&lt;1000000,1,0)</f>
        <v>1</v>
      </c>
      <c r="S36">
        <f>YEAR(B36)</f>
        <v>2018</v>
      </c>
    </row>
    <row r="37" spans="1:19">
      <c r="A37" t="s">
        <v>82</v>
      </c>
      <c r="B37" s="1">
        <v>44423</v>
      </c>
      <c r="C37" t="s">
        <v>16</v>
      </c>
      <c r="D37" s="3">
        <v>289524.33</v>
      </c>
      <c r="E37" t="s">
        <v>11</v>
      </c>
      <c r="F37" s="27">
        <f>D37+H37</f>
        <v>314363.61</v>
      </c>
      <c r="G37" s="86">
        <v>2000000</v>
      </c>
      <c r="H37" s="3">
        <v>24839.279999999999</v>
      </c>
      <c r="I37" t="s">
        <v>17</v>
      </c>
      <c r="J37" t="s">
        <v>18</v>
      </c>
      <c r="K37" t="s">
        <v>47</v>
      </c>
      <c r="L37">
        <f ca="1">IF(C37="Cargo Liability",RANDBETWEEN(10000,80000),IF(C37="Collision Liability",RANDBETWEEN(20000,100000),IF(C37="Environmental Pollution",RANDBETWEEN(50000,120000),IF(C37="Damage to Other Vessels",RANDBETWEEN(15000,90000),IF(C37="Injury to Third Parties",RANDBETWEEN(5000,60000))))))</f>
        <v>44660</v>
      </c>
      <c r="M37">
        <v>3</v>
      </c>
      <c r="N37">
        <f>IF(YEAR(B37)=2023, 1.03,
   IF(YEAR(B37)=2022, 1.0506,
   IF(YEAR(B37)=2021, 1.071612,
   IF(YEAR(B37)=2020, 1.10376036,
   IF(YEAR(B37)=2019, 1.1479107744,
   IF(YEAR(B37)=2018, 1.20530631312, 1))))))</f>
        <v>1.071612</v>
      </c>
      <c r="O37" s="28">
        <f>F37*N37</f>
        <v>336875.81683932</v>
      </c>
      <c r="P37" s="28">
        <f>O37-H37</f>
        <v>312036.53683931998</v>
      </c>
      <c r="Q37" s="30">
        <f xml:space="preserve"> MIN(P37,G37)</f>
        <v>312036.53683931998</v>
      </c>
      <c r="R37" s="84">
        <f>IF(Q37&lt;1000000,1,0)</f>
        <v>1</v>
      </c>
      <c r="S37">
        <f>YEAR(B37)</f>
        <v>2021</v>
      </c>
    </row>
    <row r="38" spans="1:19">
      <c r="A38" t="s">
        <v>83</v>
      </c>
      <c r="B38" s="1">
        <v>43867</v>
      </c>
      <c r="C38" t="s">
        <v>26</v>
      </c>
      <c r="D38" s="3">
        <v>674832.75</v>
      </c>
      <c r="E38" t="s">
        <v>27</v>
      </c>
      <c r="F38" s="27">
        <f>D38+H38</f>
        <v>716116.29</v>
      </c>
      <c r="G38" s="86">
        <v>5000000</v>
      </c>
      <c r="H38" s="3">
        <v>41283.54</v>
      </c>
      <c r="I38" t="s">
        <v>28</v>
      </c>
      <c r="J38" t="s">
        <v>29</v>
      </c>
      <c r="K38" t="s">
        <v>34</v>
      </c>
      <c r="L38">
        <f ca="1">IF(C38="Cargo Liability",RANDBETWEEN(10000,80000),IF(C38="Collision Liability",RANDBETWEEN(20000,100000),IF(C38="Environmental Pollution",RANDBETWEEN(50000,120000),IF(C38="Damage to Other Vessels",RANDBETWEEN(15000,90000),IF(C38="Injury to Third Parties",RANDBETWEEN(5000,60000))))))</f>
        <v>116703</v>
      </c>
      <c r="M38">
        <v>5</v>
      </c>
      <c r="N38">
        <f>IF(YEAR(B38)=2023, 1.03,
   IF(YEAR(B38)=2022, 1.0506,
   IF(YEAR(B38)=2021, 1.071612,
   IF(YEAR(B38)=2020, 1.10376036,
   IF(YEAR(B38)=2019, 1.1479107744,
   IF(YEAR(B38)=2018, 1.20530631312, 1))))))</f>
        <v>1.1037603600000001</v>
      </c>
      <c r="O38" s="28">
        <f>F38*N38</f>
        <v>790420.77405226452</v>
      </c>
      <c r="P38" s="28">
        <f>O38-H38</f>
        <v>749137.23405226448</v>
      </c>
      <c r="Q38" s="30">
        <f xml:space="preserve"> MIN(P38,G38)</f>
        <v>749137.23405226448</v>
      </c>
      <c r="R38" s="84">
        <f>IF(Q38&lt;1000000,1,0)</f>
        <v>1</v>
      </c>
      <c r="S38">
        <f>YEAR(B38)</f>
        <v>2020</v>
      </c>
    </row>
    <row r="39" spans="1:19">
      <c r="A39" t="s">
        <v>84</v>
      </c>
      <c r="B39" s="1">
        <v>45027</v>
      </c>
      <c r="C39" t="s">
        <v>32</v>
      </c>
      <c r="D39" s="3">
        <v>289523.34000000003</v>
      </c>
      <c r="E39" t="s">
        <v>33</v>
      </c>
      <c r="F39" s="27">
        <f>D39+H39</f>
        <v>316918.08</v>
      </c>
      <c r="G39" s="86">
        <v>2000000</v>
      </c>
      <c r="H39" s="3">
        <v>27394.74</v>
      </c>
      <c r="I39" t="s">
        <v>12</v>
      </c>
      <c r="J39" t="s">
        <v>38</v>
      </c>
      <c r="K39" t="s">
        <v>65</v>
      </c>
      <c r="L39">
        <f ca="1">IF(C39="Cargo Liability",RANDBETWEEN(10000,80000),IF(C39="Collision Liability",RANDBETWEEN(20000,100000),IF(C39="Environmental Pollution",RANDBETWEEN(50000,120000),IF(C39="Damage to Other Vessels",RANDBETWEEN(15000,90000),IF(C39="Injury to Third Parties",RANDBETWEEN(5000,60000))))))</f>
        <v>48185</v>
      </c>
      <c r="M39">
        <v>8</v>
      </c>
      <c r="N39">
        <f>IF(YEAR(B39)=2023, 1.03,
   IF(YEAR(B39)=2022, 1.0506,
   IF(YEAR(B39)=2021, 1.071612,
   IF(YEAR(B39)=2020, 1.10376036,
   IF(YEAR(B39)=2019, 1.1479107744,
   IF(YEAR(B39)=2018, 1.20530631312, 1))))))</f>
        <v>1.03</v>
      </c>
      <c r="O39" s="28">
        <f>F39*N39</f>
        <v>326425.62240000005</v>
      </c>
      <c r="P39" s="28">
        <f>O39-H39</f>
        <v>299030.88240000006</v>
      </c>
      <c r="Q39" s="30">
        <f xml:space="preserve"> MIN(P39,G39)</f>
        <v>299030.88240000006</v>
      </c>
      <c r="R39" s="84">
        <f>IF(Q39&lt;1000000,1,0)</f>
        <v>1</v>
      </c>
      <c r="S39">
        <f>YEAR(B39)</f>
        <v>2023</v>
      </c>
    </row>
    <row r="40" spans="1:19">
      <c r="A40" t="s">
        <v>85</v>
      </c>
      <c r="B40" s="1">
        <v>44571</v>
      </c>
      <c r="C40" t="s">
        <v>10</v>
      </c>
      <c r="D40" s="3">
        <v>492783.45</v>
      </c>
      <c r="E40" t="s">
        <v>11</v>
      </c>
      <c r="F40" s="27">
        <f>D40+H40</f>
        <v>512067.73</v>
      </c>
      <c r="G40" s="86">
        <v>2000000</v>
      </c>
      <c r="H40" s="3">
        <v>19284.28</v>
      </c>
      <c r="I40" t="s">
        <v>17</v>
      </c>
      <c r="J40" t="s">
        <v>13</v>
      </c>
      <c r="K40" t="s">
        <v>39</v>
      </c>
      <c r="L40">
        <f ca="1">IF(C40="Cargo Liability",RANDBETWEEN(10000,80000),IF(C40="Collision Liability",RANDBETWEEN(20000,100000),IF(C40="Environmental Pollution",RANDBETWEEN(50000,120000),IF(C40="Damage to Other Vessels",RANDBETWEEN(15000,90000),IF(C40="Injury to Third Parties",RANDBETWEEN(5000,60000))))))</f>
        <v>57271</v>
      </c>
      <c r="M40">
        <v>6</v>
      </c>
      <c r="N40">
        <f>IF(YEAR(B40)=2023, 1.03,
   IF(YEAR(B40)=2022, 1.0506,
   IF(YEAR(B40)=2021, 1.071612,
   IF(YEAR(B40)=2020, 1.10376036,
   IF(YEAR(B40)=2019, 1.1479107744,
   IF(YEAR(B40)=2018, 1.20530631312, 1))))))</f>
        <v>1.0506</v>
      </c>
      <c r="O40" s="28">
        <f>F40*N40</f>
        <v>537978.35713799996</v>
      </c>
      <c r="P40" s="28">
        <f>O40-H40</f>
        <v>518694.07713799994</v>
      </c>
      <c r="Q40" s="30">
        <f xml:space="preserve"> MIN(P40,G40)</f>
        <v>518694.07713799994</v>
      </c>
      <c r="R40" s="84">
        <f>IF(Q40&lt;1000000,1,0)</f>
        <v>1</v>
      </c>
      <c r="S40">
        <f>YEAR(B40)</f>
        <v>2022</v>
      </c>
    </row>
    <row r="41" spans="1:19">
      <c r="A41" t="s">
        <v>86</v>
      </c>
      <c r="B41" s="1">
        <v>43711</v>
      </c>
      <c r="C41" t="s">
        <v>21</v>
      </c>
      <c r="D41" s="3">
        <v>812739.57</v>
      </c>
      <c r="E41" t="s">
        <v>11</v>
      </c>
      <c r="F41" s="27">
        <f>D41+H41</f>
        <v>851033.0199999999</v>
      </c>
      <c r="G41" s="86">
        <v>5000000</v>
      </c>
      <c r="H41" s="3">
        <v>38293.449999999997</v>
      </c>
      <c r="I41" t="s">
        <v>22</v>
      </c>
      <c r="J41" t="s">
        <v>38</v>
      </c>
      <c r="K41" t="s">
        <v>72</v>
      </c>
      <c r="L41">
        <f ca="1">IF(C41="Cargo Liability",RANDBETWEEN(10000,80000),IF(C41="Collision Liability",RANDBETWEEN(20000,100000),IF(C41="Environmental Pollution",RANDBETWEEN(50000,120000),IF(C41="Damage to Other Vessels",RANDBETWEEN(15000,90000),IF(C41="Injury to Third Parties",RANDBETWEEN(5000,60000))))))</f>
        <v>15469</v>
      </c>
      <c r="M41">
        <v>7</v>
      </c>
      <c r="N41">
        <f>IF(YEAR(B41)=2023, 1.03,
   IF(YEAR(B41)=2022, 1.0506,
   IF(YEAR(B41)=2021, 1.071612,
   IF(YEAR(B41)=2020, 1.10376036,
   IF(YEAR(B41)=2019, 1.1479107744,
   IF(YEAR(B41)=2018, 1.20530631312, 1))))))</f>
        <v>1.1479107743999999</v>
      </c>
      <c r="O41" s="28">
        <f>F41*N41</f>
        <v>976909.97302817053</v>
      </c>
      <c r="P41" s="28">
        <f>O41-H41</f>
        <v>938616.52302817057</v>
      </c>
      <c r="Q41" s="30">
        <f xml:space="preserve"> MIN(P41,G41)</f>
        <v>938616.52302817057</v>
      </c>
      <c r="R41" s="84">
        <f>IF(Q41&lt;1000000,1,0)</f>
        <v>1</v>
      </c>
      <c r="S41">
        <f>YEAR(B41)</f>
        <v>2019</v>
      </c>
    </row>
    <row r="42" spans="1:19">
      <c r="A42" t="s">
        <v>87</v>
      </c>
      <c r="B42" s="1">
        <v>44514</v>
      </c>
      <c r="C42" t="s">
        <v>26</v>
      </c>
      <c r="D42" s="3">
        <v>523987.21</v>
      </c>
      <c r="E42" t="s">
        <v>27</v>
      </c>
      <c r="F42" s="27">
        <f>D42+H42</f>
        <v>549880.48</v>
      </c>
      <c r="G42" s="86">
        <v>5000000</v>
      </c>
      <c r="H42" s="3">
        <v>25893.27</v>
      </c>
      <c r="I42" t="s">
        <v>28</v>
      </c>
      <c r="J42" t="s">
        <v>18</v>
      </c>
      <c r="K42" t="s">
        <v>45</v>
      </c>
      <c r="L42">
        <f ca="1">IF(C42="Cargo Liability",RANDBETWEEN(10000,80000),IF(C42="Collision Liability",RANDBETWEEN(20000,100000),IF(C42="Environmental Pollution",RANDBETWEEN(50000,120000),IF(C42="Damage to Other Vessels",RANDBETWEEN(15000,90000),IF(C42="Injury to Third Parties",RANDBETWEEN(5000,60000))))))</f>
        <v>87350</v>
      </c>
      <c r="M42">
        <v>2</v>
      </c>
      <c r="N42">
        <f>IF(YEAR(B42)=2023, 1.03,
   IF(YEAR(B42)=2022, 1.0506,
   IF(YEAR(B42)=2021, 1.071612,
   IF(YEAR(B42)=2020, 1.10376036,
   IF(YEAR(B42)=2019, 1.1479107744,
   IF(YEAR(B42)=2018, 1.20530631312, 1))))))</f>
        <v>1.071612</v>
      </c>
      <c r="O42" s="28">
        <f>F42*N42</f>
        <v>589258.52093375998</v>
      </c>
      <c r="P42" s="28">
        <f>O42-H42</f>
        <v>563365.25093375996</v>
      </c>
      <c r="Q42" s="30">
        <f xml:space="preserve"> MIN(P42,G42)</f>
        <v>563365.25093375996</v>
      </c>
      <c r="R42" s="84">
        <f>IF(Q42&lt;1000000,1,0)</f>
        <v>1</v>
      </c>
      <c r="S42">
        <f>YEAR(B42)</f>
        <v>2021</v>
      </c>
    </row>
    <row r="43" spans="1:19">
      <c r="A43" t="s">
        <v>88</v>
      </c>
      <c r="B43" s="1">
        <v>44985</v>
      </c>
      <c r="C43" t="s">
        <v>16</v>
      </c>
      <c r="D43" s="3">
        <v>392873.65</v>
      </c>
      <c r="E43" t="s">
        <v>11</v>
      </c>
      <c r="F43" s="27">
        <f>D43+H43</f>
        <v>424721.10000000003</v>
      </c>
      <c r="G43" s="86">
        <v>2000000</v>
      </c>
      <c r="H43" s="3">
        <v>31847.45</v>
      </c>
      <c r="I43" t="s">
        <v>17</v>
      </c>
      <c r="J43" t="s">
        <v>23</v>
      </c>
      <c r="K43" t="s">
        <v>19</v>
      </c>
      <c r="L43">
        <f ca="1">IF(C43="Cargo Liability",RANDBETWEEN(10000,80000),IF(C43="Collision Liability",RANDBETWEEN(20000,100000),IF(C43="Environmental Pollution",RANDBETWEEN(50000,120000),IF(C43="Damage to Other Vessels",RANDBETWEEN(15000,90000),IF(C43="Injury to Third Parties",RANDBETWEEN(5000,60000))))))</f>
        <v>44389</v>
      </c>
      <c r="M43">
        <v>5</v>
      </c>
      <c r="N43">
        <f>IF(YEAR(B43)=2023, 1.03,
   IF(YEAR(B43)=2022, 1.0506,
   IF(YEAR(B43)=2021, 1.071612,
   IF(YEAR(B43)=2020, 1.10376036,
   IF(YEAR(B43)=2019, 1.1479107744,
   IF(YEAR(B43)=2018, 1.20530631312, 1))))))</f>
        <v>1.03</v>
      </c>
      <c r="O43" s="28">
        <f>F43*N43</f>
        <v>437462.73300000007</v>
      </c>
      <c r="P43" s="28">
        <f>O43-H43</f>
        <v>405615.28300000005</v>
      </c>
      <c r="Q43" s="30">
        <f xml:space="preserve"> MIN(P43,G43)</f>
        <v>405615.28300000005</v>
      </c>
      <c r="R43" s="84">
        <f>IF(Q43&lt;1000000,1,0)</f>
        <v>1</v>
      </c>
      <c r="S43">
        <f>YEAR(B43)</f>
        <v>2023</v>
      </c>
    </row>
    <row r="44" spans="1:19">
      <c r="A44" t="s">
        <v>89</v>
      </c>
      <c r="B44" s="1">
        <v>44033</v>
      </c>
      <c r="C44" t="s">
        <v>32</v>
      </c>
      <c r="D44" s="3">
        <v>539278.54</v>
      </c>
      <c r="E44" t="s">
        <v>11</v>
      </c>
      <c r="F44" s="27">
        <f>D44+H44</f>
        <v>557573.29</v>
      </c>
      <c r="G44" s="86">
        <v>5000000</v>
      </c>
      <c r="H44" s="3">
        <v>18294.75</v>
      </c>
      <c r="I44" t="s">
        <v>12</v>
      </c>
      <c r="J44" t="s">
        <v>29</v>
      </c>
      <c r="K44" t="s">
        <v>59</v>
      </c>
      <c r="L44">
        <f ca="1">IF(C44="Cargo Liability",RANDBETWEEN(10000,80000),IF(C44="Collision Liability",RANDBETWEEN(20000,100000),IF(C44="Environmental Pollution",RANDBETWEEN(50000,120000),IF(C44="Damage to Other Vessels",RANDBETWEEN(15000,90000),IF(C44="Injury to Third Parties",RANDBETWEEN(5000,60000))))))</f>
        <v>30870</v>
      </c>
      <c r="M44">
        <v>3</v>
      </c>
      <c r="N44">
        <f>IF(YEAR(B44)=2023, 1.03,
   IF(YEAR(B44)=2022, 1.0506,
   IF(YEAR(B44)=2021, 1.071612,
   IF(YEAR(B44)=2020, 1.10376036,
   IF(YEAR(B44)=2019, 1.1479107744,
   IF(YEAR(B44)=2018, 1.20530631312, 1))))))</f>
        <v>1.1037603600000001</v>
      </c>
      <c r="O44" s="28">
        <f>F44*N44</f>
        <v>615427.29529678449</v>
      </c>
      <c r="P44" s="28">
        <f>O44-H44</f>
        <v>597132.54529678449</v>
      </c>
      <c r="Q44" s="30">
        <f xml:space="preserve"> MIN(P44,G44)</f>
        <v>597132.54529678449</v>
      </c>
      <c r="R44" s="84">
        <f>IF(Q44&lt;1000000,1,0)</f>
        <v>1</v>
      </c>
      <c r="S44">
        <f>YEAR(B44)</f>
        <v>2020</v>
      </c>
    </row>
    <row r="45" spans="1:19">
      <c r="A45" t="s">
        <v>90</v>
      </c>
      <c r="B45" s="1">
        <v>43178</v>
      </c>
      <c r="C45" t="s">
        <v>10</v>
      </c>
      <c r="D45" s="3">
        <v>283973.44</v>
      </c>
      <c r="E45" t="s">
        <v>27</v>
      </c>
      <c r="F45" s="27">
        <f>D45+H45</f>
        <v>300456.98</v>
      </c>
      <c r="G45" s="86">
        <v>2000000</v>
      </c>
      <c r="H45" s="3">
        <v>16483.54</v>
      </c>
      <c r="I45" t="s">
        <v>12</v>
      </c>
      <c r="J45" t="s">
        <v>13</v>
      </c>
      <c r="K45" t="s">
        <v>14</v>
      </c>
      <c r="L45">
        <f ca="1">IF(C45="Cargo Liability",RANDBETWEEN(10000,80000),IF(C45="Collision Liability",RANDBETWEEN(20000,100000),IF(C45="Environmental Pollution",RANDBETWEEN(50000,120000),IF(C45="Damage to Other Vessels",RANDBETWEEN(15000,90000),IF(C45="Injury to Third Parties",RANDBETWEEN(5000,60000))))))</f>
        <v>91753</v>
      </c>
      <c r="M45">
        <v>4</v>
      </c>
      <c r="N45">
        <f>IF(YEAR(B45)=2023, 1.03,
   IF(YEAR(B45)=2022, 1.0506,
   IF(YEAR(B45)=2021, 1.071612,
   IF(YEAR(B45)=2020, 1.10376036,
   IF(YEAR(B45)=2019, 1.1479107744,
   IF(YEAR(B45)=2018, 1.20530631312, 1))))))</f>
        <v>1.2053063131199999</v>
      </c>
      <c r="O45" s="28">
        <f>F45*N45</f>
        <v>362142.69481496955</v>
      </c>
      <c r="P45" s="28">
        <f>O45-H45</f>
        <v>345659.15481496957</v>
      </c>
      <c r="Q45" s="30">
        <f xml:space="preserve"> MIN(P45,G45)</f>
        <v>345659.15481496957</v>
      </c>
      <c r="R45" s="84">
        <f>IF(Q45&lt;1000000,1,0)</f>
        <v>1</v>
      </c>
      <c r="S45">
        <f>YEAR(B45)</f>
        <v>2018</v>
      </c>
    </row>
    <row r="46" spans="1:19">
      <c r="A46" t="s">
        <v>91</v>
      </c>
      <c r="B46" s="1">
        <v>44738</v>
      </c>
      <c r="C46" t="s">
        <v>21</v>
      </c>
      <c r="D46" s="3">
        <v>482839.65</v>
      </c>
      <c r="E46" t="s">
        <v>11</v>
      </c>
      <c r="F46" s="27">
        <f>D46+H46</f>
        <v>518138.29000000004</v>
      </c>
      <c r="G46" s="86">
        <v>5000000</v>
      </c>
      <c r="H46" s="3">
        <v>35298.639999999999</v>
      </c>
      <c r="I46" t="s">
        <v>22</v>
      </c>
      <c r="J46" t="s">
        <v>38</v>
      </c>
      <c r="K46" t="s">
        <v>47</v>
      </c>
      <c r="L46">
        <f ca="1">IF(C46="Cargo Liability",RANDBETWEEN(10000,80000),IF(C46="Collision Liability",RANDBETWEEN(20000,100000),IF(C46="Environmental Pollution",RANDBETWEEN(50000,120000),IF(C46="Damage to Other Vessels",RANDBETWEEN(15000,90000),IF(C46="Injury to Third Parties",RANDBETWEEN(5000,60000))))))</f>
        <v>77319</v>
      </c>
      <c r="M46">
        <v>1</v>
      </c>
      <c r="N46">
        <f>IF(YEAR(B46)=2023, 1.03,
   IF(YEAR(B46)=2022, 1.0506,
   IF(YEAR(B46)=2021, 1.071612,
   IF(YEAR(B46)=2020, 1.10376036,
   IF(YEAR(B46)=2019, 1.1479107744,
   IF(YEAR(B46)=2018, 1.20530631312, 1))))))</f>
        <v>1.0506</v>
      </c>
      <c r="O46" s="28">
        <f>F46*N46</f>
        <v>544356.08747400006</v>
      </c>
      <c r="P46" s="28">
        <f>O46-H46</f>
        <v>509057.44747400004</v>
      </c>
      <c r="Q46" s="30">
        <f xml:space="preserve"> MIN(P46,G46)</f>
        <v>509057.44747400004</v>
      </c>
      <c r="R46" s="84">
        <f>IF(Q46&lt;1000000,1,0)</f>
        <v>1</v>
      </c>
      <c r="S46">
        <f>YEAR(B46)</f>
        <v>2022</v>
      </c>
    </row>
    <row r="47" spans="1:19">
      <c r="A47" t="s">
        <v>92</v>
      </c>
      <c r="B47" s="1">
        <v>44472</v>
      </c>
      <c r="C47" t="s">
        <v>26</v>
      </c>
      <c r="D47" s="3">
        <v>683482.94</v>
      </c>
      <c r="E47" t="s">
        <v>33</v>
      </c>
      <c r="F47" s="27">
        <f>D47+H47</f>
        <v>716430.78999999992</v>
      </c>
      <c r="G47" s="86">
        <v>5000000</v>
      </c>
      <c r="H47" s="3">
        <v>32947.85</v>
      </c>
      <c r="I47" t="s">
        <v>28</v>
      </c>
      <c r="J47" t="s">
        <v>18</v>
      </c>
      <c r="K47" t="s">
        <v>36</v>
      </c>
      <c r="L47">
        <f ca="1">IF(C47="Cargo Liability",RANDBETWEEN(10000,80000),IF(C47="Collision Liability",RANDBETWEEN(20000,100000),IF(C47="Environmental Pollution",RANDBETWEEN(50000,120000),IF(C47="Damage to Other Vessels",RANDBETWEEN(15000,90000),IF(C47="Injury to Third Parties",RANDBETWEEN(5000,60000))))))</f>
        <v>61861</v>
      </c>
      <c r="M47">
        <v>6</v>
      </c>
      <c r="N47">
        <f>IF(YEAR(B47)=2023, 1.03,
   IF(YEAR(B47)=2022, 1.0506,
   IF(YEAR(B47)=2021, 1.071612,
   IF(YEAR(B47)=2020, 1.10376036,
   IF(YEAR(B47)=2019, 1.1479107744,
   IF(YEAR(B47)=2018, 1.20530631312, 1))))))</f>
        <v>1.071612</v>
      </c>
      <c r="O47" s="28">
        <f>F47*N47</f>
        <v>767735.83173347998</v>
      </c>
      <c r="P47" s="28">
        <f>O47-H47</f>
        <v>734787.98173348</v>
      </c>
      <c r="Q47" s="30">
        <f xml:space="preserve"> MIN(P47,G47)</f>
        <v>734787.98173348</v>
      </c>
      <c r="R47" s="84">
        <f>IF(Q47&lt;1000000,1,0)</f>
        <v>1</v>
      </c>
      <c r="S47">
        <f>YEAR(B47)</f>
        <v>2021</v>
      </c>
    </row>
    <row r="48" spans="1:19">
      <c r="A48" t="s">
        <v>93</v>
      </c>
      <c r="B48" s="1">
        <v>43847</v>
      </c>
      <c r="C48" t="s">
        <v>16</v>
      </c>
      <c r="D48" s="3">
        <v>783948.23</v>
      </c>
      <c r="E48" t="s">
        <v>11</v>
      </c>
      <c r="F48" s="27">
        <f>D48+H48</f>
        <v>813530.62</v>
      </c>
      <c r="G48" s="86">
        <v>5000000</v>
      </c>
      <c r="H48" s="3">
        <v>29582.39</v>
      </c>
      <c r="I48" t="s">
        <v>17</v>
      </c>
      <c r="J48" t="s">
        <v>23</v>
      </c>
      <c r="K48" t="s">
        <v>55</v>
      </c>
      <c r="L48">
        <f ca="1">IF(C48="Cargo Liability",RANDBETWEEN(10000,80000),IF(C48="Collision Liability",RANDBETWEEN(20000,100000),IF(C48="Environmental Pollution",RANDBETWEEN(50000,120000),IF(C48="Damage to Other Vessels",RANDBETWEEN(15000,90000),IF(C48="Injury to Third Parties",RANDBETWEEN(5000,60000))))))</f>
        <v>56836</v>
      </c>
      <c r="M48">
        <v>2</v>
      </c>
      <c r="N48">
        <f>IF(YEAR(B48)=2023, 1.03,
   IF(YEAR(B48)=2022, 1.0506,
   IF(YEAR(B48)=2021, 1.071612,
   IF(YEAR(B48)=2020, 1.10376036,
   IF(YEAR(B48)=2019, 1.1479107744,
   IF(YEAR(B48)=2018, 1.20530631312, 1))))))</f>
        <v>1.1037603600000001</v>
      </c>
      <c r="O48" s="28">
        <f>F48*N48</f>
        <v>897942.85000222328</v>
      </c>
      <c r="P48" s="28">
        <f>O48-H48</f>
        <v>868360.46000222326</v>
      </c>
      <c r="Q48" s="30">
        <f xml:space="preserve"> MIN(P48,G48)</f>
        <v>868360.46000222326</v>
      </c>
      <c r="R48" s="84">
        <f>IF(Q48&lt;1000000,1,0)</f>
        <v>1</v>
      </c>
      <c r="S48">
        <f>YEAR(B48)</f>
        <v>2020</v>
      </c>
    </row>
    <row r="49" spans="1:19">
      <c r="A49" t="s">
        <v>94</v>
      </c>
      <c r="B49" s="1">
        <v>43560</v>
      </c>
      <c r="C49" t="s">
        <v>32</v>
      </c>
      <c r="D49" s="3">
        <v>239582.74</v>
      </c>
      <c r="E49" t="s">
        <v>11</v>
      </c>
      <c r="F49" s="27">
        <f>D49+H49</f>
        <v>260976.97</v>
      </c>
      <c r="G49" s="86">
        <v>1000000</v>
      </c>
      <c r="H49" s="3">
        <v>21394.23</v>
      </c>
      <c r="I49" t="s">
        <v>12</v>
      </c>
      <c r="J49" t="s">
        <v>13</v>
      </c>
      <c r="K49" t="s">
        <v>24</v>
      </c>
      <c r="L49">
        <f ca="1">IF(C49="Cargo Liability",RANDBETWEEN(10000,80000),IF(C49="Collision Liability",RANDBETWEEN(20000,100000),IF(C49="Environmental Pollution",RANDBETWEEN(50000,120000),IF(C49="Damage to Other Vessels",RANDBETWEEN(15000,90000),IF(C49="Injury to Third Parties",RANDBETWEEN(5000,60000))))))</f>
        <v>47538</v>
      </c>
      <c r="M49">
        <v>7</v>
      </c>
      <c r="N49">
        <f>IF(YEAR(B49)=2023, 1.03,
   IF(YEAR(B49)=2022, 1.0506,
   IF(YEAR(B49)=2021, 1.071612,
   IF(YEAR(B49)=2020, 1.10376036,
   IF(YEAR(B49)=2019, 1.1479107744,
   IF(YEAR(B49)=2018, 1.20530631312, 1))))))</f>
        <v>1.1479107743999999</v>
      </c>
      <c r="O49" s="28">
        <f>F49*N49</f>
        <v>299578.27573326556</v>
      </c>
      <c r="P49" s="28">
        <f>O49-H49</f>
        <v>278184.04573326558</v>
      </c>
      <c r="Q49" s="30">
        <f xml:space="preserve"> MIN(P49,G49)</f>
        <v>278184.04573326558</v>
      </c>
      <c r="R49" s="84">
        <f>IF(Q49&lt;1000000,1,0)</f>
        <v>1</v>
      </c>
      <c r="S49">
        <f>YEAR(B49)</f>
        <v>2019</v>
      </c>
    </row>
    <row r="50" spans="1:19">
      <c r="A50" t="s">
        <v>95</v>
      </c>
      <c r="B50" s="1">
        <v>44916</v>
      </c>
      <c r="C50" t="s">
        <v>10</v>
      </c>
      <c r="D50" s="3">
        <v>294738.48</v>
      </c>
      <c r="E50" t="s">
        <v>11</v>
      </c>
      <c r="F50" s="27">
        <f>D50+H50</f>
        <v>313686.01</v>
      </c>
      <c r="G50" s="86">
        <v>2000000</v>
      </c>
      <c r="H50" s="3">
        <v>18947.53</v>
      </c>
      <c r="I50" t="s">
        <v>17</v>
      </c>
      <c r="J50" t="s">
        <v>38</v>
      </c>
      <c r="K50" t="s">
        <v>43</v>
      </c>
      <c r="L50">
        <f ca="1">IF(C50="Cargo Liability",RANDBETWEEN(10000,80000),IF(C50="Collision Liability",RANDBETWEEN(20000,100000),IF(C50="Environmental Pollution",RANDBETWEEN(50000,120000),IF(C50="Damage to Other Vessels",RANDBETWEEN(15000,90000),IF(C50="Injury to Third Parties",RANDBETWEEN(5000,60000))))))</f>
        <v>50441</v>
      </c>
      <c r="M50">
        <v>4</v>
      </c>
      <c r="N50">
        <f>IF(YEAR(B50)=2023, 1.03,
   IF(YEAR(B50)=2022, 1.0506,
   IF(YEAR(B50)=2021, 1.071612,
   IF(YEAR(B50)=2020, 1.10376036,
   IF(YEAR(B50)=2019, 1.1479107744,
   IF(YEAR(B50)=2018, 1.20530631312, 1))))))</f>
        <v>1.0506</v>
      </c>
      <c r="O50" s="28">
        <f>F50*N50</f>
        <v>329558.52210599999</v>
      </c>
      <c r="P50" s="28">
        <f>O50-H50</f>
        <v>310610.99210599996</v>
      </c>
      <c r="Q50" s="30">
        <f xml:space="preserve"> MIN(P50,G50)</f>
        <v>310610.99210599996</v>
      </c>
      <c r="R50" s="84">
        <f>IF(Q50&lt;1000000,1,0)</f>
        <v>1</v>
      </c>
      <c r="S50">
        <f>YEAR(B50)</f>
        <v>2022</v>
      </c>
    </row>
    <row r="51" spans="1:19">
      <c r="A51" t="s">
        <v>96</v>
      </c>
      <c r="B51" s="1">
        <v>44230</v>
      </c>
      <c r="C51" t="s">
        <v>21</v>
      </c>
      <c r="D51" s="3">
        <v>583948.29</v>
      </c>
      <c r="E51" t="s">
        <v>11</v>
      </c>
      <c r="F51" s="27">
        <f>D51+H51</f>
        <v>613232.67000000004</v>
      </c>
      <c r="G51" s="86">
        <v>5000000</v>
      </c>
      <c r="H51" s="3">
        <v>29284.38</v>
      </c>
      <c r="I51" t="s">
        <v>22</v>
      </c>
      <c r="J51" t="s">
        <v>29</v>
      </c>
      <c r="K51" t="s">
        <v>51</v>
      </c>
      <c r="L51">
        <f ca="1">IF(C51="Cargo Liability",RANDBETWEEN(10000,80000),IF(C51="Collision Liability",RANDBETWEEN(20000,100000),IF(C51="Environmental Pollution",RANDBETWEEN(50000,120000),IF(C51="Damage to Other Vessels",RANDBETWEEN(15000,90000),IF(C51="Injury to Third Parties",RANDBETWEEN(5000,60000))))))</f>
        <v>34857</v>
      </c>
      <c r="M51">
        <v>9</v>
      </c>
      <c r="N51">
        <f>IF(YEAR(B51)=2023, 1.03,
   IF(YEAR(B51)=2022, 1.0506,
   IF(YEAR(B51)=2021, 1.071612,
   IF(YEAR(B51)=2020, 1.10376036,
   IF(YEAR(B51)=2019, 1.1479107744,
   IF(YEAR(B51)=2018, 1.20530631312, 1))))))</f>
        <v>1.071612</v>
      </c>
      <c r="O51" s="28">
        <f>F51*N51</f>
        <v>657147.48796404002</v>
      </c>
      <c r="P51" s="28">
        <f>O51-H51</f>
        <v>627863.10796404001</v>
      </c>
      <c r="Q51" s="30">
        <f xml:space="preserve"> MIN(P51,G51)</f>
        <v>627863.10796404001</v>
      </c>
      <c r="R51" s="84">
        <f>IF(Q51&lt;1000000,1,0)</f>
        <v>1</v>
      </c>
      <c r="S51">
        <f>YEAR(B51)</f>
        <v>2021</v>
      </c>
    </row>
    <row r="52" spans="1:19">
      <c r="A52" t="s">
        <v>97</v>
      </c>
      <c r="B52" s="1">
        <v>43902</v>
      </c>
      <c r="C52" t="s">
        <v>26</v>
      </c>
      <c r="D52" s="3">
        <v>784839.21</v>
      </c>
      <c r="E52" t="s">
        <v>27</v>
      </c>
      <c r="F52" s="27">
        <f>D52+H52</f>
        <v>823786.49</v>
      </c>
      <c r="G52" s="86">
        <v>5000000</v>
      </c>
      <c r="H52" s="3">
        <v>38947.279999999999</v>
      </c>
      <c r="I52" t="s">
        <v>28</v>
      </c>
      <c r="J52" t="s">
        <v>18</v>
      </c>
      <c r="K52" t="s">
        <v>41</v>
      </c>
      <c r="L52">
        <f ca="1">IF(C52="Cargo Liability",RANDBETWEEN(10000,80000),IF(C52="Collision Liability",RANDBETWEEN(20000,100000),IF(C52="Environmental Pollution",RANDBETWEEN(50000,120000),IF(C52="Damage to Other Vessels",RANDBETWEEN(15000,90000),IF(C52="Injury to Third Parties",RANDBETWEEN(5000,60000))))))</f>
        <v>99518</v>
      </c>
      <c r="M52">
        <v>3</v>
      </c>
      <c r="N52">
        <f>IF(YEAR(B52)=2023, 1.03,
   IF(YEAR(B52)=2022, 1.0506,
   IF(YEAR(B52)=2021, 1.071612,
   IF(YEAR(B52)=2020, 1.10376036,
   IF(YEAR(B52)=2019, 1.1479107744,
   IF(YEAR(B52)=2018, 1.20530631312, 1))))))</f>
        <v>1.1037603600000001</v>
      </c>
      <c r="O52" s="28">
        <f>F52*N52</f>
        <v>909262.87276553642</v>
      </c>
      <c r="P52" s="28">
        <f>O52-H52</f>
        <v>870315.59276553639</v>
      </c>
      <c r="Q52" s="30">
        <f xml:space="preserve"> MIN(P52,G52)</f>
        <v>870315.59276553639</v>
      </c>
      <c r="R52" s="84">
        <f>IF(Q52&lt;1000000,1,0)</f>
        <v>1</v>
      </c>
      <c r="S52">
        <f>YEAR(B52)</f>
        <v>2020</v>
      </c>
    </row>
    <row r="53" spans="1:19">
      <c r="A53" t="s">
        <v>98</v>
      </c>
      <c r="B53" s="1">
        <v>45115</v>
      </c>
      <c r="C53" t="s">
        <v>16</v>
      </c>
      <c r="D53" s="3">
        <v>398483.65</v>
      </c>
      <c r="E53" t="s">
        <v>11</v>
      </c>
      <c r="F53" s="27">
        <f>D53+H53</f>
        <v>427431.03</v>
      </c>
      <c r="G53" s="86">
        <v>2000000</v>
      </c>
      <c r="H53" s="3">
        <v>28947.38</v>
      </c>
      <c r="I53" t="s">
        <v>17</v>
      </c>
      <c r="J53" t="s">
        <v>23</v>
      </c>
      <c r="K53" t="s">
        <v>39</v>
      </c>
      <c r="L53">
        <f ca="1">IF(C53="Cargo Liability",RANDBETWEEN(10000,80000),IF(C53="Collision Liability",RANDBETWEEN(20000,100000),IF(C53="Environmental Pollution",RANDBETWEEN(50000,120000),IF(C53="Damage to Other Vessels",RANDBETWEEN(15000,90000),IF(C53="Injury to Third Parties",RANDBETWEEN(5000,60000))))))</f>
        <v>32727</v>
      </c>
      <c r="M53">
        <v>6</v>
      </c>
      <c r="N53">
        <f>IF(YEAR(B53)=2023, 1.03,
   IF(YEAR(B53)=2022, 1.0506,
   IF(YEAR(B53)=2021, 1.071612,
   IF(YEAR(B53)=2020, 1.10376036,
   IF(YEAR(B53)=2019, 1.1479107744,
   IF(YEAR(B53)=2018, 1.20530631312, 1))))))</f>
        <v>1.03</v>
      </c>
      <c r="O53" s="28">
        <f>F53*N53</f>
        <v>440253.96090000006</v>
      </c>
      <c r="P53" s="28">
        <f>O53-H53</f>
        <v>411306.58090000006</v>
      </c>
      <c r="Q53" s="30">
        <f xml:space="preserve"> MIN(P53,G53)</f>
        <v>411306.58090000006</v>
      </c>
      <c r="R53" s="84">
        <f>IF(Q53&lt;1000000,1,0)</f>
        <v>1</v>
      </c>
      <c r="S53">
        <f>YEAR(B53)</f>
        <v>2023</v>
      </c>
    </row>
    <row r="54" spans="1:19">
      <c r="A54" t="s">
        <v>99</v>
      </c>
      <c r="B54" s="1">
        <v>43366</v>
      </c>
      <c r="C54" t="s">
        <v>32</v>
      </c>
      <c r="D54" s="3">
        <v>485739.23</v>
      </c>
      <c r="E54" t="s">
        <v>11</v>
      </c>
      <c r="F54" s="27">
        <f>D54+H54</f>
        <v>503135.07</v>
      </c>
      <c r="G54" s="86">
        <v>5000000</v>
      </c>
      <c r="H54" s="3">
        <v>17395.84</v>
      </c>
      <c r="I54" t="s">
        <v>12</v>
      </c>
      <c r="J54" t="s">
        <v>38</v>
      </c>
      <c r="K54" t="s">
        <v>30</v>
      </c>
      <c r="L54">
        <f ca="1">IF(C54="Cargo Liability",RANDBETWEEN(10000,80000),IF(C54="Collision Liability",RANDBETWEEN(20000,100000),IF(C54="Environmental Pollution",RANDBETWEEN(50000,120000),IF(C54="Damage to Other Vessels",RANDBETWEEN(15000,90000),IF(C54="Injury to Third Parties",RANDBETWEEN(5000,60000))))))</f>
        <v>45908</v>
      </c>
      <c r="M54">
        <v>8</v>
      </c>
      <c r="N54">
        <f>IF(YEAR(B54)=2023, 1.03,
   IF(YEAR(B54)=2022, 1.0506,
   IF(YEAR(B54)=2021, 1.071612,
   IF(YEAR(B54)=2020, 1.10376036,
   IF(YEAR(B54)=2019, 1.1479107744,
   IF(YEAR(B54)=2018, 1.20530631312, 1))))))</f>
        <v>1.2053063131199999</v>
      </c>
      <c r="O54" s="28">
        <f>F54*N54</f>
        <v>606431.87622307311</v>
      </c>
      <c r="P54" s="28">
        <f>O54-H54</f>
        <v>589036.03622307314</v>
      </c>
      <c r="Q54" s="30">
        <f xml:space="preserve"> MIN(P54,G54)</f>
        <v>589036.03622307314</v>
      </c>
      <c r="R54" s="84">
        <f>IF(Q54&lt;1000000,1,0)</f>
        <v>1</v>
      </c>
      <c r="S54">
        <f>YEAR(B54)</f>
        <v>2018</v>
      </c>
    </row>
    <row r="55" spans="1:19">
      <c r="A55" t="s">
        <v>100</v>
      </c>
      <c r="B55" s="1">
        <v>43784</v>
      </c>
      <c r="C55" t="s">
        <v>10</v>
      </c>
      <c r="D55" s="3">
        <v>593849.48</v>
      </c>
      <c r="E55" t="s">
        <v>27</v>
      </c>
      <c r="F55" s="27">
        <f>D55+H55</f>
        <v>632797.05999999994</v>
      </c>
      <c r="G55" s="86">
        <v>5000000</v>
      </c>
      <c r="H55" s="3">
        <v>38947.58</v>
      </c>
      <c r="I55" t="s">
        <v>17</v>
      </c>
      <c r="J55" t="s">
        <v>13</v>
      </c>
      <c r="K55" t="s">
        <v>19</v>
      </c>
      <c r="L55">
        <f ca="1">IF(C55="Cargo Liability",RANDBETWEEN(10000,80000),IF(C55="Collision Liability",RANDBETWEEN(20000,100000),IF(C55="Environmental Pollution",RANDBETWEEN(50000,120000),IF(C55="Damage to Other Vessels",RANDBETWEEN(15000,90000),IF(C55="Injury to Third Parties",RANDBETWEEN(5000,60000))))))</f>
        <v>50285</v>
      </c>
      <c r="M55">
        <v>2</v>
      </c>
      <c r="N55">
        <f>IF(YEAR(B55)=2023, 1.03,
   IF(YEAR(B55)=2022, 1.0506,
   IF(YEAR(B55)=2021, 1.071612,
   IF(YEAR(B55)=2020, 1.10376036,
   IF(YEAR(B55)=2019, 1.1479107744,
   IF(YEAR(B55)=2018, 1.20530631312, 1))))))</f>
        <v>1.1479107743999999</v>
      </c>
      <c r="O55" s="28">
        <f>F55*N55</f>
        <v>726394.56318264315</v>
      </c>
      <c r="P55" s="28">
        <f>O55-H55</f>
        <v>687446.98318264319</v>
      </c>
      <c r="Q55" s="30">
        <f xml:space="preserve"> MIN(P55,G55)</f>
        <v>687446.98318264319</v>
      </c>
      <c r="R55" s="84">
        <f>IF(Q55&lt;1000000,1,0)</f>
        <v>1</v>
      </c>
      <c r="S55">
        <f>YEAR(B55)</f>
        <v>2019</v>
      </c>
    </row>
    <row r="56" spans="1:19">
      <c r="A56" t="s">
        <v>101</v>
      </c>
      <c r="B56" s="1">
        <v>44785</v>
      </c>
      <c r="C56" t="s">
        <v>21</v>
      </c>
      <c r="D56" s="3">
        <v>683849.75</v>
      </c>
      <c r="E56" t="s">
        <v>11</v>
      </c>
      <c r="F56" s="27">
        <f>D56+H56</f>
        <v>716797.2</v>
      </c>
      <c r="G56" s="86">
        <v>5000000</v>
      </c>
      <c r="H56" s="3">
        <v>32947.449999999997</v>
      </c>
      <c r="I56" t="s">
        <v>22</v>
      </c>
      <c r="J56" t="s">
        <v>29</v>
      </c>
      <c r="K56" t="s">
        <v>47</v>
      </c>
      <c r="L56">
        <f ca="1">IF(C56="Cargo Liability",RANDBETWEEN(10000,80000),IF(C56="Collision Liability",RANDBETWEEN(20000,100000),IF(C56="Environmental Pollution",RANDBETWEEN(50000,120000),IF(C56="Damage to Other Vessels",RANDBETWEEN(15000,90000),IF(C56="Injury to Third Parties",RANDBETWEEN(5000,60000))))))</f>
        <v>17715</v>
      </c>
      <c r="M56">
        <v>3</v>
      </c>
      <c r="N56">
        <f>IF(YEAR(B56)=2023, 1.03,
   IF(YEAR(B56)=2022, 1.0506,
   IF(YEAR(B56)=2021, 1.071612,
   IF(YEAR(B56)=2020, 1.10376036,
   IF(YEAR(B56)=2019, 1.1479107744,
   IF(YEAR(B56)=2018, 1.20530631312, 1))))))</f>
        <v>1.0506</v>
      </c>
      <c r="O56" s="28">
        <f>F56*N56</f>
        <v>753067.13831999991</v>
      </c>
      <c r="P56" s="28">
        <f>O56-H56</f>
        <v>720119.68831999996</v>
      </c>
      <c r="Q56" s="30">
        <f xml:space="preserve"> MIN(P56,G56)</f>
        <v>720119.68831999996</v>
      </c>
      <c r="R56" s="84">
        <f>IF(Q56&lt;1000000,1,0)</f>
        <v>1</v>
      </c>
      <c r="S56">
        <f>YEAR(B56)</f>
        <v>2022</v>
      </c>
    </row>
    <row r="57" spans="1:19">
      <c r="A57" t="s">
        <v>102</v>
      </c>
      <c r="B57" s="1">
        <v>44339</v>
      </c>
      <c r="C57" t="s">
        <v>26</v>
      </c>
      <c r="D57" s="3">
        <v>792483.56</v>
      </c>
      <c r="E57" t="s">
        <v>27</v>
      </c>
      <c r="F57" s="27">
        <f>D57+H57</f>
        <v>827431.81</v>
      </c>
      <c r="G57" s="86">
        <v>5000000</v>
      </c>
      <c r="H57" s="3">
        <v>34948.25</v>
      </c>
      <c r="I57" t="s">
        <v>28</v>
      </c>
      <c r="J57" t="s">
        <v>18</v>
      </c>
      <c r="K57" t="s">
        <v>43</v>
      </c>
      <c r="L57">
        <f ca="1">IF(C57="Cargo Liability",RANDBETWEEN(10000,80000),IF(C57="Collision Liability",RANDBETWEEN(20000,100000),IF(C57="Environmental Pollution",RANDBETWEEN(50000,120000),IF(C57="Damage to Other Vessels",RANDBETWEEN(15000,90000),IF(C57="Injury to Third Parties",RANDBETWEEN(5000,60000))))))</f>
        <v>106039</v>
      </c>
      <c r="M57">
        <v>7</v>
      </c>
      <c r="N57">
        <f>IF(YEAR(B57)=2023, 1.03,
   IF(YEAR(B57)=2022, 1.0506,
   IF(YEAR(B57)=2021, 1.071612,
   IF(YEAR(B57)=2020, 1.10376036,
   IF(YEAR(B57)=2019, 1.1479107744,
   IF(YEAR(B57)=2018, 1.20530631312, 1))))))</f>
        <v>1.071612</v>
      </c>
      <c r="O57" s="28">
        <f>F57*N57</f>
        <v>886685.85677772004</v>
      </c>
      <c r="P57" s="28">
        <f>O57-H57</f>
        <v>851737.60677772004</v>
      </c>
      <c r="Q57" s="30">
        <f xml:space="preserve"> MIN(P57,G57)</f>
        <v>851737.60677772004</v>
      </c>
      <c r="R57" s="84">
        <f>IF(Q57&lt;1000000,1,0)</f>
        <v>1</v>
      </c>
      <c r="S57">
        <f>YEAR(B57)</f>
        <v>2021</v>
      </c>
    </row>
    <row r="58" spans="1:19">
      <c r="A58" t="s">
        <v>103</v>
      </c>
      <c r="B58" s="1">
        <v>44121</v>
      </c>
      <c r="C58" t="s">
        <v>16</v>
      </c>
      <c r="D58" s="3">
        <v>594837.93999999994</v>
      </c>
      <c r="E58" t="s">
        <v>11</v>
      </c>
      <c r="F58" s="27">
        <f>D58+H58</f>
        <v>623785.5</v>
      </c>
      <c r="G58" s="86">
        <v>5000000</v>
      </c>
      <c r="H58" s="3">
        <v>28947.56</v>
      </c>
      <c r="I58" t="s">
        <v>17</v>
      </c>
      <c r="J58" t="s">
        <v>23</v>
      </c>
      <c r="K58" t="s">
        <v>45</v>
      </c>
      <c r="L58">
        <f ca="1">IF(C58="Cargo Liability",RANDBETWEEN(10000,80000),IF(C58="Collision Liability",RANDBETWEEN(20000,100000),IF(C58="Environmental Pollution",RANDBETWEEN(50000,120000),IF(C58="Damage to Other Vessels",RANDBETWEEN(15000,90000),IF(C58="Injury to Third Parties",RANDBETWEEN(5000,60000))))))</f>
        <v>70745</v>
      </c>
      <c r="M58">
        <v>4</v>
      </c>
      <c r="N58">
        <f>IF(YEAR(B58)=2023, 1.03,
   IF(YEAR(B58)=2022, 1.0506,
   IF(YEAR(B58)=2021, 1.071612,
   IF(YEAR(B58)=2020, 1.10376036,
   IF(YEAR(B58)=2019, 1.1479107744,
   IF(YEAR(B58)=2018, 1.20530631312, 1))))))</f>
        <v>1.1037603600000001</v>
      </c>
      <c r="O58" s="28">
        <f>F58*N58</f>
        <v>688509.70804278005</v>
      </c>
      <c r="P58" s="28">
        <f>O58-H58</f>
        <v>659562.14804278</v>
      </c>
      <c r="Q58" s="30">
        <f xml:space="preserve"> MIN(P58,G58)</f>
        <v>659562.14804278</v>
      </c>
      <c r="R58" s="84">
        <f>IF(Q58&lt;1000000,1,0)</f>
        <v>1</v>
      </c>
      <c r="S58">
        <f>YEAR(B58)</f>
        <v>2020</v>
      </c>
    </row>
    <row r="59" spans="1:19">
      <c r="A59" t="s">
        <v>104</v>
      </c>
      <c r="B59" s="1">
        <v>44998</v>
      </c>
      <c r="C59" t="s">
        <v>32</v>
      </c>
      <c r="D59" s="3">
        <v>472839.28</v>
      </c>
      <c r="E59" t="s">
        <v>11</v>
      </c>
      <c r="F59" s="27">
        <f>D59+H59</f>
        <v>494777.76</v>
      </c>
      <c r="G59" s="86">
        <v>5000000</v>
      </c>
      <c r="H59" s="3">
        <v>21938.48</v>
      </c>
      <c r="I59" t="s">
        <v>12</v>
      </c>
      <c r="J59" t="s">
        <v>38</v>
      </c>
      <c r="K59" t="s">
        <v>36</v>
      </c>
      <c r="L59">
        <f ca="1">IF(C59="Cargo Liability",RANDBETWEEN(10000,80000),IF(C59="Collision Liability",RANDBETWEEN(20000,100000),IF(C59="Environmental Pollution",RANDBETWEEN(50000,120000),IF(C59="Damage to Other Vessels",RANDBETWEEN(15000,90000),IF(C59="Injury to Third Parties",RANDBETWEEN(5000,60000))))))</f>
        <v>21314</v>
      </c>
      <c r="M59">
        <v>6</v>
      </c>
      <c r="N59">
        <f>IF(YEAR(B59)=2023, 1.03,
   IF(YEAR(B59)=2022, 1.0506,
   IF(YEAR(B59)=2021, 1.071612,
   IF(YEAR(B59)=2020, 1.10376036,
   IF(YEAR(B59)=2019, 1.1479107744,
   IF(YEAR(B59)=2018, 1.20530631312, 1))))))</f>
        <v>1.03</v>
      </c>
      <c r="O59" s="28">
        <f>F59*N59</f>
        <v>509621.09280000004</v>
      </c>
      <c r="P59" s="28">
        <f>O59-H59</f>
        <v>487682.61280000006</v>
      </c>
      <c r="Q59" s="30">
        <f xml:space="preserve"> MIN(P59,G59)</f>
        <v>487682.61280000006</v>
      </c>
      <c r="R59" s="84">
        <f>IF(Q59&lt;1000000,1,0)</f>
        <v>1</v>
      </c>
      <c r="S59">
        <f>YEAR(B59)</f>
        <v>2023</v>
      </c>
    </row>
    <row r="60" spans="1:19">
      <c r="A60" t="s">
        <v>105</v>
      </c>
      <c r="B60" s="1">
        <v>43439</v>
      </c>
      <c r="C60" t="s">
        <v>10</v>
      </c>
      <c r="D60" s="3">
        <v>592483.44999999995</v>
      </c>
      <c r="E60" t="s">
        <v>27</v>
      </c>
      <c r="F60" s="27">
        <f>D60+H60</f>
        <v>625430.82999999996</v>
      </c>
      <c r="G60" s="86">
        <v>2000000</v>
      </c>
      <c r="H60" s="3">
        <v>32947.379999999997</v>
      </c>
      <c r="I60" t="s">
        <v>17</v>
      </c>
      <c r="J60" t="s">
        <v>18</v>
      </c>
      <c r="K60" t="s">
        <v>14</v>
      </c>
      <c r="L60">
        <f ca="1">IF(C60="Cargo Liability",RANDBETWEEN(10000,80000),IF(C60="Collision Liability",RANDBETWEEN(20000,100000),IF(C60="Environmental Pollution",RANDBETWEEN(50000,120000),IF(C60="Damage to Other Vessels",RANDBETWEEN(15000,90000),IF(C60="Injury to Third Parties",RANDBETWEEN(5000,60000))))))</f>
        <v>69298</v>
      </c>
      <c r="M60">
        <v>5</v>
      </c>
      <c r="N60">
        <f>IF(YEAR(B60)=2023, 1.03,
   IF(YEAR(B60)=2022, 1.0506,
   IF(YEAR(B60)=2021, 1.071612,
   IF(YEAR(B60)=2020, 1.10376036,
   IF(YEAR(B60)=2019, 1.1479107744,
   IF(YEAR(B60)=2018, 1.20530631312, 1))))))</f>
        <v>1.2053063131199999</v>
      </c>
      <c r="O60" s="28">
        <f>F60*N60</f>
        <v>753835.72781888139</v>
      </c>
      <c r="P60" s="28">
        <f>O60-H60</f>
        <v>720888.34781888139</v>
      </c>
      <c r="Q60" s="30">
        <f xml:space="preserve"> MIN(P60,G60)</f>
        <v>720888.34781888139</v>
      </c>
      <c r="R60" s="84">
        <f>IF(Q60&lt;1000000,1,0)</f>
        <v>1</v>
      </c>
      <c r="S60">
        <f>YEAR(B60)</f>
        <v>2018</v>
      </c>
    </row>
    <row r="61" spans="1:19">
      <c r="A61" t="s">
        <v>106</v>
      </c>
      <c r="B61" s="1">
        <v>43645</v>
      </c>
      <c r="C61" t="s">
        <v>21</v>
      </c>
      <c r="D61" s="3">
        <v>839483.29</v>
      </c>
      <c r="E61" t="s">
        <v>11</v>
      </c>
      <c r="F61" s="27">
        <f>D61+H61</f>
        <v>877431.67</v>
      </c>
      <c r="G61" s="86">
        <v>5000000</v>
      </c>
      <c r="H61" s="3">
        <v>37948.379999999997</v>
      </c>
      <c r="I61" t="s">
        <v>22</v>
      </c>
      <c r="J61" t="s">
        <v>29</v>
      </c>
      <c r="K61" t="s">
        <v>49</v>
      </c>
      <c r="L61">
        <f ca="1">IF(C61="Cargo Liability",RANDBETWEEN(10000,80000),IF(C61="Collision Liability",RANDBETWEEN(20000,100000),IF(C61="Environmental Pollution",RANDBETWEEN(50000,120000),IF(C61="Damage to Other Vessels",RANDBETWEEN(15000,90000),IF(C61="Injury to Third Parties",RANDBETWEEN(5000,60000))))))</f>
        <v>57078</v>
      </c>
      <c r="M61">
        <v>3</v>
      </c>
      <c r="N61">
        <f>IF(YEAR(B61)=2023, 1.03,
   IF(YEAR(B61)=2022, 1.0506,
   IF(YEAR(B61)=2021, 1.071612,
   IF(YEAR(B61)=2020, 1.10376036,
   IF(YEAR(B61)=2019, 1.1479107744,
   IF(YEAR(B61)=2018, 1.20530631312, 1))))))</f>
        <v>1.1479107743999999</v>
      </c>
      <c r="O61" s="28">
        <f>F61*N61</f>
        <v>1007213.2677927852</v>
      </c>
      <c r="P61" s="28">
        <f>O61-H61</f>
        <v>969264.88779278519</v>
      </c>
      <c r="Q61" s="30">
        <f xml:space="preserve"> MIN(P61,G61)</f>
        <v>969264.88779278519</v>
      </c>
      <c r="R61" s="84">
        <f>IF(Q61&lt;1000000,1,0)</f>
        <v>1</v>
      </c>
      <c r="S61">
        <f>YEAR(B61)</f>
        <v>2019</v>
      </c>
    </row>
    <row r="62" spans="1:19">
      <c r="A62" t="s">
        <v>107</v>
      </c>
      <c r="B62" s="1">
        <v>44821</v>
      </c>
      <c r="C62" t="s">
        <v>26</v>
      </c>
      <c r="D62" s="3">
        <v>839483.58</v>
      </c>
      <c r="E62" t="s">
        <v>27</v>
      </c>
      <c r="F62" s="27">
        <f>D62+H62</f>
        <v>878431.02999999991</v>
      </c>
      <c r="G62" s="86">
        <v>5000000</v>
      </c>
      <c r="H62" s="3">
        <v>38947.449999999997</v>
      </c>
      <c r="I62" t="s">
        <v>28</v>
      </c>
      <c r="J62" t="s">
        <v>38</v>
      </c>
      <c r="K62" t="s">
        <v>39</v>
      </c>
      <c r="L62">
        <f ca="1">IF(C62="Cargo Liability",RANDBETWEEN(10000,80000),IF(C62="Collision Liability",RANDBETWEEN(20000,100000),IF(C62="Environmental Pollution",RANDBETWEEN(50000,120000),IF(C62="Damage to Other Vessels",RANDBETWEEN(15000,90000),IF(C62="Injury to Third Parties",RANDBETWEEN(5000,60000))))))</f>
        <v>78660</v>
      </c>
      <c r="M62">
        <v>4</v>
      </c>
      <c r="N62">
        <f>IF(YEAR(B62)=2023, 1.03,
   IF(YEAR(B62)=2022, 1.0506,
   IF(YEAR(B62)=2021, 1.071612,
   IF(YEAR(B62)=2020, 1.10376036,
   IF(YEAR(B62)=2019, 1.1479107744,
   IF(YEAR(B62)=2018, 1.20530631312, 1))))))</f>
        <v>1.0506</v>
      </c>
      <c r="O62" s="28">
        <f>F62*N62</f>
        <v>922879.64011799986</v>
      </c>
      <c r="P62" s="28">
        <f>O62-H62</f>
        <v>883932.19011799991</v>
      </c>
      <c r="Q62" s="30">
        <f xml:space="preserve"> MIN(P62,G62)</f>
        <v>883932.19011799991</v>
      </c>
      <c r="R62" s="84">
        <f>IF(Q62&lt;1000000,1,0)</f>
        <v>1</v>
      </c>
      <c r="S62">
        <f>YEAR(B62)</f>
        <v>2022</v>
      </c>
    </row>
    <row r="63" spans="1:19">
      <c r="A63" t="s">
        <v>108</v>
      </c>
      <c r="B63" s="1">
        <v>44207</v>
      </c>
      <c r="C63" t="s">
        <v>16</v>
      </c>
      <c r="D63" s="3">
        <v>793849.23</v>
      </c>
      <c r="E63" t="s">
        <v>11</v>
      </c>
      <c r="F63" s="27">
        <f>D63+H63</f>
        <v>823331.71</v>
      </c>
      <c r="G63" s="86">
        <v>5000000</v>
      </c>
      <c r="H63" s="3">
        <v>29482.48</v>
      </c>
      <c r="I63" t="s">
        <v>17</v>
      </c>
      <c r="J63" t="s">
        <v>23</v>
      </c>
      <c r="K63" t="s">
        <v>51</v>
      </c>
      <c r="L63">
        <f ca="1">IF(C63="Cargo Liability",RANDBETWEEN(10000,80000),IF(C63="Collision Liability",RANDBETWEEN(20000,100000),IF(C63="Environmental Pollution",RANDBETWEEN(50000,120000),IF(C63="Damage to Other Vessels",RANDBETWEEN(15000,90000),IF(C63="Injury to Third Parties",RANDBETWEEN(5000,60000))))))</f>
        <v>21669</v>
      </c>
      <c r="M63">
        <v>7</v>
      </c>
      <c r="N63">
        <f>IF(YEAR(B63)=2023, 1.03,
   IF(YEAR(B63)=2022, 1.0506,
   IF(YEAR(B63)=2021, 1.071612,
   IF(YEAR(B63)=2020, 1.10376036,
   IF(YEAR(B63)=2019, 1.1479107744,
   IF(YEAR(B63)=2018, 1.20530631312, 1))))))</f>
        <v>1.071612</v>
      </c>
      <c r="O63" s="28">
        <f>F63*N63</f>
        <v>882292.14041651995</v>
      </c>
      <c r="P63" s="28">
        <f>O63-H63</f>
        <v>852809.66041651997</v>
      </c>
      <c r="Q63" s="30">
        <f xml:space="preserve"> MIN(P63,G63)</f>
        <v>852809.66041651997</v>
      </c>
      <c r="R63" s="84">
        <f>IF(Q63&lt;1000000,1,0)</f>
        <v>1</v>
      </c>
      <c r="S63">
        <f>YEAR(B63)</f>
        <v>2021</v>
      </c>
    </row>
    <row r="64" spans="1:19">
      <c r="A64" t="s">
        <v>109</v>
      </c>
      <c r="B64" s="1">
        <v>43946</v>
      </c>
      <c r="C64" t="s">
        <v>32</v>
      </c>
      <c r="D64" s="3">
        <v>473839.25</v>
      </c>
      <c r="E64" t="s">
        <v>11</v>
      </c>
      <c r="F64" s="27">
        <f>D64+H64</f>
        <v>501321.63</v>
      </c>
      <c r="G64" s="86">
        <v>5000000</v>
      </c>
      <c r="H64" s="3">
        <v>27482.38</v>
      </c>
      <c r="I64" t="s">
        <v>12</v>
      </c>
      <c r="J64" t="s">
        <v>29</v>
      </c>
      <c r="K64" t="s">
        <v>59</v>
      </c>
      <c r="L64">
        <f ca="1">IF(C64="Cargo Liability",RANDBETWEEN(10000,80000),IF(C64="Collision Liability",RANDBETWEEN(20000,100000),IF(C64="Environmental Pollution",RANDBETWEEN(50000,120000),IF(C64="Damage to Other Vessels",RANDBETWEEN(15000,90000),IF(C64="Injury to Third Parties",RANDBETWEEN(5000,60000))))))</f>
        <v>24566</v>
      </c>
      <c r="M64">
        <v>6</v>
      </c>
      <c r="N64">
        <f>IF(YEAR(B64)=2023, 1.03,
   IF(YEAR(B64)=2022, 1.0506,
   IF(YEAR(B64)=2021, 1.071612,
   IF(YEAR(B64)=2020, 1.10376036,
   IF(YEAR(B64)=2019, 1.1479107744,
   IF(YEAR(B64)=2018, 1.20530631312, 1))))))</f>
        <v>1.1037603600000001</v>
      </c>
      <c r="O64" s="28">
        <f>F64*N64</f>
        <v>553338.94280458684</v>
      </c>
      <c r="P64" s="28">
        <f>O64-H64</f>
        <v>525856.56280458684</v>
      </c>
      <c r="Q64" s="30">
        <f xml:space="preserve"> MIN(P64,G64)</f>
        <v>525856.56280458684</v>
      </c>
      <c r="R64" s="84">
        <f>IF(Q64&lt;1000000,1,0)</f>
        <v>1</v>
      </c>
      <c r="S64">
        <f>YEAR(B64)</f>
        <v>2020</v>
      </c>
    </row>
    <row r="65" spans="1:19">
      <c r="A65" t="s">
        <v>110</v>
      </c>
      <c r="B65" s="1">
        <v>43543</v>
      </c>
      <c r="C65" t="s">
        <v>10</v>
      </c>
      <c r="D65" s="3">
        <v>573849.48</v>
      </c>
      <c r="E65" t="s">
        <v>27</v>
      </c>
      <c r="F65" s="27">
        <f>D65+H65</f>
        <v>606697.05999999994</v>
      </c>
      <c r="G65" s="86">
        <v>5000000</v>
      </c>
      <c r="H65" s="3">
        <v>32847.58</v>
      </c>
      <c r="I65" t="s">
        <v>17</v>
      </c>
      <c r="J65" t="s">
        <v>13</v>
      </c>
      <c r="K65" t="s">
        <v>43</v>
      </c>
      <c r="L65">
        <f ca="1">IF(C65="Cargo Liability",RANDBETWEEN(10000,80000),IF(C65="Collision Liability",RANDBETWEEN(20000,100000),IF(C65="Environmental Pollution",RANDBETWEEN(50000,120000),IF(C65="Damage to Other Vessels",RANDBETWEEN(15000,90000),IF(C65="Injury to Third Parties",RANDBETWEEN(5000,60000))))))</f>
        <v>83510</v>
      </c>
      <c r="M65">
        <v>3</v>
      </c>
      <c r="N65">
        <f>IF(YEAR(B65)=2023, 1.03,
   IF(YEAR(B65)=2022, 1.0506,
   IF(YEAR(B65)=2021, 1.071612,
   IF(YEAR(B65)=2020, 1.10376036,
   IF(YEAR(B65)=2019, 1.1479107744,
   IF(YEAR(B65)=2018, 1.20530631312, 1))))))</f>
        <v>1.1479107743999999</v>
      </c>
      <c r="O65" s="28">
        <f>F65*N65</f>
        <v>696434.0919708031</v>
      </c>
      <c r="P65" s="28">
        <f>O65-H65</f>
        <v>663586.51197080314</v>
      </c>
      <c r="Q65" s="30">
        <f xml:space="preserve"> MIN(P65,G65)</f>
        <v>663586.51197080314</v>
      </c>
      <c r="R65" s="84">
        <f>IF(Q65&lt;1000000,1,0)</f>
        <v>1</v>
      </c>
      <c r="S65">
        <f>YEAR(B65)</f>
        <v>2019</v>
      </c>
    </row>
    <row r="66" spans="1:19">
      <c r="A66" t="s">
        <v>111</v>
      </c>
      <c r="B66" s="1">
        <v>44959</v>
      </c>
      <c r="C66" t="s">
        <v>21</v>
      </c>
      <c r="D66" s="3">
        <v>683849.75</v>
      </c>
      <c r="E66" t="s">
        <v>11</v>
      </c>
      <c r="F66" s="27">
        <f>D66+H66</f>
        <v>716797.2</v>
      </c>
      <c r="G66" s="86">
        <v>5000000</v>
      </c>
      <c r="H66" s="3">
        <v>32947.449999999997</v>
      </c>
      <c r="I66" t="s">
        <v>22</v>
      </c>
      <c r="J66" t="s">
        <v>18</v>
      </c>
      <c r="K66" t="s">
        <v>57</v>
      </c>
      <c r="L66">
        <f ca="1">IF(C66="Cargo Liability",RANDBETWEEN(10000,80000),IF(C66="Collision Liability",RANDBETWEEN(20000,100000),IF(C66="Environmental Pollution",RANDBETWEEN(50000,120000),IF(C66="Damage to Other Vessels",RANDBETWEEN(15000,90000),IF(C66="Injury to Third Parties",RANDBETWEEN(5000,60000))))))</f>
        <v>53100</v>
      </c>
      <c r="M66">
        <v>2</v>
      </c>
      <c r="N66">
        <f>IF(YEAR(B66)=2023, 1.03,
   IF(YEAR(B66)=2022, 1.0506,
   IF(YEAR(B66)=2021, 1.071612,
   IF(YEAR(B66)=2020, 1.10376036,
   IF(YEAR(B66)=2019, 1.1479107744,
   IF(YEAR(B66)=2018, 1.20530631312, 1))))))</f>
        <v>1.03</v>
      </c>
      <c r="O66" s="28">
        <f>F66*N66</f>
        <v>738301.11599999992</v>
      </c>
      <c r="P66" s="28">
        <f>O66-H66</f>
        <v>705353.66599999997</v>
      </c>
      <c r="Q66" s="30">
        <f xml:space="preserve"> MIN(P66,G66)</f>
        <v>705353.66599999997</v>
      </c>
      <c r="R66" s="84">
        <f>IF(Q66&lt;1000000,1,0)</f>
        <v>1</v>
      </c>
      <c r="S66">
        <f>YEAR(B66)</f>
        <v>2023</v>
      </c>
    </row>
    <row r="67" spans="1:19">
      <c r="A67" t="s">
        <v>112</v>
      </c>
      <c r="B67" s="1">
        <v>44753</v>
      </c>
      <c r="C67" t="s">
        <v>26</v>
      </c>
      <c r="D67" s="3">
        <v>683849.45</v>
      </c>
      <c r="E67" t="s">
        <v>27</v>
      </c>
      <c r="F67" s="27">
        <f>D67+H67</f>
        <v>713331.89999999991</v>
      </c>
      <c r="G67" s="86">
        <v>5000000</v>
      </c>
      <c r="H67" s="3">
        <v>29482.45</v>
      </c>
      <c r="I67" t="s">
        <v>28</v>
      </c>
      <c r="J67" t="s">
        <v>23</v>
      </c>
      <c r="K67" t="s">
        <v>47</v>
      </c>
      <c r="L67">
        <f ca="1">IF(C67="Cargo Liability",RANDBETWEEN(10000,80000),IF(C67="Collision Liability",RANDBETWEEN(20000,100000),IF(C67="Environmental Pollution",RANDBETWEEN(50000,120000),IF(C67="Damage to Other Vessels",RANDBETWEEN(15000,90000),IF(C67="Injury to Third Parties",RANDBETWEEN(5000,60000))))))</f>
        <v>95206</v>
      </c>
      <c r="M67">
        <v>4</v>
      </c>
      <c r="N67">
        <f>IF(YEAR(B67)=2023, 1.03,
   IF(YEAR(B67)=2022, 1.0506,
   IF(YEAR(B67)=2021, 1.071612,
   IF(YEAR(B67)=2020, 1.10376036,
   IF(YEAR(B67)=2019, 1.1479107744,
   IF(YEAR(B67)=2018, 1.20530631312, 1))))))</f>
        <v>1.0506</v>
      </c>
      <c r="O67" s="28">
        <f>F67*N67</f>
        <v>749426.49413999985</v>
      </c>
      <c r="P67" s="28">
        <f>O67-H67</f>
        <v>719944.0441399999</v>
      </c>
      <c r="Q67" s="30">
        <f xml:space="preserve"> MIN(P67,G67)</f>
        <v>719944.0441399999</v>
      </c>
      <c r="R67" s="84">
        <f>IF(Q67&lt;1000000,1,0)</f>
        <v>1</v>
      </c>
      <c r="S67">
        <f>YEAR(B67)</f>
        <v>2022</v>
      </c>
    </row>
    <row r="68" spans="1:19">
      <c r="A68" t="s">
        <v>113</v>
      </c>
      <c r="B68" s="1">
        <v>44369</v>
      </c>
      <c r="C68" t="s">
        <v>16</v>
      </c>
      <c r="D68" s="3">
        <v>573839.54</v>
      </c>
      <c r="E68" t="s">
        <v>11</v>
      </c>
      <c r="F68" s="27">
        <f>D68+H68</f>
        <v>601678.92000000004</v>
      </c>
      <c r="G68" s="86">
        <v>5000000</v>
      </c>
      <c r="H68" s="3">
        <v>27839.38</v>
      </c>
      <c r="I68" t="s">
        <v>17</v>
      </c>
      <c r="J68" t="s">
        <v>38</v>
      </c>
      <c r="K68" t="s">
        <v>55</v>
      </c>
      <c r="L68">
        <f ca="1">IF(C68="Cargo Liability",RANDBETWEEN(10000,80000),IF(C68="Collision Liability",RANDBETWEEN(20000,100000),IF(C68="Environmental Pollution",RANDBETWEEN(50000,120000),IF(C68="Damage to Other Vessels",RANDBETWEEN(15000,90000),IF(C68="Injury to Third Parties",RANDBETWEEN(5000,60000))))))</f>
        <v>49015</v>
      </c>
      <c r="M68">
        <v>5</v>
      </c>
      <c r="N68">
        <f>IF(YEAR(B68)=2023, 1.03,
   IF(YEAR(B68)=2022, 1.0506,
   IF(YEAR(B68)=2021, 1.071612,
   IF(YEAR(B68)=2020, 1.10376036,
   IF(YEAR(B68)=2019, 1.1479107744,
   IF(YEAR(B68)=2018, 1.20530631312, 1))))))</f>
        <v>1.071612</v>
      </c>
      <c r="O68" s="28">
        <f>F68*N68</f>
        <v>644766.35081904009</v>
      </c>
      <c r="P68" s="28">
        <f>O68-H68</f>
        <v>616926.97081904009</v>
      </c>
      <c r="Q68" s="30">
        <f xml:space="preserve"> MIN(P68,G68)</f>
        <v>616926.97081904009</v>
      </c>
      <c r="R68" s="84">
        <f>IF(Q68&lt;1000000,1,0)</f>
        <v>1</v>
      </c>
      <c r="S68">
        <f>YEAR(B68)</f>
        <v>2021</v>
      </c>
    </row>
    <row r="69" spans="1:19">
      <c r="A69" t="s">
        <v>114</v>
      </c>
      <c r="B69" s="1">
        <v>43857</v>
      </c>
      <c r="C69" t="s">
        <v>32</v>
      </c>
      <c r="D69" s="3">
        <v>572839.44999999995</v>
      </c>
      <c r="E69" t="s">
        <v>11</v>
      </c>
      <c r="F69" s="27">
        <f>D69+H69</f>
        <v>605786.89999999991</v>
      </c>
      <c r="G69" s="86">
        <v>5000000</v>
      </c>
      <c r="H69" s="3">
        <v>32947.449999999997</v>
      </c>
      <c r="I69" t="s">
        <v>12</v>
      </c>
      <c r="J69" t="s">
        <v>29</v>
      </c>
      <c r="K69" t="s">
        <v>49</v>
      </c>
      <c r="L69">
        <f ca="1">IF(C69="Cargo Liability",RANDBETWEEN(10000,80000),IF(C69="Collision Liability",RANDBETWEEN(20000,100000),IF(C69="Environmental Pollution",RANDBETWEEN(50000,120000),IF(C69="Damage to Other Vessels",RANDBETWEEN(15000,90000),IF(C69="Injury to Third Parties",RANDBETWEEN(5000,60000))))))</f>
        <v>55493</v>
      </c>
      <c r="M69">
        <v>3</v>
      </c>
      <c r="N69">
        <f>IF(YEAR(B69)=2023, 1.03,
   IF(YEAR(B69)=2022, 1.0506,
   IF(YEAR(B69)=2021, 1.071612,
   IF(YEAR(B69)=2020, 1.10376036,
   IF(YEAR(B69)=2019, 1.1479107744,
   IF(YEAR(B69)=2018, 1.20530631312, 1))))))</f>
        <v>1.1037603600000001</v>
      </c>
      <c r="O69" s="28">
        <f>F69*N69</f>
        <v>668643.56682728394</v>
      </c>
      <c r="P69" s="28">
        <f>O69-H69</f>
        <v>635696.11682728399</v>
      </c>
      <c r="Q69" s="30">
        <f xml:space="preserve"> MIN(P69,G69)</f>
        <v>635696.11682728399</v>
      </c>
      <c r="R69" s="84">
        <f>IF(Q69&lt;1000000,1,0)</f>
        <v>1</v>
      </c>
      <c r="S69">
        <f>YEAR(B69)</f>
        <v>2020</v>
      </c>
    </row>
    <row r="70" spans="1:19">
      <c r="A70" t="s">
        <v>115</v>
      </c>
      <c r="B70" s="1">
        <v>43593</v>
      </c>
      <c r="C70" t="s">
        <v>32</v>
      </c>
      <c r="D70" s="3">
        <v>472839.38</v>
      </c>
      <c r="E70" t="s">
        <v>27</v>
      </c>
      <c r="F70" s="27">
        <f>D70+H70</f>
        <v>502313.22000000003</v>
      </c>
      <c r="G70" s="86">
        <v>2000000</v>
      </c>
      <c r="H70" s="3">
        <v>29473.84</v>
      </c>
      <c r="I70" t="s">
        <v>17</v>
      </c>
      <c r="J70" t="s">
        <v>23</v>
      </c>
      <c r="K70" t="s">
        <v>65</v>
      </c>
      <c r="L70">
        <f ca="1">IF(C70="Cargo Liability",RANDBETWEEN(10000,80000),IF(C70="Collision Liability",RANDBETWEEN(20000,100000),IF(C70="Environmental Pollution",RANDBETWEEN(50000,120000),IF(C70="Damage to Other Vessels",RANDBETWEEN(15000,90000),IF(C70="Injury to Third Parties",RANDBETWEEN(5000,60000))))))</f>
        <v>59309</v>
      </c>
      <c r="M70">
        <v>4</v>
      </c>
      <c r="N70">
        <f>IF(YEAR(B70)=2023, 1.03,
   IF(YEAR(B70)=2022, 1.0506,
   IF(YEAR(B70)=2021, 1.071612,
   IF(YEAR(B70)=2020, 1.10376036,
   IF(YEAR(B70)=2019, 1.1479107744,
   IF(YEAR(B70)=2018, 1.20530631312, 1))))))</f>
        <v>1.1479107743999999</v>
      </c>
      <c r="O70" s="28">
        <f>F70*N70</f>
        <v>576610.75736155757</v>
      </c>
      <c r="P70" s="28">
        <f>O70-H70</f>
        <v>547136.9173615576</v>
      </c>
      <c r="Q70" s="30">
        <f xml:space="preserve"> MIN(P70,G70)</f>
        <v>547136.9173615576</v>
      </c>
      <c r="R70" s="84">
        <f>IF(Q70&lt;1000000,1,0)</f>
        <v>1</v>
      </c>
      <c r="S70">
        <f>YEAR(B70)</f>
        <v>2019</v>
      </c>
    </row>
    <row r="71" spans="1:19">
      <c r="A71" t="s">
        <v>116</v>
      </c>
      <c r="B71" s="1">
        <v>45035</v>
      </c>
      <c r="C71" t="s">
        <v>10</v>
      </c>
      <c r="D71" s="3">
        <v>573849.48</v>
      </c>
      <c r="E71" t="s">
        <v>11</v>
      </c>
      <c r="F71" s="27">
        <f>D71+H71</f>
        <v>606697.05999999994</v>
      </c>
      <c r="G71" s="86">
        <v>5000000</v>
      </c>
      <c r="H71" s="3">
        <v>32847.58</v>
      </c>
      <c r="I71" t="s">
        <v>17</v>
      </c>
      <c r="J71" t="s">
        <v>38</v>
      </c>
      <c r="K71" t="s">
        <v>47</v>
      </c>
      <c r="L71">
        <f ca="1">IF(C71="Cargo Liability",RANDBETWEEN(10000,80000),IF(C71="Collision Liability",RANDBETWEEN(20000,100000),IF(C71="Environmental Pollution",RANDBETWEEN(50000,120000),IF(C71="Damage to Other Vessels",RANDBETWEEN(15000,90000),IF(C71="Injury to Third Parties",RANDBETWEEN(5000,60000))))))</f>
        <v>66656</v>
      </c>
      <c r="M71">
        <v>3</v>
      </c>
      <c r="N71">
        <f>IF(YEAR(B71)=2023, 1.03,
   IF(YEAR(B71)=2022, 1.0506,
   IF(YEAR(B71)=2021, 1.071612,
   IF(YEAR(B71)=2020, 1.10376036,
   IF(YEAR(B71)=2019, 1.1479107744,
   IF(YEAR(B71)=2018, 1.20530631312, 1))))))</f>
        <v>1.03</v>
      </c>
      <c r="O71" s="28">
        <f>F71*N71</f>
        <v>624897.97179999994</v>
      </c>
      <c r="P71" s="28">
        <f>O71-H71</f>
        <v>592050.39179999998</v>
      </c>
      <c r="Q71" s="30">
        <f xml:space="preserve"> MIN(P71,G71)</f>
        <v>592050.39179999998</v>
      </c>
      <c r="R71" s="84">
        <f>IF(Q71&lt;1000000,1,0)</f>
        <v>1</v>
      </c>
      <c r="S71">
        <f>YEAR(B71)</f>
        <v>2023</v>
      </c>
    </row>
    <row r="72" spans="1:19">
      <c r="A72" t="s">
        <v>117</v>
      </c>
      <c r="B72" s="1">
        <v>44481</v>
      </c>
      <c r="C72" t="s">
        <v>21</v>
      </c>
      <c r="D72" s="3">
        <v>683849.75</v>
      </c>
      <c r="E72" t="s">
        <v>11</v>
      </c>
      <c r="F72" s="27">
        <f>D72+H72</f>
        <v>721798.13</v>
      </c>
      <c r="G72" s="86">
        <v>5000000</v>
      </c>
      <c r="H72" s="3">
        <v>37948.379999999997</v>
      </c>
      <c r="I72" t="s">
        <v>22</v>
      </c>
      <c r="J72" t="s">
        <v>29</v>
      </c>
      <c r="K72" t="s">
        <v>53</v>
      </c>
      <c r="L72">
        <f ca="1">IF(C72="Cargo Liability",RANDBETWEEN(10000,80000),IF(C72="Collision Liability",RANDBETWEEN(20000,100000),IF(C72="Environmental Pollution",RANDBETWEEN(50000,120000),IF(C72="Damage to Other Vessels",RANDBETWEEN(15000,90000),IF(C72="Injury to Third Parties",RANDBETWEEN(5000,60000))))))</f>
        <v>27757</v>
      </c>
      <c r="M72">
        <v>5</v>
      </c>
      <c r="N72">
        <f>IF(YEAR(B72)=2023, 1.03,
   IF(YEAR(B72)=2022, 1.0506,
   IF(YEAR(B72)=2021, 1.071612,
   IF(YEAR(B72)=2020, 1.10376036,
   IF(YEAR(B72)=2019, 1.1479107744,
   IF(YEAR(B72)=2018, 1.20530631312, 1))))))</f>
        <v>1.071612</v>
      </c>
      <c r="O72" s="28">
        <f>F72*N72</f>
        <v>773487.53768556006</v>
      </c>
      <c r="P72" s="28">
        <f>O72-H72</f>
        <v>735539.15768556006</v>
      </c>
      <c r="Q72" s="30">
        <f xml:space="preserve"> MIN(P72,G72)</f>
        <v>735539.15768556006</v>
      </c>
      <c r="R72" s="84">
        <f>IF(Q72&lt;1000000,1,0)</f>
        <v>1</v>
      </c>
      <c r="S72">
        <f>YEAR(B72)</f>
        <v>2021</v>
      </c>
    </row>
    <row r="73" spans="1:19">
      <c r="A73" t="s">
        <v>118</v>
      </c>
      <c r="B73" s="1">
        <v>44648</v>
      </c>
      <c r="C73" t="s">
        <v>26</v>
      </c>
      <c r="D73" s="3">
        <v>739849.45</v>
      </c>
      <c r="E73" t="s">
        <v>27</v>
      </c>
      <c r="F73" s="27">
        <f>D73+H73</f>
        <v>778796.89999999991</v>
      </c>
      <c r="G73" s="86">
        <v>5000000</v>
      </c>
      <c r="H73" s="3">
        <v>38947.449999999997</v>
      </c>
      <c r="I73" t="s">
        <v>28</v>
      </c>
      <c r="J73" t="s">
        <v>13</v>
      </c>
      <c r="K73" t="s">
        <v>41</v>
      </c>
      <c r="L73">
        <f ca="1">IF(C73="Cargo Liability",RANDBETWEEN(10000,80000),IF(C73="Collision Liability",RANDBETWEEN(20000,100000),IF(C73="Environmental Pollution",RANDBETWEEN(50000,120000),IF(C73="Damage to Other Vessels",RANDBETWEEN(15000,90000),IF(C73="Injury to Third Parties",RANDBETWEEN(5000,60000))))))</f>
        <v>78443</v>
      </c>
      <c r="M73">
        <v>3</v>
      </c>
      <c r="N73">
        <f>IF(YEAR(B73)=2023, 1.03,
   IF(YEAR(B73)=2022, 1.0506,
   IF(YEAR(B73)=2021, 1.071612,
   IF(YEAR(B73)=2020, 1.10376036,
   IF(YEAR(B73)=2019, 1.1479107744,
   IF(YEAR(B73)=2018, 1.20530631312, 1))))))</f>
        <v>1.0506</v>
      </c>
      <c r="O73" s="28">
        <f>F73*N73</f>
        <v>818204.02313999983</v>
      </c>
      <c r="P73" s="28">
        <f>O73-H73</f>
        <v>779256.57313999988</v>
      </c>
      <c r="Q73" s="30">
        <f xml:space="preserve"> MIN(P73,G73)</f>
        <v>779256.57313999988</v>
      </c>
      <c r="R73" s="84">
        <f>IF(Q73&lt;1000000,1,0)</f>
        <v>1</v>
      </c>
      <c r="S73">
        <f>YEAR(B73)</f>
        <v>2022</v>
      </c>
    </row>
    <row r="74" spans="1:19">
      <c r="A74" t="s">
        <v>119</v>
      </c>
      <c r="B74" s="1">
        <v>44047</v>
      </c>
      <c r="C74" t="s">
        <v>16</v>
      </c>
      <c r="D74" s="3">
        <v>573839.54</v>
      </c>
      <c r="E74" t="s">
        <v>11</v>
      </c>
      <c r="F74" s="27">
        <f>D74+H74</f>
        <v>601678.92000000004</v>
      </c>
      <c r="G74" s="86">
        <v>5000000</v>
      </c>
      <c r="H74" s="3">
        <v>27839.38</v>
      </c>
      <c r="I74" t="s">
        <v>17</v>
      </c>
      <c r="J74" t="s">
        <v>18</v>
      </c>
      <c r="K74" t="s">
        <v>76</v>
      </c>
      <c r="L74">
        <f ca="1">IF(C74="Cargo Liability",RANDBETWEEN(10000,80000),IF(C74="Collision Liability",RANDBETWEEN(20000,100000),IF(C74="Environmental Pollution",RANDBETWEEN(50000,120000),IF(C74="Damage to Other Vessels",RANDBETWEEN(15000,90000),IF(C74="Injury to Third Parties",RANDBETWEEN(5000,60000))))))</f>
        <v>59948</v>
      </c>
      <c r="M74">
        <v>6</v>
      </c>
      <c r="N74">
        <f>IF(YEAR(B74)=2023, 1.03,
   IF(YEAR(B74)=2022, 1.0506,
   IF(YEAR(B74)=2021, 1.071612,
   IF(YEAR(B74)=2020, 1.10376036,
   IF(YEAR(B74)=2019, 1.1479107744,
   IF(YEAR(B74)=2018, 1.20530631312, 1))))))</f>
        <v>1.1037603600000001</v>
      </c>
      <c r="O74" s="28">
        <f>F74*N74</f>
        <v>664109.34134361136</v>
      </c>
      <c r="P74" s="28">
        <f>O74-H74</f>
        <v>636269.96134361136</v>
      </c>
      <c r="Q74" s="30">
        <f xml:space="preserve"> MIN(P74,G74)</f>
        <v>636269.96134361136</v>
      </c>
      <c r="R74" s="84">
        <f>IF(Q74&lt;1000000,1,0)</f>
        <v>1</v>
      </c>
      <c r="S74">
        <f>YEAR(B74)</f>
        <v>2020</v>
      </c>
    </row>
    <row r="75" spans="1:19">
      <c r="A75" t="s">
        <v>120</v>
      </c>
      <c r="B75" s="1">
        <v>43268</v>
      </c>
      <c r="C75" t="s">
        <v>32</v>
      </c>
      <c r="D75" s="3">
        <v>572839.44999999995</v>
      </c>
      <c r="E75" t="s">
        <v>11</v>
      </c>
      <c r="F75" s="27">
        <f>D75+H75</f>
        <v>605786.89999999991</v>
      </c>
      <c r="G75" s="86">
        <v>5000000</v>
      </c>
      <c r="H75" s="3">
        <v>32947.449999999997</v>
      </c>
      <c r="I75" t="s">
        <v>12</v>
      </c>
      <c r="J75" t="s">
        <v>38</v>
      </c>
      <c r="K75" t="s">
        <v>14</v>
      </c>
      <c r="L75">
        <f ca="1">IF(C75="Cargo Liability",RANDBETWEEN(10000,80000),IF(C75="Collision Liability",RANDBETWEEN(20000,100000),IF(C75="Environmental Pollution",RANDBETWEEN(50000,120000),IF(C75="Damage to Other Vessels",RANDBETWEEN(15000,90000),IF(C75="Injury to Third Parties",RANDBETWEEN(5000,60000))))))</f>
        <v>58865</v>
      </c>
      <c r="M75">
        <v>3</v>
      </c>
      <c r="N75">
        <f>IF(YEAR(B75)=2023, 1.03,
   IF(YEAR(B75)=2022, 1.0506,
   IF(YEAR(B75)=2021, 1.071612,
   IF(YEAR(B75)=2020, 1.10376036,
   IF(YEAR(B75)=2019, 1.1479107744,
   IF(YEAR(B75)=2018, 1.20530631312, 1))))))</f>
        <v>1.2053063131199999</v>
      </c>
      <c r="O75" s="28">
        <f>F75*N75</f>
        <v>730158.77497539402</v>
      </c>
      <c r="P75" s="28">
        <f>O75-H75</f>
        <v>697211.32497539406</v>
      </c>
      <c r="Q75" s="30">
        <f xml:space="preserve"> MIN(P75,G75)</f>
        <v>697211.32497539406</v>
      </c>
      <c r="R75" s="84">
        <f>IF(Q75&lt;1000000,1,0)</f>
        <v>1</v>
      </c>
      <c r="S75">
        <f>YEAR(B75)</f>
        <v>2018</v>
      </c>
    </row>
    <row r="76" spans="1:19">
      <c r="A76" t="s">
        <v>121</v>
      </c>
      <c r="B76" s="1">
        <v>45068</v>
      </c>
      <c r="C76" t="s">
        <v>10</v>
      </c>
      <c r="D76" s="3">
        <v>793849.23</v>
      </c>
      <c r="E76" t="s">
        <v>27</v>
      </c>
      <c r="F76" s="27">
        <f>D76+H76</f>
        <v>823331.71</v>
      </c>
      <c r="G76" s="86">
        <v>5000000</v>
      </c>
      <c r="H76" s="3">
        <v>29482.48</v>
      </c>
      <c r="I76" t="s">
        <v>17</v>
      </c>
      <c r="J76" t="s">
        <v>29</v>
      </c>
      <c r="K76" t="s">
        <v>34</v>
      </c>
      <c r="L76">
        <f ca="1">IF(C76="Cargo Liability",RANDBETWEEN(10000,80000),IF(C76="Collision Liability",RANDBETWEEN(20000,100000),IF(C76="Environmental Pollution",RANDBETWEEN(50000,120000),IF(C76="Damage to Other Vessels",RANDBETWEEN(15000,90000),IF(C76="Injury to Third Parties",RANDBETWEEN(5000,60000))))))</f>
        <v>34487</v>
      </c>
      <c r="M76">
        <v>4</v>
      </c>
      <c r="N76">
        <f>IF(YEAR(B76)=2023, 1.03,
   IF(YEAR(B76)=2022, 1.0506,
   IF(YEAR(B76)=2021, 1.071612,
   IF(YEAR(B76)=2020, 1.10376036,
   IF(YEAR(B76)=2019, 1.1479107744,
   IF(YEAR(B76)=2018, 1.20530631312, 1))))))</f>
        <v>1.03</v>
      </c>
      <c r="O76" s="28">
        <f>F76*N76</f>
        <v>848031.66130000004</v>
      </c>
      <c r="P76" s="28">
        <f>O76-H76</f>
        <v>818549.18130000005</v>
      </c>
      <c r="Q76" s="30">
        <f xml:space="preserve"> MIN(P76,G76)</f>
        <v>818549.18130000005</v>
      </c>
      <c r="R76" s="84">
        <f>IF(Q76&lt;1000000,1,0)</f>
        <v>1</v>
      </c>
      <c r="S76">
        <f>YEAR(B76)</f>
        <v>2023</v>
      </c>
    </row>
    <row r="77" spans="1:19">
      <c r="A77" t="s">
        <v>122</v>
      </c>
      <c r="B77" s="1">
        <v>44383</v>
      </c>
      <c r="C77" t="s">
        <v>21</v>
      </c>
      <c r="D77" s="3">
        <v>573849.48</v>
      </c>
      <c r="E77" t="s">
        <v>11</v>
      </c>
      <c r="F77" s="27">
        <f>D77+H77</f>
        <v>606697.05999999994</v>
      </c>
      <c r="G77" s="86">
        <v>5000000</v>
      </c>
      <c r="H77" s="3">
        <v>32847.58</v>
      </c>
      <c r="I77" t="s">
        <v>22</v>
      </c>
      <c r="J77" t="s">
        <v>13</v>
      </c>
      <c r="K77" t="s">
        <v>55</v>
      </c>
      <c r="L77">
        <f ca="1">IF(C77="Cargo Liability",RANDBETWEEN(10000,80000),IF(C77="Collision Liability",RANDBETWEEN(20000,100000),IF(C77="Environmental Pollution",RANDBETWEEN(50000,120000),IF(C77="Damage to Other Vessels",RANDBETWEEN(15000,90000),IF(C77="Injury to Third Parties",RANDBETWEEN(5000,60000))))))</f>
        <v>87570</v>
      </c>
      <c r="M77">
        <v>3</v>
      </c>
      <c r="N77">
        <f>IF(YEAR(B77)=2023, 1.03,
   IF(YEAR(B77)=2022, 1.0506,
   IF(YEAR(B77)=2021, 1.071612,
   IF(YEAR(B77)=2020, 1.10376036,
   IF(YEAR(B77)=2019, 1.1479107744,
   IF(YEAR(B77)=2018, 1.20530631312, 1))))))</f>
        <v>1.071612</v>
      </c>
      <c r="O77" s="28">
        <f>F77*N77</f>
        <v>650143.84986071999</v>
      </c>
      <c r="P77" s="28">
        <f>O77-H77</f>
        <v>617296.26986072003</v>
      </c>
      <c r="Q77" s="30">
        <f xml:space="preserve"> MIN(P77,G77)</f>
        <v>617296.26986072003</v>
      </c>
      <c r="R77" s="84">
        <f>IF(Q77&lt;1000000,1,0)</f>
        <v>1</v>
      </c>
      <c r="S77">
        <f>YEAR(B77)</f>
        <v>2021</v>
      </c>
    </row>
    <row r="78" spans="1:19">
      <c r="A78" t="s">
        <v>123</v>
      </c>
      <c r="B78" s="1">
        <v>43879</v>
      </c>
      <c r="C78" t="s">
        <v>26</v>
      </c>
      <c r="D78" s="3">
        <v>572839.44999999995</v>
      </c>
      <c r="E78" t="s">
        <v>11</v>
      </c>
      <c r="F78" s="27">
        <f>D78+H78</f>
        <v>605786.89999999991</v>
      </c>
      <c r="G78" s="86">
        <v>5000000</v>
      </c>
      <c r="H78" s="3">
        <v>32947.449999999997</v>
      </c>
      <c r="I78" t="s">
        <v>28</v>
      </c>
      <c r="J78" t="s">
        <v>23</v>
      </c>
      <c r="K78" t="s">
        <v>43</v>
      </c>
      <c r="L78">
        <f ca="1">IF(C78="Cargo Liability",RANDBETWEEN(10000,80000),IF(C78="Collision Liability",RANDBETWEEN(20000,100000),IF(C78="Environmental Pollution",RANDBETWEEN(50000,120000),IF(C78="Damage to Other Vessels",RANDBETWEEN(15000,90000),IF(C78="Injury to Third Parties",RANDBETWEEN(5000,60000))))))</f>
        <v>106174</v>
      </c>
      <c r="M78">
        <v>6</v>
      </c>
      <c r="N78">
        <f>IF(YEAR(B78)=2023, 1.03,
   IF(YEAR(B78)=2022, 1.0506,
   IF(YEAR(B78)=2021, 1.071612,
   IF(YEAR(B78)=2020, 1.10376036,
   IF(YEAR(B78)=2019, 1.1479107744,
   IF(YEAR(B78)=2018, 1.20530631312, 1))))))</f>
        <v>1.1037603600000001</v>
      </c>
      <c r="O78" s="28">
        <f>F78*N78</f>
        <v>668643.56682728394</v>
      </c>
      <c r="P78" s="28">
        <f>O78-H78</f>
        <v>635696.11682728399</v>
      </c>
      <c r="Q78" s="30">
        <f xml:space="preserve"> MIN(P78,G78)</f>
        <v>635696.11682728399</v>
      </c>
      <c r="R78" s="84">
        <f>IF(Q78&lt;1000000,1,0)</f>
        <v>1</v>
      </c>
      <c r="S78">
        <f>YEAR(B78)</f>
        <v>2020</v>
      </c>
    </row>
    <row r="79" spans="1:19">
      <c r="A79" t="s">
        <v>124</v>
      </c>
      <c r="B79" s="1">
        <v>44818</v>
      </c>
      <c r="C79" t="s">
        <v>16</v>
      </c>
      <c r="D79" s="3">
        <v>573839.54</v>
      </c>
      <c r="E79" t="s">
        <v>27</v>
      </c>
      <c r="F79" s="27">
        <f>D79+H79</f>
        <v>601678.92000000004</v>
      </c>
      <c r="G79" s="86">
        <v>5000000</v>
      </c>
      <c r="H79" s="3">
        <v>27839.38</v>
      </c>
      <c r="I79" t="s">
        <v>17</v>
      </c>
      <c r="J79" t="s">
        <v>18</v>
      </c>
      <c r="K79" t="s">
        <v>39</v>
      </c>
      <c r="L79">
        <f ca="1">IF(C79="Cargo Liability",RANDBETWEEN(10000,80000),IF(C79="Collision Liability",RANDBETWEEN(20000,100000),IF(C79="Environmental Pollution",RANDBETWEEN(50000,120000),IF(C79="Damage to Other Vessels",RANDBETWEEN(15000,90000),IF(C79="Injury to Third Parties",RANDBETWEEN(5000,60000))))))</f>
        <v>65152</v>
      </c>
      <c r="M79">
        <v>3</v>
      </c>
      <c r="N79">
        <f>IF(YEAR(B79)=2023, 1.03,
   IF(YEAR(B79)=2022, 1.0506,
   IF(YEAR(B79)=2021, 1.071612,
   IF(YEAR(B79)=2020, 1.10376036,
   IF(YEAR(B79)=2019, 1.1479107744,
   IF(YEAR(B79)=2018, 1.20530631312, 1))))))</f>
        <v>1.0506</v>
      </c>
      <c r="O79" s="28">
        <f>F79*N79</f>
        <v>632123.87335200002</v>
      </c>
      <c r="P79" s="28">
        <f>O79-H79</f>
        <v>604284.49335200002</v>
      </c>
      <c r="Q79" s="30">
        <f xml:space="preserve"> MIN(P79,G79)</f>
        <v>604284.49335200002</v>
      </c>
      <c r="R79" s="84">
        <f>IF(Q79&lt;1000000,1,0)</f>
        <v>1</v>
      </c>
      <c r="S79">
        <f>YEAR(B79)</f>
        <v>2022</v>
      </c>
    </row>
    <row r="80" spans="1:19">
      <c r="A80" t="s">
        <v>125</v>
      </c>
      <c r="B80" s="1">
        <v>44992</v>
      </c>
      <c r="C80" t="s">
        <v>32</v>
      </c>
      <c r="D80" s="3">
        <v>473839.25</v>
      </c>
      <c r="E80" t="s">
        <v>11</v>
      </c>
      <c r="F80" s="27">
        <f>D80+H80</f>
        <v>501321.63</v>
      </c>
      <c r="G80" s="86">
        <v>2000000</v>
      </c>
      <c r="H80" s="3">
        <v>27482.38</v>
      </c>
      <c r="I80" t="s">
        <v>12</v>
      </c>
      <c r="J80" t="s">
        <v>38</v>
      </c>
      <c r="K80" t="s">
        <v>24</v>
      </c>
      <c r="L80">
        <f ca="1">IF(C80="Cargo Liability",RANDBETWEEN(10000,80000),IF(C80="Collision Liability",RANDBETWEEN(20000,100000),IF(C80="Environmental Pollution",RANDBETWEEN(50000,120000),IF(C80="Damage to Other Vessels",RANDBETWEEN(15000,90000),IF(C80="Injury to Third Parties",RANDBETWEEN(5000,60000))))))</f>
        <v>12041</v>
      </c>
      <c r="M80">
        <v>5</v>
      </c>
      <c r="N80">
        <f>IF(YEAR(B80)=2023, 1.03,
   IF(YEAR(B80)=2022, 1.0506,
   IF(YEAR(B80)=2021, 1.071612,
   IF(YEAR(B80)=2020, 1.10376036,
   IF(YEAR(B80)=2019, 1.1479107744,
   IF(YEAR(B80)=2018, 1.20530631312, 1))))))</f>
        <v>1.03</v>
      </c>
      <c r="O80" s="28">
        <f>F80*N80</f>
        <v>516361.27890000003</v>
      </c>
      <c r="P80" s="28">
        <f>O80-H80</f>
        <v>488878.89890000003</v>
      </c>
      <c r="Q80" s="30">
        <f xml:space="preserve"> MIN(P80,G80)</f>
        <v>488878.89890000003</v>
      </c>
      <c r="R80" s="84">
        <f>IF(Q80&lt;1000000,1,0)</f>
        <v>1</v>
      </c>
      <c r="S80">
        <f>YEAR(B80)</f>
        <v>2023</v>
      </c>
    </row>
    <row r="81" spans="1:19">
      <c r="A81" t="s">
        <v>126</v>
      </c>
      <c r="B81" s="1">
        <v>44531</v>
      </c>
      <c r="C81" t="s">
        <v>10</v>
      </c>
      <c r="D81" s="3">
        <v>573849.48</v>
      </c>
      <c r="E81" t="s">
        <v>11</v>
      </c>
      <c r="F81" s="27">
        <f>D81+H81</f>
        <v>606697.05999999994</v>
      </c>
      <c r="G81" s="86">
        <v>5000000</v>
      </c>
      <c r="H81" s="3">
        <v>32847.58</v>
      </c>
      <c r="I81" t="s">
        <v>17</v>
      </c>
      <c r="J81" t="s">
        <v>29</v>
      </c>
      <c r="K81" t="s">
        <v>30</v>
      </c>
      <c r="L81">
        <f ca="1">IF(C81="Cargo Liability",RANDBETWEEN(10000,80000),IF(C81="Collision Liability",RANDBETWEEN(20000,100000),IF(C81="Environmental Pollution",RANDBETWEEN(50000,120000),IF(C81="Damage to Other Vessels",RANDBETWEEN(15000,90000),IF(C81="Injury to Third Parties",RANDBETWEEN(5000,60000))))))</f>
        <v>48683</v>
      </c>
      <c r="M81">
        <v>7</v>
      </c>
      <c r="N81">
        <f>IF(YEAR(B81)=2023, 1.03,
   IF(YEAR(B81)=2022, 1.0506,
   IF(YEAR(B81)=2021, 1.071612,
   IF(YEAR(B81)=2020, 1.10376036,
   IF(YEAR(B81)=2019, 1.1479107744,
   IF(YEAR(B81)=2018, 1.20530631312, 1))))))</f>
        <v>1.071612</v>
      </c>
      <c r="O81" s="28">
        <f>F81*N81</f>
        <v>650143.84986071999</v>
      </c>
      <c r="P81" s="28">
        <f>O81-H81</f>
        <v>617296.26986072003</v>
      </c>
      <c r="Q81" s="30">
        <f xml:space="preserve"> MIN(P81,G81)</f>
        <v>617296.26986072003</v>
      </c>
      <c r="R81" s="84">
        <f>IF(Q81&lt;1000000,1,0)</f>
        <v>1</v>
      </c>
      <c r="S81">
        <f>YEAR(B81)</f>
        <v>2021</v>
      </c>
    </row>
    <row r="82" spans="1:19">
      <c r="A82" t="s">
        <v>127</v>
      </c>
      <c r="B82" s="1">
        <v>43987</v>
      </c>
      <c r="C82" t="s">
        <v>21</v>
      </c>
      <c r="D82" s="3">
        <v>683849.75</v>
      </c>
      <c r="E82" t="s">
        <v>11</v>
      </c>
      <c r="F82" s="27">
        <f>D82+H82</f>
        <v>721798.13</v>
      </c>
      <c r="G82" s="86">
        <v>5000000</v>
      </c>
      <c r="H82" s="3">
        <v>37948.379999999997</v>
      </c>
      <c r="I82" t="s">
        <v>22</v>
      </c>
      <c r="J82" t="s">
        <v>13</v>
      </c>
      <c r="K82" t="s">
        <v>57</v>
      </c>
      <c r="L82">
        <f ca="1">IF(C82="Cargo Liability",RANDBETWEEN(10000,80000),IF(C82="Collision Liability",RANDBETWEEN(20000,100000),IF(C82="Environmental Pollution",RANDBETWEEN(50000,120000),IF(C82="Damage to Other Vessels",RANDBETWEEN(15000,90000),IF(C82="Injury to Third Parties",RANDBETWEEN(5000,60000))))))</f>
        <v>73824</v>
      </c>
      <c r="M82">
        <v>3</v>
      </c>
      <c r="N82">
        <f>IF(YEAR(B82)=2023, 1.03,
   IF(YEAR(B82)=2022, 1.0506,
   IF(YEAR(B82)=2021, 1.071612,
   IF(YEAR(B82)=2020, 1.10376036,
   IF(YEAR(B82)=2019, 1.1479107744,
   IF(YEAR(B82)=2018, 1.20530631312, 1))))))</f>
        <v>1.1037603600000001</v>
      </c>
      <c r="O82" s="28">
        <f>F82*N82</f>
        <v>796692.16381612688</v>
      </c>
      <c r="P82" s="28">
        <f>O82-H82</f>
        <v>758743.78381612687</v>
      </c>
      <c r="Q82" s="30">
        <f xml:space="preserve"> MIN(P82,G82)</f>
        <v>758743.78381612687</v>
      </c>
      <c r="R82" s="84">
        <f>IF(Q82&lt;1000000,1,0)</f>
        <v>1</v>
      </c>
      <c r="S82">
        <f>YEAR(B82)</f>
        <v>2020</v>
      </c>
    </row>
    <row r="83" spans="1:19">
      <c r="A83" t="s">
        <v>128</v>
      </c>
      <c r="B83" s="1">
        <v>43707</v>
      </c>
      <c r="C83" t="s">
        <v>26</v>
      </c>
      <c r="D83" s="3">
        <v>739849.45</v>
      </c>
      <c r="E83" t="s">
        <v>27</v>
      </c>
      <c r="F83" s="27">
        <f>D83+H83</f>
        <v>778796.89999999991</v>
      </c>
      <c r="G83" s="86">
        <v>5000000</v>
      </c>
      <c r="H83" s="3">
        <v>38947.449999999997</v>
      </c>
      <c r="I83" t="s">
        <v>28</v>
      </c>
      <c r="J83" t="s">
        <v>23</v>
      </c>
      <c r="K83" t="s">
        <v>51</v>
      </c>
      <c r="L83">
        <f ca="1">IF(C83="Cargo Liability",RANDBETWEEN(10000,80000),IF(C83="Collision Liability",RANDBETWEEN(20000,100000),IF(C83="Environmental Pollution",RANDBETWEEN(50000,120000),IF(C83="Damage to Other Vessels",RANDBETWEEN(15000,90000),IF(C83="Injury to Third Parties",RANDBETWEEN(5000,60000))))))</f>
        <v>109800</v>
      </c>
      <c r="M83">
        <v>4</v>
      </c>
      <c r="N83">
        <f>IF(YEAR(B83)=2023, 1.03,
   IF(YEAR(B83)=2022, 1.0506,
   IF(YEAR(B83)=2021, 1.071612,
   IF(YEAR(B83)=2020, 1.10376036,
   IF(YEAR(B83)=2019, 1.1479107744,
   IF(YEAR(B83)=2018, 1.20530631312, 1))))))</f>
        <v>1.1479107743999999</v>
      </c>
      <c r="O83" s="28">
        <f>F83*N83</f>
        <v>893989.35257931915</v>
      </c>
      <c r="P83" s="28">
        <f>O83-H83</f>
        <v>855041.9025793192</v>
      </c>
      <c r="Q83" s="30">
        <f xml:space="preserve"> MIN(P83,G83)</f>
        <v>855041.9025793192</v>
      </c>
      <c r="R83" s="84">
        <f>IF(Q83&lt;1000000,1,0)</f>
        <v>1</v>
      </c>
      <c r="S83">
        <f>YEAR(B83)</f>
        <v>2019</v>
      </c>
    </row>
    <row r="84" spans="1:19">
      <c r="A84" t="s">
        <v>129</v>
      </c>
      <c r="B84" s="1">
        <v>43426</v>
      </c>
      <c r="C84" t="s">
        <v>16</v>
      </c>
      <c r="D84" s="3">
        <v>573839.54</v>
      </c>
      <c r="E84" t="s">
        <v>11</v>
      </c>
      <c r="F84" s="27">
        <f>D84+H84</f>
        <v>601678.92000000004</v>
      </c>
      <c r="G84" s="86">
        <v>5000000</v>
      </c>
      <c r="H84" s="3">
        <v>27839.38</v>
      </c>
      <c r="I84" t="s">
        <v>17</v>
      </c>
      <c r="J84" t="s">
        <v>18</v>
      </c>
      <c r="K84" t="s">
        <v>72</v>
      </c>
      <c r="L84">
        <f ca="1">IF(C84="Cargo Liability",RANDBETWEEN(10000,80000),IF(C84="Collision Liability",RANDBETWEEN(20000,100000),IF(C84="Environmental Pollution",RANDBETWEEN(50000,120000),IF(C84="Damage to Other Vessels",RANDBETWEEN(15000,90000),IF(C84="Injury to Third Parties",RANDBETWEEN(5000,60000))))))</f>
        <v>58377</v>
      </c>
      <c r="M84">
        <v>5</v>
      </c>
      <c r="N84">
        <f>IF(YEAR(B84)=2023, 1.03,
   IF(YEAR(B84)=2022, 1.0506,
   IF(YEAR(B84)=2021, 1.071612,
   IF(YEAR(B84)=2020, 1.10376036,
   IF(YEAR(B84)=2019, 1.1479107744,
   IF(YEAR(B84)=2018, 1.20530631312, 1))))))</f>
        <v>1.2053063131199999</v>
      </c>
      <c r="O84" s="28">
        <f>F84*N84</f>
        <v>725207.40074722341</v>
      </c>
      <c r="P84" s="28">
        <f>O84-H84</f>
        <v>697368.0207472234</v>
      </c>
      <c r="Q84" s="30">
        <f xml:space="preserve"> MIN(P84,G84)</f>
        <v>697368.0207472234</v>
      </c>
      <c r="R84" s="84">
        <f>IF(Q84&lt;1000000,1,0)</f>
        <v>1</v>
      </c>
      <c r="S84">
        <f>YEAR(B84)</f>
        <v>2018</v>
      </c>
    </row>
    <row r="85" spans="1:19">
      <c r="A85" t="s">
        <v>130</v>
      </c>
      <c r="B85" s="1">
        <v>44955</v>
      </c>
      <c r="C85" t="s">
        <v>32</v>
      </c>
      <c r="D85" s="3">
        <v>572839.44999999995</v>
      </c>
      <c r="E85" t="s">
        <v>11</v>
      </c>
      <c r="F85" s="27">
        <f>D85+H85</f>
        <v>605786.89999999991</v>
      </c>
      <c r="G85" s="86">
        <v>5000000</v>
      </c>
      <c r="H85" s="3">
        <v>32947.449999999997</v>
      </c>
      <c r="I85" t="s">
        <v>12</v>
      </c>
      <c r="J85" t="s">
        <v>38</v>
      </c>
      <c r="K85" t="s">
        <v>65</v>
      </c>
      <c r="L85">
        <f ca="1">IF(C85="Cargo Liability",RANDBETWEEN(10000,80000),IF(C85="Collision Liability",RANDBETWEEN(20000,100000),IF(C85="Environmental Pollution",RANDBETWEEN(50000,120000),IF(C85="Damage to Other Vessels",RANDBETWEEN(15000,90000),IF(C85="Injury to Third Parties",RANDBETWEEN(5000,60000))))))</f>
        <v>15664</v>
      </c>
      <c r="M85">
        <v>6</v>
      </c>
      <c r="N85">
        <f>IF(YEAR(B85)=2023, 1.03,
   IF(YEAR(B85)=2022, 1.0506,
   IF(YEAR(B85)=2021, 1.071612,
   IF(YEAR(B85)=2020, 1.10376036,
   IF(YEAR(B85)=2019, 1.1479107744,
   IF(YEAR(B85)=2018, 1.20530631312, 1))))))</f>
        <v>1.03</v>
      </c>
      <c r="O85" s="28">
        <f>F85*N85</f>
        <v>623960.50699999987</v>
      </c>
      <c r="P85" s="28">
        <f>O85-H85</f>
        <v>591013.05699999991</v>
      </c>
      <c r="Q85" s="30">
        <f xml:space="preserve"> MIN(P85,G85)</f>
        <v>591013.05699999991</v>
      </c>
      <c r="R85" s="84">
        <f>IF(Q85&lt;1000000,1,0)</f>
        <v>1</v>
      </c>
      <c r="S85">
        <f>YEAR(B85)</f>
        <v>2023</v>
      </c>
    </row>
    <row r="86" spans="1:19">
      <c r="A86" t="s">
        <v>131</v>
      </c>
      <c r="B86" s="1">
        <v>44296</v>
      </c>
      <c r="C86" t="s">
        <v>10</v>
      </c>
      <c r="D86" s="3">
        <v>793849.23</v>
      </c>
      <c r="E86" t="s">
        <v>27</v>
      </c>
      <c r="F86" s="27">
        <f>D86+H86</f>
        <v>823331.71</v>
      </c>
      <c r="G86" s="86">
        <v>5000000</v>
      </c>
      <c r="H86" s="3">
        <v>29482.48</v>
      </c>
      <c r="I86" t="s">
        <v>17</v>
      </c>
      <c r="J86" t="s">
        <v>29</v>
      </c>
      <c r="K86" t="s">
        <v>47</v>
      </c>
      <c r="L86">
        <f ca="1">IF(C86="Cargo Liability",RANDBETWEEN(10000,80000),IF(C86="Collision Liability",RANDBETWEEN(20000,100000),IF(C86="Environmental Pollution",RANDBETWEEN(50000,120000),IF(C86="Damage to Other Vessels",RANDBETWEEN(15000,90000),IF(C86="Injury to Third Parties",RANDBETWEEN(5000,60000))))))</f>
        <v>52394</v>
      </c>
      <c r="M86">
        <v>4</v>
      </c>
      <c r="N86">
        <f>IF(YEAR(B86)=2023, 1.03,
   IF(YEAR(B86)=2022, 1.0506,
   IF(YEAR(B86)=2021, 1.071612,
   IF(YEAR(B86)=2020, 1.10376036,
   IF(YEAR(B86)=2019, 1.1479107744,
   IF(YEAR(B86)=2018, 1.20530631312, 1))))))</f>
        <v>1.071612</v>
      </c>
      <c r="O86" s="28">
        <f>F86*N86</f>
        <v>882292.14041651995</v>
      </c>
      <c r="P86" s="28">
        <f>O86-H86</f>
        <v>852809.66041651997</v>
      </c>
      <c r="Q86" s="30">
        <f xml:space="preserve"> MIN(P86,G86)</f>
        <v>852809.66041651997</v>
      </c>
      <c r="R86" s="84">
        <f>IF(Q86&lt;1000000,1,0)</f>
        <v>1</v>
      </c>
      <c r="S86">
        <f>YEAR(B86)</f>
        <v>2021</v>
      </c>
    </row>
    <row r="87" spans="1:19">
      <c r="A87" t="s">
        <v>132</v>
      </c>
      <c r="B87" s="1">
        <v>44032</v>
      </c>
      <c r="C87" t="s">
        <v>21</v>
      </c>
      <c r="D87" s="3">
        <v>573849.48</v>
      </c>
      <c r="E87" t="s">
        <v>11</v>
      </c>
      <c r="F87" s="27">
        <f>D87+H87</f>
        <v>606697.05999999994</v>
      </c>
      <c r="G87" s="86">
        <v>5000000</v>
      </c>
      <c r="H87" s="3">
        <v>32847.58</v>
      </c>
      <c r="I87" t="s">
        <v>22</v>
      </c>
      <c r="J87" t="s">
        <v>13</v>
      </c>
      <c r="K87" t="s">
        <v>19</v>
      </c>
      <c r="L87">
        <f ca="1">IF(C87="Cargo Liability",RANDBETWEEN(10000,80000),IF(C87="Collision Liability",RANDBETWEEN(20000,100000),IF(C87="Environmental Pollution",RANDBETWEEN(50000,120000),IF(C87="Damage to Other Vessels",RANDBETWEEN(15000,90000),IF(C87="Injury to Third Parties",RANDBETWEEN(5000,60000))))))</f>
        <v>50629</v>
      </c>
      <c r="M87">
        <v>3</v>
      </c>
      <c r="N87">
        <f>IF(YEAR(B87)=2023, 1.03,
   IF(YEAR(B87)=2022, 1.0506,
   IF(YEAR(B87)=2021, 1.071612,
   IF(YEAR(B87)=2020, 1.10376036,
   IF(YEAR(B87)=2019, 1.1479107744,
   IF(YEAR(B87)=2018, 1.20530631312, 1))))))</f>
        <v>1.1037603600000001</v>
      </c>
      <c r="O87" s="28">
        <f>F87*N87</f>
        <v>669648.16535654163</v>
      </c>
      <c r="P87" s="28">
        <f>O87-H87</f>
        <v>636800.58535654168</v>
      </c>
      <c r="Q87" s="30">
        <f xml:space="preserve"> MIN(P87,G87)</f>
        <v>636800.58535654168</v>
      </c>
      <c r="R87" s="84">
        <f>IF(Q87&lt;1000000,1,0)</f>
        <v>1</v>
      </c>
      <c r="S87">
        <f>YEAR(B87)</f>
        <v>2020</v>
      </c>
    </row>
    <row r="88" spans="1:19">
      <c r="A88" t="s">
        <v>133</v>
      </c>
      <c r="B88" s="1">
        <v>43520</v>
      </c>
      <c r="C88" t="s">
        <v>26</v>
      </c>
      <c r="D88" s="3">
        <v>572839.44999999995</v>
      </c>
      <c r="E88" t="s">
        <v>11</v>
      </c>
      <c r="F88" s="27">
        <f>D88+H88</f>
        <v>605786.89999999991</v>
      </c>
      <c r="G88" s="86">
        <v>5000000</v>
      </c>
      <c r="H88" s="3">
        <v>32947.449999999997</v>
      </c>
      <c r="I88" t="s">
        <v>28</v>
      </c>
      <c r="J88" t="s">
        <v>18</v>
      </c>
      <c r="K88" t="s">
        <v>49</v>
      </c>
      <c r="L88">
        <f ca="1">IF(C88="Cargo Liability",RANDBETWEEN(10000,80000),IF(C88="Collision Liability",RANDBETWEEN(20000,100000),IF(C88="Environmental Pollution",RANDBETWEEN(50000,120000),IF(C88="Damage to Other Vessels",RANDBETWEEN(15000,90000),IF(C88="Injury to Third Parties",RANDBETWEEN(5000,60000))))))</f>
        <v>78041</v>
      </c>
      <c r="M88">
        <v>5</v>
      </c>
      <c r="N88">
        <f>IF(YEAR(B88)=2023, 1.03,
   IF(YEAR(B88)=2022, 1.0506,
   IF(YEAR(B88)=2021, 1.071612,
   IF(YEAR(B88)=2020, 1.10376036,
   IF(YEAR(B88)=2019, 1.1479107744,
   IF(YEAR(B88)=2018, 1.20530631312, 1))))))</f>
        <v>1.1479107743999999</v>
      </c>
      <c r="O88" s="28">
        <f>F88*N88</f>
        <v>695389.30950037518</v>
      </c>
      <c r="P88" s="28">
        <f>O88-H88</f>
        <v>662441.85950037523</v>
      </c>
      <c r="Q88" s="30">
        <f xml:space="preserve"> MIN(P88,G88)</f>
        <v>662441.85950037523</v>
      </c>
      <c r="R88" s="84">
        <f>IF(Q88&lt;1000000,1,0)</f>
        <v>1</v>
      </c>
      <c r="S88">
        <f>YEAR(B88)</f>
        <v>2019</v>
      </c>
    </row>
    <row r="89" spans="1:19">
      <c r="A89" t="s">
        <v>134</v>
      </c>
      <c r="B89" s="1">
        <v>44884</v>
      </c>
      <c r="C89" t="s">
        <v>16</v>
      </c>
      <c r="D89" s="3">
        <v>573839.54</v>
      </c>
      <c r="E89" t="s">
        <v>27</v>
      </c>
      <c r="F89" s="27">
        <f>D89+H89</f>
        <v>601678.92000000004</v>
      </c>
      <c r="G89" s="86">
        <v>5000000</v>
      </c>
      <c r="H89" s="3">
        <v>27839.38</v>
      </c>
      <c r="I89" t="s">
        <v>17</v>
      </c>
      <c r="J89" t="s">
        <v>23</v>
      </c>
      <c r="K89" t="s">
        <v>41</v>
      </c>
      <c r="L89">
        <f ca="1">IF(C89="Cargo Liability",RANDBETWEEN(10000,80000),IF(C89="Collision Liability",RANDBETWEEN(20000,100000),IF(C89="Environmental Pollution",RANDBETWEEN(50000,120000),IF(C89="Damage to Other Vessels",RANDBETWEEN(15000,90000),IF(C89="Injury to Third Parties",RANDBETWEEN(5000,60000))))))</f>
        <v>78027</v>
      </c>
      <c r="M89">
        <v>3</v>
      </c>
      <c r="N89">
        <f>IF(YEAR(B89)=2023, 1.03,
   IF(YEAR(B89)=2022, 1.0506,
   IF(YEAR(B89)=2021, 1.071612,
   IF(YEAR(B89)=2020, 1.10376036,
   IF(YEAR(B89)=2019, 1.1479107744,
   IF(YEAR(B89)=2018, 1.20530631312, 1))))))</f>
        <v>1.0506</v>
      </c>
      <c r="O89" s="28">
        <f>F89*N89</f>
        <v>632123.87335200002</v>
      </c>
      <c r="P89" s="28">
        <f>O89-H89</f>
        <v>604284.49335200002</v>
      </c>
      <c r="Q89" s="30">
        <f xml:space="preserve"> MIN(P89,G89)</f>
        <v>604284.49335200002</v>
      </c>
      <c r="R89" s="84">
        <f>IF(Q89&lt;1000000,1,0)</f>
        <v>1</v>
      </c>
      <c r="S89">
        <f>YEAR(B89)</f>
        <v>2022</v>
      </c>
    </row>
    <row r="90" spans="1:19">
      <c r="A90" t="s">
        <v>135</v>
      </c>
      <c r="B90" s="1">
        <v>45091</v>
      </c>
      <c r="C90" t="s">
        <v>32</v>
      </c>
      <c r="D90" s="3">
        <v>473839.25</v>
      </c>
      <c r="E90" t="s">
        <v>11</v>
      </c>
      <c r="F90" s="27">
        <f>D90+H90</f>
        <v>501321.63</v>
      </c>
      <c r="G90" s="86">
        <v>2000000</v>
      </c>
      <c r="H90" s="3">
        <v>27482.38</v>
      </c>
      <c r="I90" t="s">
        <v>12</v>
      </c>
      <c r="J90" t="s">
        <v>38</v>
      </c>
      <c r="K90" t="s">
        <v>14</v>
      </c>
      <c r="L90">
        <f ca="1">IF(C90="Cargo Liability",RANDBETWEEN(10000,80000),IF(C90="Collision Liability",RANDBETWEEN(20000,100000),IF(C90="Environmental Pollution",RANDBETWEEN(50000,120000),IF(C90="Damage to Other Vessels",RANDBETWEEN(15000,90000),IF(C90="Injury to Third Parties",RANDBETWEEN(5000,60000))))))</f>
        <v>20443</v>
      </c>
      <c r="M90">
        <v>7</v>
      </c>
      <c r="N90">
        <f>IF(YEAR(B90)=2023, 1.03,
   IF(YEAR(B90)=2022, 1.0506,
   IF(YEAR(B90)=2021, 1.071612,
   IF(YEAR(B90)=2020, 1.10376036,
   IF(YEAR(B90)=2019, 1.1479107744,
   IF(YEAR(B90)=2018, 1.20530631312, 1))))))</f>
        <v>1.03</v>
      </c>
      <c r="O90" s="28">
        <f>F90*N90</f>
        <v>516361.27890000003</v>
      </c>
      <c r="P90" s="28">
        <f>O90-H90</f>
        <v>488878.89890000003</v>
      </c>
      <c r="Q90" s="30">
        <f xml:space="preserve"> MIN(P90,G90)</f>
        <v>488878.89890000003</v>
      </c>
      <c r="R90" s="84">
        <f>IF(Q90&lt;1000000,1,0)</f>
        <v>1</v>
      </c>
      <c r="S90">
        <f>YEAR(B90)</f>
        <v>2023</v>
      </c>
    </row>
    <row r="91" spans="1:19">
      <c r="A91" t="s">
        <v>136</v>
      </c>
      <c r="B91" s="1">
        <v>44419</v>
      </c>
      <c r="C91" t="s">
        <v>10</v>
      </c>
      <c r="D91" s="3">
        <v>573849.48</v>
      </c>
      <c r="E91" t="s">
        <v>11</v>
      </c>
      <c r="F91" s="27">
        <f>D91+H91</f>
        <v>606697.05999999994</v>
      </c>
      <c r="G91" s="86">
        <v>5000000</v>
      </c>
      <c r="H91" s="3">
        <v>32847.58</v>
      </c>
      <c r="I91" t="s">
        <v>17</v>
      </c>
      <c r="J91" t="s">
        <v>29</v>
      </c>
      <c r="K91" t="s">
        <v>39</v>
      </c>
      <c r="L91">
        <f ca="1">IF(C91="Cargo Liability",RANDBETWEEN(10000,80000),IF(C91="Collision Liability",RANDBETWEEN(20000,100000),IF(C91="Environmental Pollution",RANDBETWEEN(50000,120000),IF(C91="Damage to Other Vessels",RANDBETWEEN(15000,90000),IF(C91="Injury to Third Parties",RANDBETWEEN(5000,60000))))))</f>
        <v>24561</v>
      </c>
      <c r="M91">
        <v>4</v>
      </c>
      <c r="N91">
        <f>IF(YEAR(B91)=2023, 1.03,
   IF(YEAR(B91)=2022, 1.0506,
   IF(YEAR(B91)=2021, 1.071612,
   IF(YEAR(B91)=2020, 1.10376036,
   IF(YEAR(B91)=2019, 1.1479107744,
   IF(YEAR(B91)=2018, 1.20530631312, 1))))))</f>
        <v>1.071612</v>
      </c>
      <c r="O91" s="28">
        <f>F91*N91</f>
        <v>650143.84986071999</v>
      </c>
      <c r="P91" s="28">
        <f>O91-H91</f>
        <v>617296.26986072003</v>
      </c>
      <c r="Q91" s="30">
        <f xml:space="preserve"> MIN(P91,G91)</f>
        <v>617296.26986072003</v>
      </c>
      <c r="R91" s="84">
        <f>IF(Q91&lt;1000000,1,0)</f>
        <v>1</v>
      </c>
      <c r="S91">
        <f>YEAR(B91)</f>
        <v>2021</v>
      </c>
    </row>
    <row r="92" spans="1:19">
      <c r="A92" t="s">
        <v>137</v>
      </c>
      <c r="B92" s="1">
        <v>44186</v>
      </c>
      <c r="C92" t="s">
        <v>21</v>
      </c>
      <c r="D92" s="3">
        <v>683849.75</v>
      </c>
      <c r="E92" t="s">
        <v>11</v>
      </c>
      <c r="F92" s="27">
        <f>D92+H92</f>
        <v>721798.13</v>
      </c>
      <c r="G92" s="86">
        <v>5000000</v>
      </c>
      <c r="H92" s="3">
        <v>37948.379999999997</v>
      </c>
      <c r="I92" t="s">
        <v>22</v>
      </c>
      <c r="J92" t="s">
        <v>13</v>
      </c>
      <c r="K92" t="s">
        <v>36</v>
      </c>
      <c r="L92">
        <f ca="1">IF(C92="Cargo Liability",RANDBETWEEN(10000,80000),IF(C92="Collision Liability",RANDBETWEEN(20000,100000),IF(C92="Environmental Pollution",RANDBETWEEN(50000,120000),IF(C92="Damage to Other Vessels",RANDBETWEEN(15000,90000),IF(C92="Injury to Third Parties",RANDBETWEEN(5000,60000))))))</f>
        <v>44875</v>
      </c>
      <c r="M92">
        <v>5</v>
      </c>
      <c r="N92">
        <f>IF(YEAR(B92)=2023, 1.03,
   IF(YEAR(B92)=2022, 1.0506,
   IF(YEAR(B92)=2021, 1.071612,
   IF(YEAR(B92)=2020, 1.10376036,
   IF(YEAR(B92)=2019, 1.1479107744,
   IF(YEAR(B92)=2018, 1.20530631312, 1))))))</f>
        <v>1.1037603600000001</v>
      </c>
      <c r="O92" s="28">
        <f>F92*N92</f>
        <v>796692.16381612688</v>
      </c>
      <c r="P92" s="28">
        <f>O92-H92</f>
        <v>758743.78381612687</v>
      </c>
      <c r="Q92" s="30">
        <f xml:space="preserve"> MIN(P92,G92)</f>
        <v>758743.78381612687</v>
      </c>
      <c r="R92" s="84">
        <f>IF(Q92&lt;1000000,1,0)</f>
        <v>1</v>
      </c>
      <c r="S92">
        <f>YEAR(B92)</f>
        <v>2020</v>
      </c>
    </row>
    <row r="93" spans="1:19">
      <c r="A93" t="s">
        <v>138</v>
      </c>
      <c r="B93" s="1">
        <v>44704</v>
      </c>
      <c r="C93" t="s">
        <v>26</v>
      </c>
      <c r="D93" s="3">
        <v>739849.45</v>
      </c>
      <c r="E93" t="s">
        <v>27</v>
      </c>
      <c r="F93" s="27">
        <f>D93+H93</f>
        <v>778796.89999999991</v>
      </c>
      <c r="G93" s="86">
        <v>5000000</v>
      </c>
      <c r="H93" s="3">
        <v>38947.449999999997</v>
      </c>
      <c r="I93" t="s">
        <v>28</v>
      </c>
      <c r="J93" t="s">
        <v>23</v>
      </c>
      <c r="K93" t="s">
        <v>30</v>
      </c>
      <c r="L93">
        <f ca="1">IF(C93="Cargo Liability",RANDBETWEEN(10000,80000),IF(C93="Collision Liability",RANDBETWEEN(20000,100000),IF(C93="Environmental Pollution",RANDBETWEEN(50000,120000),IF(C93="Damage to Other Vessels",RANDBETWEEN(15000,90000),IF(C93="Injury to Third Parties",RANDBETWEEN(5000,60000))))))</f>
        <v>85718</v>
      </c>
      <c r="M93">
        <v>6</v>
      </c>
      <c r="N93">
        <f>IF(YEAR(B93)=2023, 1.03,
   IF(YEAR(B93)=2022, 1.0506,
   IF(YEAR(B93)=2021, 1.071612,
   IF(YEAR(B93)=2020, 1.10376036,
   IF(YEAR(B93)=2019, 1.1479107744,
   IF(YEAR(B93)=2018, 1.20530631312, 1))))))</f>
        <v>1.0506</v>
      </c>
      <c r="O93" s="28">
        <f>F93*N93</f>
        <v>818204.02313999983</v>
      </c>
      <c r="P93" s="28">
        <f>O93-H93</f>
        <v>779256.57313999988</v>
      </c>
      <c r="Q93" s="30">
        <f xml:space="preserve"> MIN(P93,G93)</f>
        <v>779256.57313999988</v>
      </c>
      <c r="R93" s="84">
        <f>IF(Q93&lt;1000000,1,0)</f>
        <v>1</v>
      </c>
      <c r="S93">
        <f>YEAR(B93)</f>
        <v>2022</v>
      </c>
    </row>
    <row r="94" spans="1:19">
      <c r="A94" t="s">
        <v>139</v>
      </c>
      <c r="B94" s="1">
        <v>43726</v>
      </c>
      <c r="C94" t="s">
        <v>16</v>
      </c>
      <c r="D94" s="3">
        <v>573839.54</v>
      </c>
      <c r="E94" t="s">
        <v>11</v>
      </c>
      <c r="F94" s="27">
        <f>D94+H94</f>
        <v>601678.92000000004</v>
      </c>
      <c r="G94" s="86">
        <v>5000000</v>
      </c>
      <c r="H94" s="3">
        <v>27839.38</v>
      </c>
      <c r="I94" t="s">
        <v>17</v>
      </c>
      <c r="J94" t="s">
        <v>18</v>
      </c>
      <c r="K94" t="s">
        <v>55</v>
      </c>
      <c r="L94">
        <f ca="1">IF(C94="Cargo Liability",RANDBETWEEN(10000,80000),IF(C94="Collision Liability",RANDBETWEEN(20000,100000),IF(C94="Environmental Pollution",RANDBETWEEN(50000,120000),IF(C94="Damage to Other Vessels",RANDBETWEEN(15000,90000),IF(C94="Injury to Third Parties",RANDBETWEEN(5000,60000))))))</f>
        <v>45009</v>
      </c>
      <c r="M94">
        <v>3</v>
      </c>
      <c r="N94">
        <f>IF(YEAR(B94)=2023, 1.03,
   IF(YEAR(B94)=2022, 1.0506,
   IF(YEAR(B94)=2021, 1.071612,
   IF(YEAR(B94)=2020, 1.10376036,
   IF(YEAR(B94)=2019, 1.1479107744,
   IF(YEAR(B94)=2018, 1.20530631312, 1))))))</f>
        <v>1.1479107743999999</v>
      </c>
      <c r="O94" s="28">
        <f>F94*N94</f>
        <v>690673.71499735559</v>
      </c>
      <c r="P94" s="28">
        <f>O94-H94</f>
        <v>662834.33499735559</v>
      </c>
      <c r="Q94" s="30">
        <f xml:space="preserve"> MIN(P94,G94)</f>
        <v>662834.33499735559</v>
      </c>
      <c r="R94" s="84">
        <f>IF(Q94&lt;1000000,1,0)</f>
        <v>1</v>
      </c>
      <c r="S94">
        <f>YEAR(B94)</f>
        <v>2019</v>
      </c>
    </row>
    <row r="95" spans="1:19">
      <c r="A95" t="s">
        <v>140</v>
      </c>
      <c r="B95" s="1">
        <v>45109</v>
      </c>
      <c r="C95" t="s">
        <v>32</v>
      </c>
      <c r="D95" s="3">
        <v>572839.44999999995</v>
      </c>
      <c r="E95" t="s">
        <v>11</v>
      </c>
      <c r="F95" s="27">
        <f>D95+H95</f>
        <v>605786.89999999991</v>
      </c>
      <c r="G95" s="86">
        <v>5000000</v>
      </c>
      <c r="H95" s="3">
        <v>32947.449999999997</v>
      </c>
      <c r="I95" t="s">
        <v>12</v>
      </c>
      <c r="J95" t="s">
        <v>38</v>
      </c>
      <c r="K95" t="s">
        <v>59</v>
      </c>
      <c r="L95">
        <f ca="1">IF(C95="Cargo Liability",RANDBETWEEN(10000,80000),IF(C95="Collision Liability",RANDBETWEEN(20000,100000),IF(C95="Environmental Pollution",RANDBETWEEN(50000,120000),IF(C95="Damage to Other Vessels",RANDBETWEEN(15000,90000),IF(C95="Injury to Third Parties",RANDBETWEEN(5000,60000))))))</f>
        <v>13327</v>
      </c>
      <c r="M95">
        <v>4</v>
      </c>
      <c r="N95">
        <f>IF(YEAR(B95)=2023, 1.03,
   IF(YEAR(B95)=2022, 1.0506,
   IF(YEAR(B95)=2021, 1.071612,
   IF(YEAR(B95)=2020, 1.10376036,
   IF(YEAR(B95)=2019, 1.1479107744,
   IF(YEAR(B95)=2018, 1.20530631312, 1))))))</f>
        <v>1.03</v>
      </c>
      <c r="O95" s="28">
        <f>F95*N95</f>
        <v>623960.50699999987</v>
      </c>
      <c r="P95" s="28">
        <f>O95-H95</f>
        <v>591013.05699999991</v>
      </c>
      <c r="Q95" s="30">
        <f xml:space="preserve"> MIN(P95,G95)</f>
        <v>591013.05699999991</v>
      </c>
      <c r="R95" s="84">
        <f>IF(Q95&lt;1000000,1,0)</f>
        <v>1</v>
      </c>
      <c r="S95">
        <f>YEAR(B95)</f>
        <v>2023</v>
      </c>
    </row>
    <row r="96" spans="1:19">
      <c r="A96" t="s">
        <v>141</v>
      </c>
      <c r="B96" s="1">
        <v>44281</v>
      </c>
      <c r="C96" t="s">
        <v>10</v>
      </c>
      <c r="D96" s="3">
        <v>793849.23</v>
      </c>
      <c r="E96" t="s">
        <v>27</v>
      </c>
      <c r="F96" s="27">
        <f>D96+H96</f>
        <v>823331.71</v>
      </c>
      <c r="G96" s="86">
        <v>5000000</v>
      </c>
      <c r="H96" s="3">
        <v>29482.48</v>
      </c>
      <c r="I96" t="s">
        <v>17</v>
      </c>
      <c r="J96" t="s">
        <v>29</v>
      </c>
      <c r="K96" t="s">
        <v>65</v>
      </c>
      <c r="L96">
        <f ca="1">IF(C96="Cargo Liability",RANDBETWEEN(10000,80000),IF(C96="Collision Liability",RANDBETWEEN(20000,100000),IF(C96="Environmental Pollution",RANDBETWEEN(50000,120000),IF(C96="Damage to Other Vessels",RANDBETWEEN(15000,90000),IF(C96="Injury to Third Parties",RANDBETWEEN(5000,60000))))))</f>
        <v>91049</v>
      </c>
      <c r="M96">
        <v>3</v>
      </c>
      <c r="N96">
        <f>IF(YEAR(B96)=2023, 1.03,
   IF(YEAR(B96)=2022, 1.0506,
   IF(YEAR(B96)=2021, 1.071612,
   IF(YEAR(B96)=2020, 1.10376036,
   IF(YEAR(B96)=2019, 1.1479107744,
   IF(YEAR(B96)=2018, 1.20530631312, 1))))))</f>
        <v>1.071612</v>
      </c>
      <c r="O96" s="28">
        <f>F96*N96</f>
        <v>882292.14041651995</v>
      </c>
      <c r="P96" s="28">
        <f>O96-H96</f>
        <v>852809.66041651997</v>
      </c>
      <c r="Q96" s="30">
        <f xml:space="preserve"> MIN(P96,G96)</f>
        <v>852809.66041651997</v>
      </c>
      <c r="R96" s="84">
        <f>IF(Q96&lt;1000000,1,0)</f>
        <v>1</v>
      </c>
      <c r="S96">
        <f>YEAR(B96)</f>
        <v>2021</v>
      </c>
    </row>
    <row r="97" spans="1:19">
      <c r="A97" t="s">
        <v>142</v>
      </c>
      <c r="B97" s="1">
        <v>43890</v>
      </c>
      <c r="C97" t="s">
        <v>21</v>
      </c>
      <c r="D97" s="3">
        <v>573849.48</v>
      </c>
      <c r="E97" t="s">
        <v>11</v>
      </c>
      <c r="F97" s="27">
        <f>D97+H97</f>
        <v>606697.05999999994</v>
      </c>
      <c r="G97" s="86">
        <v>5000000</v>
      </c>
      <c r="H97" s="3">
        <v>32847.58</v>
      </c>
      <c r="I97" t="s">
        <v>22</v>
      </c>
      <c r="J97" t="s">
        <v>13</v>
      </c>
      <c r="K97" t="s">
        <v>47</v>
      </c>
      <c r="L97">
        <f ca="1">IF(C97="Cargo Liability",RANDBETWEEN(10000,80000),IF(C97="Collision Liability",RANDBETWEEN(20000,100000),IF(C97="Environmental Pollution",RANDBETWEEN(50000,120000),IF(C97="Damage to Other Vessels",RANDBETWEEN(15000,90000),IF(C97="Injury to Third Parties",RANDBETWEEN(5000,60000))))))</f>
        <v>81036</v>
      </c>
      <c r="M97">
        <v>6</v>
      </c>
      <c r="N97">
        <f>IF(YEAR(B97)=2023, 1.03,
   IF(YEAR(B97)=2022, 1.0506,
   IF(YEAR(B97)=2021, 1.071612,
   IF(YEAR(B97)=2020, 1.10376036,
   IF(YEAR(B97)=2019, 1.1479107744,
   IF(YEAR(B97)=2018, 1.20530631312, 1))))))</f>
        <v>1.1037603600000001</v>
      </c>
      <c r="O97" s="28">
        <f>F97*N97</f>
        <v>669648.16535654163</v>
      </c>
      <c r="P97" s="28">
        <f>O97-H97</f>
        <v>636800.58535654168</v>
      </c>
      <c r="Q97" s="30">
        <f xml:space="preserve"> MIN(P97,G97)</f>
        <v>636800.58535654168</v>
      </c>
      <c r="R97" s="84">
        <f>IF(Q97&lt;1000000,1,0)</f>
        <v>1</v>
      </c>
      <c r="S97">
        <f>YEAR(B97)</f>
        <v>2020</v>
      </c>
    </row>
    <row r="98" spans="1:19">
      <c r="A98" t="s">
        <v>143</v>
      </c>
      <c r="B98" s="1">
        <v>43481</v>
      </c>
      <c r="C98" t="s">
        <v>26</v>
      </c>
      <c r="D98" s="3">
        <v>572839.44999999995</v>
      </c>
      <c r="E98" t="s">
        <v>11</v>
      </c>
      <c r="F98" s="27">
        <f>D98+H98</f>
        <v>605786.89999999991</v>
      </c>
      <c r="G98" s="86">
        <v>5000000</v>
      </c>
      <c r="H98" s="3">
        <v>32947.449999999997</v>
      </c>
      <c r="I98" t="s">
        <v>28</v>
      </c>
      <c r="J98" t="s">
        <v>18</v>
      </c>
      <c r="K98" t="s">
        <v>34</v>
      </c>
      <c r="L98">
        <f ca="1">IF(C98="Cargo Liability",RANDBETWEEN(10000,80000),IF(C98="Collision Liability",RANDBETWEEN(20000,100000),IF(C98="Environmental Pollution",RANDBETWEEN(50000,120000),IF(C98="Damage to Other Vessels",RANDBETWEEN(15000,90000),IF(C98="Injury to Third Parties",RANDBETWEEN(5000,60000))))))</f>
        <v>66410</v>
      </c>
      <c r="M98">
        <v>5</v>
      </c>
      <c r="N98">
        <f>IF(YEAR(B98)=2023, 1.03,
   IF(YEAR(B98)=2022, 1.0506,
   IF(YEAR(B98)=2021, 1.071612,
   IF(YEAR(B98)=2020, 1.10376036,
   IF(YEAR(B98)=2019, 1.1479107744,
   IF(YEAR(B98)=2018, 1.20530631312, 1))))))</f>
        <v>1.1479107743999999</v>
      </c>
      <c r="O98" s="28">
        <f>F98*N98</f>
        <v>695389.30950037518</v>
      </c>
      <c r="P98" s="28">
        <f>O98-H98</f>
        <v>662441.85950037523</v>
      </c>
      <c r="Q98" s="30">
        <f xml:space="preserve"> MIN(P98,G98)</f>
        <v>662441.85950037523</v>
      </c>
      <c r="R98" s="84">
        <f>IF(Q98&lt;1000000,1,0)</f>
        <v>1</v>
      </c>
      <c r="S98">
        <f>YEAR(B98)</f>
        <v>2019</v>
      </c>
    </row>
    <row r="99" spans="1:19">
      <c r="A99" t="s">
        <v>144</v>
      </c>
      <c r="B99" s="1">
        <v>44665</v>
      </c>
      <c r="C99" t="s">
        <v>16</v>
      </c>
      <c r="D99" s="3">
        <v>573839.54</v>
      </c>
      <c r="E99" t="s">
        <v>27</v>
      </c>
      <c r="F99" s="27">
        <f>D99+H99</f>
        <v>601678.92000000004</v>
      </c>
      <c r="G99" s="86">
        <v>5000000</v>
      </c>
      <c r="H99" s="3">
        <v>27839.38</v>
      </c>
      <c r="I99" t="s">
        <v>17</v>
      </c>
      <c r="J99" t="s">
        <v>23</v>
      </c>
      <c r="K99" t="s">
        <v>43</v>
      </c>
      <c r="L99">
        <f ca="1">IF(C99="Cargo Liability",RANDBETWEEN(10000,80000),IF(C99="Collision Liability",RANDBETWEEN(20000,100000),IF(C99="Environmental Pollution",RANDBETWEEN(50000,120000),IF(C99="Damage to Other Vessels",RANDBETWEEN(15000,90000),IF(C99="Injury to Third Parties",RANDBETWEEN(5000,60000))))))</f>
        <v>23298</v>
      </c>
      <c r="M99">
        <v>3</v>
      </c>
      <c r="N99">
        <f>IF(YEAR(B99)=2023, 1.03,
   IF(YEAR(B99)=2022, 1.0506,
   IF(YEAR(B99)=2021, 1.071612,
   IF(YEAR(B99)=2020, 1.10376036,
   IF(YEAR(B99)=2019, 1.1479107744,
   IF(YEAR(B99)=2018, 1.20530631312, 1))))))</f>
        <v>1.0506</v>
      </c>
      <c r="O99" s="28">
        <f>F99*N99</f>
        <v>632123.87335200002</v>
      </c>
      <c r="P99" s="28">
        <f>O99-H99</f>
        <v>604284.49335200002</v>
      </c>
      <c r="Q99" s="30">
        <f xml:space="preserve"> MIN(P99,G99)</f>
        <v>604284.49335200002</v>
      </c>
      <c r="R99" s="84">
        <f>IF(Q99&lt;1000000,1,0)</f>
        <v>1</v>
      </c>
      <c r="S99">
        <f>YEAR(B99)</f>
        <v>2022</v>
      </c>
    </row>
    <row r="100" spans="1:19">
      <c r="A100" t="s">
        <v>145</v>
      </c>
      <c r="B100" s="1">
        <v>45139</v>
      </c>
      <c r="C100" t="s">
        <v>32</v>
      </c>
      <c r="D100" s="3">
        <v>473839.25</v>
      </c>
      <c r="E100" t="s">
        <v>11</v>
      </c>
      <c r="F100" s="27">
        <f>D100+H100</f>
        <v>501321.63</v>
      </c>
      <c r="G100" s="86">
        <v>2000000</v>
      </c>
      <c r="H100" s="3">
        <v>27482.38</v>
      </c>
      <c r="I100" t="s">
        <v>12</v>
      </c>
      <c r="J100" t="s">
        <v>29</v>
      </c>
      <c r="K100" t="s">
        <v>53</v>
      </c>
      <c r="L100">
        <f ca="1">IF(C100="Cargo Liability",RANDBETWEEN(10000,80000),IF(C100="Collision Liability",RANDBETWEEN(20000,100000),IF(C100="Environmental Pollution",RANDBETWEEN(50000,120000),IF(C100="Damage to Other Vessels",RANDBETWEEN(15000,90000),IF(C100="Injury to Third Parties",RANDBETWEEN(5000,60000))))))</f>
        <v>38086</v>
      </c>
      <c r="M100">
        <v>4</v>
      </c>
      <c r="N100">
        <f>IF(YEAR(B100)=2023, 1.03,
   IF(YEAR(B100)=2022, 1.0506,
   IF(YEAR(B100)=2021, 1.071612,
   IF(YEAR(B100)=2020, 1.10376036,
   IF(YEAR(B100)=2019, 1.1479107744,
   IF(YEAR(B100)=2018, 1.20530631312, 1))))))</f>
        <v>1.03</v>
      </c>
      <c r="O100" s="28">
        <f>F100*N100</f>
        <v>516361.27890000003</v>
      </c>
      <c r="P100" s="28">
        <f>O100-H100</f>
        <v>488878.89890000003</v>
      </c>
      <c r="Q100" s="30">
        <f xml:space="preserve"> MIN(P100,G100)</f>
        <v>488878.89890000003</v>
      </c>
      <c r="R100" s="84">
        <f>IF(Q100&lt;1000000,1,0)</f>
        <v>1</v>
      </c>
      <c r="S100">
        <f>YEAR(B100)</f>
        <v>2023</v>
      </c>
    </row>
    <row r="101" spans="1:19">
      <c r="A101" t="s">
        <v>146</v>
      </c>
      <c r="B101" s="1">
        <v>44922</v>
      </c>
      <c r="C101" t="s">
        <v>26</v>
      </c>
      <c r="D101" s="3">
        <v>5000000</v>
      </c>
      <c r="E101" t="s">
        <v>33</v>
      </c>
      <c r="F101" s="27">
        <f>D101+H101</f>
        <v>5018723.79</v>
      </c>
      <c r="G101" s="86">
        <v>10000000</v>
      </c>
      <c r="H101" s="3">
        <v>18723.79</v>
      </c>
      <c r="I101" t="s">
        <v>28</v>
      </c>
      <c r="J101" t="s">
        <v>18</v>
      </c>
      <c r="K101" t="s">
        <v>59</v>
      </c>
      <c r="L101">
        <f ca="1">IF(C101="Cargo Liability",RANDBETWEEN(10000,80000),IF(C101="Collision Liability",RANDBETWEEN(20000,100000),IF(C101="Environmental Pollution",RANDBETWEEN(50000,120000),IF(C101="Damage to Other Vessels",RANDBETWEEN(15000,90000),IF(C101="Injury to Third Parties",RANDBETWEEN(5000,60000))))))</f>
        <v>111866</v>
      </c>
      <c r="M101">
        <v>9</v>
      </c>
      <c r="N101">
        <f>IF(YEAR(B101)=2023, 1.03,
   IF(YEAR(B101)=2022, 1.0506,
   IF(YEAR(B101)=2021, 1.071612,
   IF(YEAR(B101)=2020, 1.10376036,
   IF(YEAR(B101)=2019, 1.1479107744,
   IF(YEAR(B101)=2018, 1.20530631312, 1))))))</f>
        <v>1.0506</v>
      </c>
      <c r="O101" s="28">
        <f>F101*N101</f>
        <v>5272671.2137740003</v>
      </c>
      <c r="P101" s="28">
        <f>O101-H101</f>
        <v>5253947.4237740003</v>
      </c>
      <c r="Q101" s="30">
        <f xml:space="preserve"> MIN(P101,G101)</f>
        <v>5253947.4237740003</v>
      </c>
      <c r="R101" s="84">
        <f>IF(Q101&lt;1000000,1,0)</f>
        <v>0</v>
      </c>
      <c r="S101">
        <f>YEAR(B101)</f>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4695-2E03-4843-A4AB-C395928551D0}">
  <dimension ref="B1:Q128"/>
  <sheetViews>
    <sheetView topLeftCell="J32" zoomScale="50" zoomScaleNormal="50" workbookViewId="0">
      <selection activeCell="K90" sqref="K90"/>
    </sheetView>
  </sheetViews>
  <sheetFormatPr defaultColWidth="10.6640625" defaultRowHeight="15"/>
  <cols>
    <col min="1" max="1" width="4.21875" customWidth="1"/>
    <col min="2" max="2" width="5" customWidth="1"/>
    <col min="3" max="3" width="61.109375" bestFit="1" customWidth="1"/>
    <col min="4" max="4" width="32.44140625" bestFit="1" customWidth="1"/>
    <col min="5" max="5" width="20" bestFit="1" customWidth="1"/>
    <col min="6" max="6" width="22.44140625" bestFit="1" customWidth="1"/>
    <col min="7" max="7" width="20.77734375" bestFit="1" customWidth="1"/>
    <col min="8" max="8" width="18.44140625" bestFit="1" customWidth="1"/>
    <col min="9" max="9" width="14" bestFit="1" customWidth="1"/>
    <col min="10" max="10" width="15" bestFit="1" customWidth="1"/>
    <col min="11" max="11" width="16.6640625" bestFit="1" customWidth="1"/>
    <col min="12" max="12" width="16" bestFit="1" customWidth="1"/>
    <col min="13" max="16" width="15" bestFit="1" customWidth="1"/>
    <col min="17" max="17" width="14" bestFit="1" customWidth="1"/>
    <col min="18" max="18" width="12.33203125" bestFit="1" customWidth="1"/>
    <col min="19" max="19" width="15" bestFit="1" customWidth="1"/>
    <col min="20" max="20" width="12.33203125" bestFit="1" customWidth="1"/>
    <col min="21" max="21" width="15" bestFit="1" customWidth="1"/>
    <col min="22" max="22" width="12.33203125" bestFit="1" customWidth="1"/>
    <col min="23" max="23" width="15" bestFit="1" customWidth="1"/>
    <col min="24" max="24" width="12.33203125" bestFit="1" customWidth="1"/>
    <col min="25" max="25" width="15" bestFit="1" customWidth="1"/>
    <col min="26" max="26" width="12.33203125" bestFit="1" customWidth="1"/>
    <col min="27" max="27" width="15" bestFit="1" customWidth="1"/>
    <col min="28" max="28" width="12.33203125" bestFit="1" customWidth="1"/>
    <col min="29" max="29" width="15" bestFit="1" customWidth="1"/>
    <col min="30" max="30" width="12.33203125" bestFit="1" customWidth="1"/>
    <col min="31" max="31" width="15" bestFit="1" customWidth="1"/>
    <col min="32" max="32" width="12.33203125" bestFit="1" customWidth="1"/>
    <col min="33" max="33" width="15" bestFit="1" customWidth="1"/>
    <col min="34" max="34" width="12.33203125" bestFit="1" customWidth="1"/>
    <col min="35" max="35" width="15" bestFit="1" customWidth="1"/>
    <col min="36" max="36" width="12.33203125" bestFit="1" customWidth="1"/>
    <col min="37" max="37" width="15" bestFit="1" customWidth="1"/>
    <col min="38" max="38" width="12.33203125" bestFit="1" customWidth="1"/>
    <col min="39" max="39" width="15" bestFit="1" customWidth="1"/>
    <col min="40" max="40" width="12.33203125" bestFit="1" customWidth="1"/>
    <col min="41" max="41" width="15" bestFit="1" customWidth="1"/>
    <col min="42" max="42" width="12.33203125" bestFit="1" customWidth="1"/>
    <col min="43" max="43" width="15" bestFit="1" customWidth="1"/>
    <col min="44" max="44" width="12.33203125" bestFit="1" customWidth="1"/>
    <col min="45" max="45" width="15" bestFit="1" customWidth="1"/>
    <col min="46" max="46" width="12.33203125" bestFit="1" customWidth="1"/>
    <col min="47" max="47" width="15" bestFit="1" customWidth="1"/>
    <col min="48" max="48" width="12.33203125" bestFit="1" customWidth="1"/>
    <col min="49" max="49" width="15" bestFit="1" customWidth="1"/>
    <col min="50" max="50" width="12.33203125" bestFit="1" customWidth="1"/>
    <col min="51" max="51" width="15" bestFit="1" customWidth="1"/>
    <col min="52" max="52" width="12.33203125" bestFit="1" customWidth="1"/>
    <col min="53" max="53" width="15" bestFit="1" customWidth="1"/>
    <col min="54" max="54" width="12.33203125" bestFit="1" customWidth="1"/>
    <col min="55" max="55" width="15" bestFit="1" customWidth="1"/>
    <col min="56" max="56" width="12.33203125" bestFit="1" customWidth="1"/>
    <col min="57" max="57" width="15" bestFit="1" customWidth="1"/>
    <col min="58" max="58" width="12.33203125" bestFit="1" customWidth="1"/>
    <col min="59" max="59" width="15" bestFit="1" customWidth="1"/>
    <col min="60" max="60" width="12.33203125" bestFit="1" customWidth="1"/>
    <col min="61" max="61" width="15" bestFit="1" customWidth="1"/>
    <col min="62" max="62" width="12.33203125" bestFit="1" customWidth="1"/>
    <col min="63" max="63" width="15" bestFit="1" customWidth="1"/>
    <col min="64" max="64" width="12.33203125" bestFit="1" customWidth="1"/>
    <col min="65" max="65" width="15" bestFit="1" customWidth="1"/>
    <col min="66" max="66" width="12.33203125" bestFit="1" customWidth="1"/>
    <col min="67" max="67" width="15" bestFit="1" customWidth="1"/>
    <col min="68" max="68" width="12.33203125" bestFit="1" customWidth="1"/>
    <col min="69" max="69" width="15" bestFit="1" customWidth="1"/>
    <col min="70" max="70" width="12.33203125" bestFit="1" customWidth="1"/>
    <col min="71" max="71" width="15" bestFit="1" customWidth="1"/>
    <col min="72" max="72" width="12.33203125" bestFit="1" customWidth="1"/>
    <col min="73" max="73" width="15" bestFit="1" customWidth="1"/>
    <col min="74" max="74" width="12.33203125" bestFit="1" customWidth="1"/>
    <col min="75" max="75" width="15" bestFit="1" customWidth="1"/>
    <col min="76" max="76" width="12.33203125" bestFit="1" customWidth="1"/>
    <col min="77" max="77" width="15" bestFit="1" customWidth="1"/>
    <col min="78" max="78" width="12.33203125" bestFit="1" customWidth="1"/>
    <col min="79" max="79" width="15" bestFit="1" customWidth="1"/>
    <col min="80" max="80" width="12.33203125" bestFit="1" customWidth="1"/>
    <col min="81" max="81" width="15" bestFit="1" customWidth="1"/>
    <col min="82" max="82" width="12.33203125" bestFit="1" customWidth="1"/>
    <col min="83" max="83" width="15" bestFit="1" customWidth="1"/>
    <col min="84" max="84" width="12.33203125" bestFit="1" customWidth="1"/>
    <col min="85" max="85" width="15" bestFit="1" customWidth="1"/>
    <col min="86" max="86" width="12.33203125" bestFit="1" customWidth="1"/>
    <col min="87" max="87" width="15" bestFit="1" customWidth="1"/>
    <col min="88" max="88" width="12.33203125" bestFit="1" customWidth="1"/>
    <col min="89" max="89" width="15" bestFit="1" customWidth="1"/>
    <col min="90" max="90" width="12.33203125" bestFit="1" customWidth="1"/>
    <col min="91" max="91" width="15" bestFit="1" customWidth="1"/>
    <col min="92" max="92" width="12.33203125" bestFit="1" customWidth="1"/>
    <col min="93" max="93" width="15" bestFit="1" customWidth="1"/>
    <col min="94" max="94" width="12.33203125" bestFit="1" customWidth="1"/>
    <col min="95" max="95" width="15" bestFit="1" customWidth="1"/>
    <col min="96" max="96" width="12.33203125" bestFit="1" customWidth="1"/>
    <col min="97" max="97" width="15" bestFit="1" customWidth="1"/>
    <col min="98" max="98" width="12.33203125" bestFit="1" customWidth="1"/>
    <col min="99" max="99" width="15" bestFit="1" customWidth="1"/>
    <col min="100" max="100" width="12.33203125" bestFit="1" customWidth="1"/>
    <col min="101" max="101" width="15" bestFit="1" customWidth="1"/>
    <col min="102" max="102" width="12.33203125" bestFit="1" customWidth="1"/>
    <col min="103" max="103" width="15" bestFit="1" customWidth="1"/>
    <col min="104" max="104" width="12.33203125" bestFit="1" customWidth="1"/>
    <col min="105" max="105" width="15" bestFit="1" customWidth="1"/>
    <col min="106" max="106" width="12.33203125" bestFit="1" customWidth="1"/>
    <col min="107" max="107" width="15" bestFit="1" customWidth="1"/>
    <col min="108" max="108" width="12.33203125" bestFit="1" customWidth="1"/>
    <col min="109" max="109" width="15" bestFit="1" customWidth="1"/>
    <col min="110" max="110" width="12.33203125" bestFit="1" customWidth="1"/>
    <col min="111" max="111" width="15" bestFit="1" customWidth="1"/>
    <col min="112" max="112" width="12.33203125" bestFit="1" customWidth="1"/>
    <col min="113" max="113" width="15" bestFit="1" customWidth="1"/>
    <col min="114" max="114" width="12.33203125" bestFit="1" customWidth="1"/>
    <col min="115" max="115" width="15" bestFit="1" customWidth="1"/>
    <col min="116" max="116" width="12.33203125" bestFit="1" customWidth="1"/>
    <col min="117" max="117" width="15" bestFit="1" customWidth="1"/>
    <col min="118" max="118" width="12.33203125" bestFit="1" customWidth="1"/>
    <col min="119" max="119" width="15" bestFit="1" customWidth="1"/>
    <col min="120" max="120" width="12.33203125" bestFit="1" customWidth="1"/>
    <col min="121" max="121" width="15" bestFit="1" customWidth="1"/>
    <col min="122" max="122" width="12.33203125" bestFit="1" customWidth="1"/>
    <col min="123" max="123" width="15" bestFit="1" customWidth="1"/>
    <col min="124" max="124" width="12.33203125" bestFit="1" customWidth="1"/>
    <col min="125" max="125" width="15" bestFit="1" customWidth="1"/>
    <col min="126" max="126" width="12.33203125" bestFit="1" customWidth="1"/>
    <col min="127" max="127" width="15" bestFit="1" customWidth="1"/>
    <col min="128" max="128" width="12.33203125" bestFit="1" customWidth="1"/>
    <col min="129" max="129" width="15" bestFit="1" customWidth="1"/>
    <col min="130" max="130" width="12.33203125" bestFit="1" customWidth="1"/>
    <col min="131" max="131" width="15" bestFit="1" customWidth="1"/>
    <col min="132" max="132" width="12.33203125" bestFit="1" customWidth="1"/>
    <col min="133" max="133" width="15" bestFit="1" customWidth="1"/>
    <col min="134" max="134" width="12.33203125" bestFit="1" customWidth="1"/>
    <col min="135" max="135" width="15" bestFit="1" customWidth="1"/>
    <col min="136" max="136" width="12.33203125" bestFit="1" customWidth="1"/>
    <col min="137" max="137" width="15" bestFit="1" customWidth="1"/>
    <col min="138" max="138" width="12.33203125" bestFit="1" customWidth="1"/>
    <col min="139" max="139" width="15" bestFit="1" customWidth="1"/>
    <col min="140" max="140" width="12.33203125" bestFit="1" customWidth="1"/>
    <col min="141" max="141" width="15" bestFit="1" customWidth="1"/>
    <col min="142" max="142" width="12.33203125" bestFit="1" customWidth="1"/>
    <col min="143" max="143" width="15" bestFit="1" customWidth="1"/>
    <col min="144" max="144" width="12.33203125" bestFit="1" customWidth="1"/>
    <col min="145" max="145" width="15" bestFit="1" customWidth="1"/>
    <col min="146" max="146" width="12.33203125" bestFit="1" customWidth="1"/>
    <col min="147" max="147" width="15" bestFit="1" customWidth="1"/>
    <col min="148" max="148" width="12.33203125" bestFit="1" customWidth="1"/>
    <col min="149" max="149" width="15" bestFit="1" customWidth="1"/>
    <col min="150" max="150" width="12.33203125" bestFit="1" customWidth="1"/>
    <col min="151" max="151" width="15" bestFit="1" customWidth="1"/>
    <col min="152" max="152" width="12.33203125" bestFit="1" customWidth="1"/>
    <col min="153" max="153" width="15" bestFit="1" customWidth="1"/>
    <col min="154" max="154" width="12.33203125" bestFit="1" customWidth="1"/>
    <col min="155" max="155" width="15" bestFit="1" customWidth="1"/>
    <col min="156" max="156" width="12.33203125" bestFit="1" customWidth="1"/>
    <col min="157" max="157" width="15" bestFit="1" customWidth="1"/>
    <col min="158" max="158" width="12.33203125" bestFit="1" customWidth="1"/>
    <col min="159" max="159" width="15" bestFit="1" customWidth="1"/>
    <col min="160" max="160" width="12.33203125" bestFit="1" customWidth="1"/>
    <col min="161" max="161" width="15" bestFit="1" customWidth="1"/>
    <col min="162" max="162" width="12.33203125" bestFit="1" customWidth="1"/>
    <col min="163" max="163" width="15" bestFit="1" customWidth="1"/>
    <col min="164" max="164" width="12.33203125" bestFit="1" customWidth="1"/>
    <col min="165" max="165" width="15" bestFit="1" customWidth="1"/>
    <col min="166" max="166" width="12.33203125" bestFit="1" customWidth="1"/>
    <col min="167" max="167" width="15" bestFit="1" customWidth="1"/>
    <col min="168" max="168" width="12.33203125" bestFit="1" customWidth="1"/>
    <col min="169" max="169" width="15" bestFit="1" customWidth="1"/>
    <col min="170" max="170" width="12.33203125" bestFit="1" customWidth="1"/>
    <col min="171" max="171" width="15" bestFit="1" customWidth="1"/>
    <col min="172" max="172" width="12.33203125" bestFit="1" customWidth="1"/>
    <col min="173" max="173" width="15" bestFit="1" customWidth="1"/>
    <col min="174" max="174" width="12.33203125" bestFit="1" customWidth="1"/>
    <col min="175" max="175" width="15" bestFit="1" customWidth="1"/>
    <col min="176" max="176" width="12.33203125" bestFit="1" customWidth="1"/>
    <col min="177" max="177" width="15" bestFit="1" customWidth="1"/>
    <col min="178" max="178" width="12.33203125" bestFit="1" customWidth="1"/>
    <col min="179" max="179" width="15" bestFit="1" customWidth="1"/>
    <col min="180" max="180" width="12.33203125" bestFit="1" customWidth="1"/>
    <col min="181" max="181" width="15" bestFit="1" customWidth="1"/>
    <col min="182" max="182" width="12.33203125" bestFit="1" customWidth="1"/>
    <col min="183" max="183" width="15" bestFit="1" customWidth="1"/>
    <col min="184" max="184" width="12.33203125" bestFit="1" customWidth="1"/>
    <col min="185" max="185" width="15" bestFit="1" customWidth="1"/>
    <col min="186" max="186" width="12.33203125" bestFit="1" customWidth="1"/>
    <col min="187" max="187" width="15" bestFit="1" customWidth="1"/>
    <col min="188" max="188" width="8.6640625" bestFit="1" customWidth="1"/>
    <col min="189" max="189" width="11.33203125" bestFit="1" customWidth="1"/>
    <col min="190" max="190" width="10.44140625" bestFit="1" customWidth="1"/>
  </cols>
  <sheetData>
    <row r="1" spans="2:17" s="32" customFormat="1" ht="16.5" customHeight="1"/>
    <row r="2" spans="2:17" ht="16.5" customHeight="1">
      <c r="B2" s="33"/>
      <c r="C2" s="45" t="s">
        <v>217</v>
      </c>
      <c r="D2" s="33"/>
      <c r="E2" s="33"/>
      <c r="F2" s="33"/>
      <c r="G2" s="33"/>
      <c r="H2" s="33"/>
      <c r="I2" s="33"/>
      <c r="J2" s="33"/>
      <c r="K2" s="33"/>
      <c r="L2" s="33"/>
      <c r="M2" s="33"/>
      <c r="N2" s="33"/>
      <c r="O2" s="33"/>
      <c r="P2" s="33"/>
      <c r="Q2" s="33"/>
    </row>
    <row r="3" spans="2:17" ht="16.5" customHeight="1">
      <c r="B3" s="33"/>
      <c r="C3" s="33"/>
      <c r="D3" s="33"/>
      <c r="E3" s="33"/>
      <c r="F3" s="33"/>
      <c r="G3" s="33"/>
      <c r="H3" s="33"/>
      <c r="I3" s="33"/>
      <c r="J3" s="33"/>
      <c r="K3" s="33"/>
      <c r="L3" s="33"/>
      <c r="M3" s="33"/>
      <c r="N3" s="33"/>
      <c r="O3" s="33"/>
      <c r="P3" s="33"/>
      <c r="Q3" s="33"/>
    </row>
    <row r="4" spans="2:17" ht="16.5" customHeight="1">
      <c r="B4" s="33"/>
      <c r="C4" s="33"/>
      <c r="D4" s="33"/>
      <c r="E4" s="33"/>
      <c r="F4" s="33"/>
      <c r="G4" s="33"/>
      <c r="H4" s="33"/>
      <c r="I4" s="33"/>
      <c r="J4" s="33"/>
      <c r="K4" s="41" t="s">
        <v>198</v>
      </c>
      <c r="L4" s="33"/>
      <c r="M4" s="33"/>
      <c r="N4" s="33"/>
      <c r="O4" s="33"/>
      <c r="P4" s="33"/>
      <c r="Q4" s="33"/>
    </row>
    <row r="5" spans="2:17" ht="15.75">
      <c r="B5" s="23"/>
      <c r="C5" s="24" t="s">
        <v>178</v>
      </c>
      <c r="D5" s="40"/>
      <c r="E5" s="40"/>
      <c r="F5" s="33"/>
      <c r="G5" s="33"/>
      <c r="H5" s="33"/>
      <c r="I5" s="33"/>
      <c r="J5" s="33"/>
      <c r="K5" s="18" t="s">
        <v>197</v>
      </c>
      <c r="L5" s="33"/>
      <c r="M5" s="33"/>
      <c r="N5" s="33"/>
      <c r="O5" s="33"/>
      <c r="P5" s="33"/>
      <c r="Q5" s="33"/>
    </row>
    <row r="6" spans="2:17">
      <c r="B6" s="23">
        <v>1</v>
      </c>
      <c r="C6" s="23" t="s">
        <v>179</v>
      </c>
      <c r="D6" s="40"/>
      <c r="E6" s="40"/>
      <c r="F6" s="33"/>
      <c r="G6" s="33"/>
      <c r="H6" s="33"/>
      <c r="I6" s="33"/>
      <c r="J6" s="33"/>
      <c r="K6" s="104" t="s">
        <v>243</v>
      </c>
      <c r="L6" s="104" t="s">
        <v>244</v>
      </c>
      <c r="M6" s="33"/>
      <c r="N6" s="33"/>
      <c r="O6" s="33"/>
      <c r="P6" s="33"/>
      <c r="Q6" s="33"/>
    </row>
    <row r="7" spans="2:17">
      <c r="B7" s="23">
        <v>2</v>
      </c>
      <c r="C7" s="23" t="s">
        <v>180</v>
      </c>
      <c r="D7" s="40"/>
      <c r="E7" s="40"/>
      <c r="F7" s="33"/>
      <c r="G7" s="33"/>
      <c r="H7" s="33"/>
      <c r="I7" s="33"/>
      <c r="J7" s="33"/>
      <c r="K7" s="104" t="s">
        <v>231</v>
      </c>
      <c r="L7" s="33" t="s">
        <v>18</v>
      </c>
      <c r="M7" s="33" t="s">
        <v>13</v>
      </c>
      <c r="N7" s="33" t="s">
        <v>23</v>
      </c>
      <c r="O7" s="33" t="s">
        <v>38</v>
      </c>
      <c r="P7" s="33" t="s">
        <v>29</v>
      </c>
      <c r="Q7" s="33" t="s">
        <v>241</v>
      </c>
    </row>
    <row r="8" spans="2:17">
      <c r="B8" s="23">
        <v>3</v>
      </c>
      <c r="C8" s="23" t="s">
        <v>181</v>
      </c>
      <c r="D8" s="40"/>
      <c r="E8" s="40"/>
      <c r="F8" s="33"/>
      <c r="G8" s="33"/>
      <c r="H8" s="33"/>
      <c r="I8" s="33"/>
      <c r="J8" s="33"/>
      <c r="K8" s="6">
        <v>2018</v>
      </c>
      <c r="L8" s="106">
        <v>2142028.3530630278</v>
      </c>
      <c r="M8" s="106">
        <v>345659.15481496957</v>
      </c>
      <c r="N8" s="106">
        <v>2038650.0930922804</v>
      </c>
      <c r="O8" s="106">
        <v>1901893.9615339828</v>
      </c>
      <c r="P8" s="106"/>
      <c r="Q8" s="106">
        <v>6428231.5625042599</v>
      </c>
    </row>
    <row r="9" spans="2:17">
      <c r="B9" s="40"/>
      <c r="C9" s="40"/>
      <c r="D9" s="40"/>
      <c r="E9" s="40"/>
      <c r="F9" s="33"/>
      <c r="G9" s="33"/>
      <c r="H9" s="33"/>
      <c r="I9" s="33"/>
      <c r="J9" s="33"/>
      <c r="K9" s="6">
        <v>2019</v>
      </c>
      <c r="L9" s="106">
        <v>3078681.2639513393</v>
      </c>
      <c r="M9" s="106">
        <v>2703365.8435605606</v>
      </c>
      <c r="N9" s="106">
        <v>1402178.8199408767</v>
      </c>
      <c r="O9" s="106">
        <v>1623374.4714843191</v>
      </c>
      <c r="P9" s="106">
        <v>1557588.512059862</v>
      </c>
      <c r="Q9" s="106">
        <v>10365188.910996957</v>
      </c>
    </row>
    <row r="10" spans="2:17">
      <c r="B10" s="40"/>
      <c r="C10" s="40"/>
      <c r="D10" s="40"/>
      <c r="E10" s="40"/>
      <c r="F10" s="33"/>
      <c r="G10" s="33"/>
      <c r="H10" s="33"/>
      <c r="I10" s="33"/>
      <c r="J10" s="33"/>
      <c r="K10" s="6">
        <v>2020</v>
      </c>
      <c r="L10" s="106">
        <v>2384580.542741511</v>
      </c>
      <c r="M10" s="106">
        <v>2791088.7383453371</v>
      </c>
      <c r="N10" s="106">
        <v>3983656.4300786904</v>
      </c>
      <c r="O10" s="106"/>
      <c r="P10" s="106">
        <v>2913916.5089356764</v>
      </c>
      <c r="Q10" s="106">
        <v>12073242.220101215</v>
      </c>
    </row>
    <row r="11" spans="2:17">
      <c r="B11" s="33"/>
      <c r="C11" s="33"/>
      <c r="D11" s="33"/>
      <c r="E11" s="33"/>
      <c r="F11" s="33"/>
      <c r="G11" s="33"/>
      <c r="H11" s="33"/>
      <c r="I11" s="33"/>
      <c r="J11" s="33"/>
      <c r="K11" s="6">
        <v>2021</v>
      </c>
      <c r="L11" s="106">
        <v>3164451.8635344403</v>
      </c>
      <c r="M11" s="106">
        <v>1255557.55549184</v>
      </c>
      <c r="N11" s="106">
        <v>852809.66041651997</v>
      </c>
      <c r="O11" s="106">
        <v>1785612.8026580801</v>
      </c>
      <c r="P11" s="106">
        <v>4907895.4539492009</v>
      </c>
      <c r="Q11" s="106">
        <v>11966327.336050082</v>
      </c>
    </row>
    <row r="12" spans="2:17" ht="15.75">
      <c r="B12" s="33"/>
      <c r="C12" s="2" t="s">
        <v>182</v>
      </c>
      <c r="D12" s="33"/>
      <c r="E12" s="33"/>
      <c r="F12" s="33"/>
      <c r="G12" s="33"/>
      <c r="H12" s="33"/>
      <c r="I12" s="33"/>
      <c r="J12" s="33"/>
      <c r="K12" s="6">
        <v>2022</v>
      </c>
      <c r="L12" s="106">
        <v>7283308.5898000002</v>
      </c>
      <c r="M12" s="106">
        <v>1673107.8809119998</v>
      </c>
      <c r="N12" s="106">
        <v>3625547.243702</v>
      </c>
      <c r="O12" s="106">
        <v>1703600.6296979999</v>
      </c>
      <c r="P12" s="106">
        <v>720119.68831999996</v>
      </c>
      <c r="Q12" s="106">
        <v>15005684.032432001</v>
      </c>
    </row>
    <row r="13" spans="2:17">
      <c r="B13" s="33"/>
      <c r="C13" s="42">
        <f>AVERAGE('Claims Data'!F:F)</f>
        <v>606718.30860000022</v>
      </c>
      <c r="D13" s="33"/>
      <c r="E13" s="33"/>
      <c r="F13" s="33"/>
      <c r="G13" s="33"/>
      <c r="H13" s="33"/>
      <c r="I13" s="33"/>
      <c r="J13" s="33"/>
      <c r="K13" s="6">
        <v>2023</v>
      </c>
      <c r="L13" s="106">
        <v>1459094.6686999998</v>
      </c>
      <c r="M13" s="106">
        <v>103097.06539999999</v>
      </c>
      <c r="N13" s="106">
        <v>816921.86390000011</v>
      </c>
      <c r="O13" s="106">
        <v>3629817.9286000002</v>
      </c>
      <c r="P13" s="106">
        <v>1436945.8825000001</v>
      </c>
      <c r="Q13" s="106">
        <v>7445877.4090999998</v>
      </c>
    </row>
    <row r="14" spans="2:17">
      <c r="B14" s="33"/>
      <c r="C14" s="33"/>
      <c r="D14" s="33"/>
      <c r="E14" s="33"/>
      <c r="F14" s="33"/>
      <c r="G14" s="33"/>
      <c r="H14" s="33"/>
      <c r="I14" s="33"/>
      <c r="J14" s="33"/>
      <c r="K14" s="6" t="s">
        <v>241</v>
      </c>
      <c r="L14" s="106">
        <v>19512145.281790316</v>
      </c>
      <c r="M14" s="106">
        <v>8871876.2385247089</v>
      </c>
      <c r="N14" s="106">
        <v>12719764.111130368</v>
      </c>
      <c r="O14" s="106">
        <v>10644299.793974381</v>
      </c>
      <c r="P14" s="106">
        <v>11536466.045764741</v>
      </c>
      <c r="Q14" s="106">
        <v>63284551.471184507</v>
      </c>
    </row>
    <row r="15" spans="2:17" ht="15.75">
      <c r="B15" s="33"/>
      <c r="C15" s="2" t="s">
        <v>154</v>
      </c>
      <c r="D15" s="33"/>
      <c r="E15" s="33"/>
      <c r="F15" s="33"/>
      <c r="G15" s="33"/>
      <c r="H15" s="33"/>
      <c r="I15" s="33"/>
      <c r="J15" s="33"/>
      <c r="K15" s="33"/>
      <c r="L15" s="33"/>
      <c r="M15" s="33"/>
      <c r="N15" s="33"/>
      <c r="O15" s="33"/>
      <c r="P15" s="33"/>
      <c r="Q15" s="33"/>
    </row>
    <row r="16" spans="2:17" ht="15.75">
      <c r="B16" s="33"/>
      <c r="C16" s="42">
        <f>AVERAGE('Claims Data'!O:O)</f>
        <v>662235.24239276652</v>
      </c>
      <c r="D16" s="33"/>
      <c r="E16" s="33"/>
      <c r="F16" s="33"/>
      <c r="G16" s="33"/>
      <c r="H16" s="33"/>
      <c r="I16" s="33"/>
      <c r="J16" s="33"/>
      <c r="K16" s="18" t="s">
        <v>199</v>
      </c>
      <c r="L16" s="33"/>
      <c r="M16" s="33"/>
      <c r="N16" s="33"/>
      <c r="O16" s="33"/>
      <c r="P16" s="33"/>
      <c r="Q16" s="33"/>
    </row>
    <row r="17" spans="2:17">
      <c r="B17" s="33"/>
      <c r="C17" s="33"/>
      <c r="D17" s="33"/>
      <c r="E17" s="33"/>
      <c r="F17" s="33"/>
      <c r="G17" s="33"/>
      <c r="H17" s="33"/>
      <c r="I17" s="33"/>
      <c r="J17" s="33"/>
      <c r="K17" s="104" t="s">
        <v>245</v>
      </c>
      <c r="L17" s="104" t="s">
        <v>244</v>
      </c>
      <c r="M17" s="33"/>
      <c r="N17" s="33"/>
      <c r="O17" s="33"/>
      <c r="P17" s="33"/>
      <c r="Q17" s="33"/>
    </row>
    <row r="18" spans="2:17" ht="15.75">
      <c r="B18" s="33"/>
      <c r="C18" s="20" t="s">
        <v>155</v>
      </c>
      <c r="D18" s="33"/>
      <c r="E18" s="33"/>
      <c r="F18" s="20"/>
      <c r="G18" s="33"/>
      <c r="H18" s="33"/>
      <c r="I18" s="33"/>
      <c r="J18" s="33"/>
      <c r="K18" s="104" t="s">
        <v>231</v>
      </c>
      <c r="L18" s="33" t="s">
        <v>18</v>
      </c>
      <c r="M18" s="33" t="s">
        <v>13</v>
      </c>
      <c r="N18" s="33" t="s">
        <v>23</v>
      </c>
      <c r="O18" s="33" t="s">
        <v>38</v>
      </c>
      <c r="P18" s="33" t="s">
        <v>29</v>
      </c>
      <c r="Q18" s="33" t="s">
        <v>241</v>
      </c>
    </row>
    <row r="19" spans="2:17" ht="15.75">
      <c r="B19" s="33"/>
      <c r="C19" s="33"/>
      <c r="D19" s="33"/>
      <c r="E19" s="33"/>
      <c r="F19" s="21"/>
      <c r="G19" s="33"/>
      <c r="H19" s="33"/>
      <c r="I19" s="33"/>
      <c r="J19" s="33"/>
      <c r="K19" s="6">
        <v>2018</v>
      </c>
      <c r="L19" s="33">
        <v>3</v>
      </c>
      <c r="M19" s="33">
        <v>1</v>
      </c>
      <c r="N19" s="33">
        <v>3</v>
      </c>
      <c r="O19" s="33">
        <v>3</v>
      </c>
      <c r="P19" s="33"/>
      <c r="Q19" s="33">
        <v>10</v>
      </c>
    </row>
    <row r="20" spans="2:17" ht="15.75">
      <c r="B20" s="33"/>
      <c r="C20" s="104" t="s">
        <v>231</v>
      </c>
      <c r="D20" s="104" t="s">
        <v>232</v>
      </c>
      <c r="E20" s="33" t="s">
        <v>233</v>
      </c>
      <c r="F20" s="101" t="s">
        <v>234</v>
      </c>
      <c r="G20" s="33"/>
      <c r="H20" s="33"/>
      <c r="I20" s="33"/>
      <c r="J20" s="33"/>
      <c r="K20" s="6">
        <v>2019</v>
      </c>
      <c r="L20" s="33">
        <v>5</v>
      </c>
      <c r="M20" s="33">
        <v>5</v>
      </c>
      <c r="N20" s="33">
        <v>2</v>
      </c>
      <c r="O20" s="33">
        <v>3</v>
      </c>
      <c r="P20" s="33">
        <v>2</v>
      </c>
      <c r="Q20" s="33">
        <v>17</v>
      </c>
    </row>
    <row r="21" spans="2:17" ht="15.75">
      <c r="B21" s="33"/>
      <c r="C21" s="6" t="s">
        <v>235</v>
      </c>
      <c r="D21" s="102">
        <v>6691732.0322055668</v>
      </c>
      <c r="E21" s="33">
        <v>10</v>
      </c>
      <c r="F21" s="103">
        <f>GETPIVOTDATA("Sum of Gross inflation adjusted claim",$C$20,"Years (Date of Claim)",2018)/GETPIVOTDATA("Count of Date of Claim",$C$20,"Years (Date of Claim)",2018)</f>
        <v>669173.20322055672</v>
      </c>
      <c r="G21" s="33"/>
      <c r="H21" s="33"/>
      <c r="I21" s="33"/>
      <c r="J21" s="33"/>
      <c r="K21" s="6">
        <v>2020</v>
      </c>
      <c r="L21" s="33">
        <v>4</v>
      </c>
      <c r="M21" s="33">
        <v>4</v>
      </c>
      <c r="N21" s="33">
        <v>6</v>
      </c>
      <c r="O21" s="33"/>
      <c r="P21" s="33">
        <v>6</v>
      </c>
      <c r="Q21" s="33">
        <v>20</v>
      </c>
    </row>
    <row r="22" spans="2:17" ht="15.75">
      <c r="B22" s="33"/>
      <c r="C22" s="6" t="s">
        <v>236</v>
      </c>
      <c r="D22" s="102">
        <v>10876480.98938781</v>
      </c>
      <c r="E22" s="33">
        <v>17</v>
      </c>
      <c r="F22" s="103">
        <f>GETPIVOTDATA("Sum of Gross inflation adjusted claim",$C$20,"Years (Date of Claim)",2019)/GETPIVOTDATA("Count of Date of Claim",$C$20,"Years (Date of Claim)",2019)</f>
        <v>639792.99937575357</v>
      </c>
      <c r="G22" s="33"/>
      <c r="H22" s="33"/>
      <c r="I22" s="33"/>
      <c r="J22" s="33"/>
      <c r="K22" s="6">
        <v>2021</v>
      </c>
      <c r="L22" s="33">
        <v>5</v>
      </c>
      <c r="M22" s="33">
        <v>3</v>
      </c>
      <c r="N22" s="33">
        <v>1</v>
      </c>
      <c r="O22" s="33">
        <v>3</v>
      </c>
      <c r="P22" s="33">
        <v>8</v>
      </c>
      <c r="Q22" s="33">
        <v>20</v>
      </c>
    </row>
    <row r="23" spans="2:17" ht="15.75">
      <c r="B23" s="33"/>
      <c r="C23" s="6" t="s">
        <v>237</v>
      </c>
      <c r="D23" s="102">
        <v>12733564.550101213</v>
      </c>
      <c r="E23" s="33">
        <v>20</v>
      </c>
      <c r="F23" s="103">
        <f>GETPIVOTDATA("Sum of Gross inflation adjusted claim",$C$20,"Years (Date of Claim)",2020)/GETPIVOTDATA("Count of Date of Claim",$C$20,"Years (Date of Claim)",2020)</f>
        <v>636678.22750506061</v>
      </c>
      <c r="G23" s="33"/>
      <c r="H23" s="33"/>
      <c r="I23" s="33"/>
      <c r="J23" s="33"/>
      <c r="K23" s="6">
        <v>2022</v>
      </c>
      <c r="L23" s="33">
        <v>4</v>
      </c>
      <c r="M23" s="33">
        <v>4</v>
      </c>
      <c r="N23" s="33">
        <v>5</v>
      </c>
      <c r="O23" s="33">
        <v>3</v>
      </c>
      <c r="P23" s="33">
        <v>1</v>
      </c>
      <c r="Q23" s="33">
        <v>17</v>
      </c>
    </row>
    <row r="24" spans="2:17" ht="15.75">
      <c r="B24" s="33"/>
      <c r="C24" s="6" t="s">
        <v>238</v>
      </c>
      <c r="D24" s="102">
        <v>12524742.626050081</v>
      </c>
      <c r="E24" s="33">
        <v>20</v>
      </c>
      <c r="F24" s="103">
        <f>GETPIVOTDATA("Sum of Gross inflation adjusted claim",$C$20,"Years (Date of Claim)",2021)/GETPIVOTDATA("Count of Date of Claim",$C$20,"Years (Date of Claim)",2021)</f>
        <v>626237.1313025041</v>
      </c>
      <c r="G24" s="33"/>
      <c r="H24" s="33"/>
      <c r="I24" s="33"/>
      <c r="J24" s="33"/>
      <c r="K24" s="6">
        <v>2023</v>
      </c>
      <c r="L24" s="33">
        <v>2</v>
      </c>
      <c r="M24" s="33">
        <v>1</v>
      </c>
      <c r="N24" s="33">
        <v>2</v>
      </c>
      <c r="O24" s="33">
        <v>8</v>
      </c>
      <c r="P24" s="33">
        <v>3</v>
      </c>
      <c r="Q24" s="33">
        <v>16</v>
      </c>
    </row>
    <row r="25" spans="2:17" ht="15.75">
      <c r="B25" s="33"/>
      <c r="C25" s="6" t="s">
        <v>239</v>
      </c>
      <c r="D25" s="102">
        <v>15491738.622432001</v>
      </c>
      <c r="E25" s="33">
        <v>17</v>
      </c>
      <c r="F25" s="103">
        <f>GETPIVOTDATA("Sum of Gross inflation adjusted claim",$C$20,"Years (Date of Claim)",2022)/GETPIVOTDATA("Count of Date of Claim",$C$20,"Years (Date of Claim)",2022)</f>
        <v>911278.74249600002</v>
      </c>
      <c r="G25" s="33"/>
      <c r="H25" s="33"/>
      <c r="I25" s="33"/>
      <c r="J25" s="33"/>
      <c r="K25" s="6" t="s">
        <v>241</v>
      </c>
      <c r="L25" s="33">
        <v>23</v>
      </c>
      <c r="M25" s="33">
        <v>18</v>
      </c>
      <c r="N25" s="33">
        <v>19</v>
      </c>
      <c r="O25" s="33">
        <v>20</v>
      </c>
      <c r="P25" s="33">
        <v>20</v>
      </c>
      <c r="Q25" s="33">
        <v>100</v>
      </c>
    </row>
    <row r="26" spans="2:17" ht="15.75">
      <c r="B26" s="33"/>
      <c r="C26" s="6" t="s">
        <v>240</v>
      </c>
      <c r="D26" s="102">
        <v>7905265.4191000005</v>
      </c>
      <c r="E26" s="33">
        <v>16</v>
      </c>
      <c r="F26" s="103">
        <f>GETPIVOTDATA("Sum of Gross inflation adjusted claim",$C$20,"Years (Date of Claim)",2023)/GETPIVOTDATA("Count of Date of Claim",$C$20,"Years (Date of Claim)",2023)</f>
        <v>494079.08869375003</v>
      </c>
      <c r="G26" s="33"/>
      <c r="H26" s="33"/>
      <c r="I26" s="33"/>
      <c r="J26" s="33"/>
      <c r="K26" s="33"/>
      <c r="L26" s="33"/>
      <c r="M26" s="33"/>
      <c r="N26" s="33"/>
      <c r="O26" s="33"/>
      <c r="P26" s="33"/>
      <c r="Q26" s="33"/>
    </row>
    <row r="27" spans="2:17" ht="15.75">
      <c r="B27" s="33"/>
      <c r="C27" s="6" t="s">
        <v>241</v>
      </c>
      <c r="D27" s="102">
        <v>66223524.23927667</v>
      </c>
      <c r="E27" s="33">
        <v>100</v>
      </c>
      <c r="F27" s="105">
        <f>GETPIVOTDATA("Sum of Gross inflation adjusted claim",$C$20)/GETPIVOTDATA("Count of Date of Claim",$C$20)</f>
        <v>662235.24239276676</v>
      </c>
      <c r="G27" s="33"/>
      <c r="H27" s="33"/>
      <c r="I27" s="33"/>
      <c r="J27" s="33"/>
      <c r="K27" s="18" t="s">
        <v>200</v>
      </c>
      <c r="L27" s="33"/>
      <c r="M27" s="33"/>
      <c r="N27" s="33"/>
      <c r="O27" s="33"/>
      <c r="P27" s="33"/>
      <c r="Q27" s="33"/>
    </row>
    <row r="28" spans="2:17" ht="15.75">
      <c r="B28" s="33"/>
      <c r="C28" s="40"/>
      <c r="D28" s="33"/>
      <c r="E28" s="33"/>
      <c r="F28" s="25"/>
      <c r="G28" s="33"/>
      <c r="H28" s="33"/>
      <c r="I28" s="33"/>
      <c r="J28" s="33"/>
      <c r="K28" s="104" t="s">
        <v>246</v>
      </c>
      <c r="L28" s="104" t="s">
        <v>244</v>
      </c>
      <c r="M28" s="33"/>
      <c r="N28" s="33"/>
      <c r="O28" s="33"/>
      <c r="P28" s="33"/>
      <c r="Q28" s="33"/>
    </row>
    <row r="29" spans="2:17" ht="16.5" customHeight="1">
      <c r="B29" s="33"/>
      <c r="C29" s="33"/>
      <c r="D29" s="33"/>
      <c r="E29" s="33"/>
      <c r="F29" s="33"/>
      <c r="G29" s="33"/>
      <c r="H29" s="33"/>
      <c r="I29" s="33"/>
      <c r="J29" s="33"/>
      <c r="K29" s="104" t="s">
        <v>231</v>
      </c>
      <c r="L29" s="33" t="s">
        <v>18</v>
      </c>
      <c r="M29" s="33" t="s">
        <v>13</v>
      </c>
      <c r="N29" s="33" t="s">
        <v>23</v>
      </c>
      <c r="O29" s="33" t="s">
        <v>38</v>
      </c>
      <c r="P29" s="33" t="s">
        <v>29</v>
      </c>
      <c r="Q29" s="33" t="s">
        <v>241</v>
      </c>
    </row>
    <row r="30" spans="2:17" ht="20.25">
      <c r="B30" s="33"/>
      <c r="C30" s="41" t="s">
        <v>156</v>
      </c>
      <c r="D30" s="33"/>
      <c r="E30" s="33"/>
      <c r="F30" s="33"/>
      <c r="G30" s="33"/>
      <c r="H30" s="33"/>
      <c r="I30" s="33"/>
      <c r="J30" s="33"/>
      <c r="K30" s="6">
        <v>2018</v>
      </c>
      <c r="L30" s="106">
        <v>714009.45102100924</v>
      </c>
      <c r="M30" s="106">
        <v>345659.15481496957</v>
      </c>
      <c r="N30" s="106">
        <v>679550.03103076015</v>
      </c>
      <c r="O30" s="106">
        <v>633964.65384466096</v>
      </c>
      <c r="P30" s="106"/>
      <c r="Q30" s="106">
        <v>642823.15625042596</v>
      </c>
    </row>
    <row r="31" spans="2:17" ht="15.75">
      <c r="B31" s="33"/>
      <c r="C31" s="18" t="s">
        <v>190</v>
      </c>
      <c r="D31" s="33"/>
      <c r="E31" s="33"/>
      <c r="F31" s="33"/>
      <c r="G31" s="33"/>
      <c r="H31" s="33"/>
      <c r="I31" s="33"/>
      <c r="J31" s="33"/>
      <c r="K31" s="6">
        <v>2019</v>
      </c>
      <c r="L31" s="106">
        <v>615736.25279026781</v>
      </c>
      <c r="M31" s="106">
        <v>540673.16871211212</v>
      </c>
      <c r="N31" s="106">
        <v>701089.40997043834</v>
      </c>
      <c r="O31" s="106">
        <v>541124.8238281064</v>
      </c>
      <c r="P31" s="106">
        <v>778794.25602993101</v>
      </c>
      <c r="Q31" s="106">
        <v>609716.99476452684</v>
      </c>
    </row>
    <row r="32" spans="2:17">
      <c r="B32" s="33"/>
      <c r="C32" s="104" t="s">
        <v>243</v>
      </c>
      <c r="D32" s="104" t="s">
        <v>244</v>
      </c>
      <c r="E32" s="33"/>
      <c r="F32" s="33"/>
      <c r="G32" s="33"/>
      <c r="H32" s="33"/>
      <c r="I32" s="33"/>
      <c r="J32" s="33"/>
      <c r="K32" s="6">
        <v>2020</v>
      </c>
      <c r="L32" s="106">
        <v>596145.13568537775</v>
      </c>
      <c r="M32" s="106">
        <v>697772.18458633428</v>
      </c>
      <c r="N32" s="106">
        <v>663942.7383464484</v>
      </c>
      <c r="O32" s="106"/>
      <c r="P32" s="106">
        <v>485652.75148927938</v>
      </c>
      <c r="Q32" s="106">
        <v>603662.11100506096</v>
      </c>
    </row>
    <row r="33" spans="2:17" s="32" customFormat="1">
      <c r="B33" s="33"/>
      <c r="C33" s="104" t="s">
        <v>231</v>
      </c>
      <c r="D33" s="33" t="s">
        <v>16</v>
      </c>
      <c r="E33" s="33" t="s">
        <v>10</v>
      </c>
      <c r="F33" s="33" t="s">
        <v>21</v>
      </c>
      <c r="G33" s="33" t="s">
        <v>26</v>
      </c>
      <c r="H33" s="33" t="s">
        <v>32</v>
      </c>
      <c r="I33" s="33" t="s">
        <v>241</v>
      </c>
      <c r="J33" s="33"/>
      <c r="K33" s="6">
        <v>2021</v>
      </c>
      <c r="L33" s="106">
        <v>632890.37270688801</v>
      </c>
      <c r="M33" s="106">
        <v>418519.18516394665</v>
      </c>
      <c r="N33" s="106">
        <v>852809.66041651997</v>
      </c>
      <c r="O33" s="106">
        <v>595204.26755269337</v>
      </c>
      <c r="P33" s="106">
        <v>613486.93174365012</v>
      </c>
      <c r="Q33" s="106">
        <v>598316.36680250405</v>
      </c>
    </row>
    <row r="34" spans="2:17" s="32" customFormat="1">
      <c r="B34" s="33"/>
      <c r="C34" s="6">
        <v>2018</v>
      </c>
      <c r="D34" s="106">
        <v>697368.0207472234</v>
      </c>
      <c r="E34" s="106">
        <v>2405966.0874662898</v>
      </c>
      <c r="F34" s="106">
        <v>1324699.5078214062</v>
      </c>
      <c r="G34" s="106"/>
      <c r="H34" s="106">
        <v>2000197.9464693414</v>
      </c>
      <c r="I34" s="106">
        <v>6428231.5625042608</v>
      </c>
      <c r="J34" s="33"/>
      <c r="K34" s="6">
        <v>2022</v>
      </c>
      <c r="L34" s="106">
        <v>1820827.14745</v>
      </c>
      <c r="M34" s="106">
        <v>418276.97022799996</v>
      </c>
      <c r="N34" s="106">
        <v>725109.44874040002</v>
      </c>
      <c r="O34" s="106">
        <v>567866.87656599993</v>
      </c>
      <c r="P34" s="106">
        <v>720119.68831999996</v>
      </c>
      <c r="Q34" s="106">
        <v>882687.29602541169</v>
      </c>
    </row>
    <row r="35" spans="2:17" s="32" customFormat="1">
      <c r="B35" s="33"/>
      <c r="C35" s="6">
        <v>2019</v>
      </c>
      <c r="D35" s="106">
        <v>662834.33499735559</v>
      </c>
      <c r="E35" s="106">
        <v>3253999.8527008849</v>
      </c>
      <c r="F35" s="106">
        <v>2407881.4108209559</v>
      </c>
      <c r="G35" s="106">
        <v>3215152.3493829388</v>
      </c>
      <c r="H35" s="106">
        <v>825320.96309482318</v>
      </c>
      <c r="I35" s="106">
        <v>10365188.910996959</v>
      </c>
      <c r="J35" s="33"/>
      <c r="K35" s="6">
        <v>2023</v>
      </c>
      <c r="L35" s="106">
        <v>729547.3343499999</v>
      </c>
      <c r="M35" s="106">
        <v>103097.06539999999</v>
      </c>
      <c r="N35" s="106">
        <v>408460.93195000006</v>
      </c>
      <c r="O35" s="106">
        <v>453727.24107500003</v>
      </c>
      <c r="P35" s="106">
        <v>478981.96083333337</v>
      </c>
      <c r="Q35" s="106">
        <v>465367.33806875005</v>
      </c>
    </row>
    <row r="36" spans="2:17" s="32" customFormat="1">
      <c r="B36" s="33"/>
      <c r="C36" s="6">
        <v>2020</v>
      </c>
      <c r="D36" s="106">
        <v>3570921.3315225951</v>
      </c>
      <c r="E36" s="106"/>
      <c r="F36" s="106">
        <v>3050494.7499306966</v>
      </c>
      <c r="G36" s="106">
        <v>3693140.9137192685</v>
      </c>
      <c r="H36" s="106">
        <v>1758685.2249286552</v>
      </c>
      <c r="I36" s="106">
        <v>12073242.220101215</v>
      </c>
      <c r="J36" s="33"/>
      <c r="K36" s="6" t="s">
        <v>241</v>
      </c>
      <c r="L36" s="106">
        <v>848354.14268653584</v>
      </c>
      <c r="M36" s="106">
        <v>492882.01325137273</v>
      </c>
      <c r="N36" s="106">
        <v>669461.26900686149</v>
      </c>
      <c r="O36" s="106">
        <v>532214.98969871923</v>
      </c>
      <c r="P36" s="106">
        <v>576823.30228823691</v>
      </c>
      <c r="Q36" s="106">
        <v>632845.5147118452</v>
      </c>
    </row>
    <row r="37" spans="2:17" s="32" customFormat="1">
      <c r="B37" s="33"/>
      <c r="C37" s="6">
        <v>2021</v>
      </c>
      <c r="D37" s="106">
        <v>1781773.1680748803</v>
      </c>
      <c r="E37" s="106">
        <v>4027741.5256802402</v>
      </c>
      <c r="F37" s="106">
        <v>2386006.5987511203</v>
      </c>
      <c r="G37" s="106">
        <v>3537852.8211535201</v>
      </c>
      <c r="H37" s="106">
        <v>232953.22239032001</v>
      </c>
      <c r="I37" s="106">
        <v>11966327.33605008</v>
      </c>
      <c r="J37" s="33"/>
      <c r="K37" s="33"/>
      <c r="L37" s="33"/>
      <c r="M37" s="33"/>
      <c r="N37" s="33"/>
      <c r="O37" s="33"/>
      <c r="P37" s="33"/>
      <c r="Q37" s="33"/>
    </row>
    <row r="38" spans="2:17" s="32" customFormat="1">
      <c r="B38" s="33"/>
      <c r="C38" s="6">
        <v>2022</v>
      </c>
      <c r="D38" s="106">
        <v>2937526.7408780004</v>
      </c>
      <c r="E38" s="106">
        <v>997566.67877399991</v>
      </c>
      <c r="F38" s="106">
        <v>2654253.808468</v>
      </c>
      <c r="G38" s="106">
        <v>8416336.8043120001</v>
      </c>
      <c r="H38" s="106"/>
      <c r="I38" s="106">
        <v>15005684.032432001</v>
      </c>
      <c r="J38" s="33"/>
      <c r="K38" s="33"/>
      <c r="L38" s="33"/>
      <c r="M38" s="33"/>
      <c r="N38" s="33"/>
      <c r="O38" s="33"/>
      <c r="P38" s="33"/>
      <c r="Q38" s="33"/>
    </row>
    <row r="39" spans="2:17" s="32" customFormat="1">
      <c r="B39" s="33"/>
      <c r="C39" s="6">
        <v>2023</v>
      </c>
      <c r="D39" s="106">
        <v>1570662.8665999998</v>
      </c>
      <c r="E39" s="106">
        <v>1410599.5731000002</v>
      </c>
      <c r="F39" s="106">
        <v>834871.46829999995</v>
      </c>
      <c r="G39" s="106"/>
      <c r="H39" s="106">
        <v>3629743.5011</v>
      </c>
      <c r="I39" s="106">
        <v>7445877.4090999998</v>
      </c>
      <c r="J39" s="33"/>
      <c r="K39" s="88" t="s">
        <v>183</v>
      </c>
      <c r="L39" s="88"/>
      <c r="M39" s="88"/>
      <c r="N39" s="33"/>
      <c r="O39" s="33"/>
      <c r="P39" s="33"/>
      <c r="Q39" s="33"/>
    </row>
    <row r="40" spans="2:17" s="32" customFormat="1">
      <c r="B40" s="33"/>
      <c r="C40" s="6" t="s">
        <v>241</v>
      </c>
      <c r="D40" s="106">
        <v>11221086.462820055</v>
      </c>
      <c r="E40" s="106">
        <v>12095873.717721414</v>
      </c>
      <c r="F40" s="106">
        <v>12658207.544092178</v>
      </c>
      <c r="G40" s="106">
        <v>18862482.888567727</v>
      </c>
      <c r="H40" s="106">
        <v>8446900.8579831403</v>
      </c>
      <c r="I40" s="106">
        <v>63284551.471184507</v>
      </c>
      <c r="J40" s="33"/>
      <c r="K40" s="88" t="s">
        <v>201</v>
      </c>
      <c r="L40" s="88"/>
      <c r="M40" s="88"/>
      <c r="N40" s="33"/>
      <c r="O40" s="33"/>
      <c r="P40" s="33"/>
      <c r="Q40" s="33"/>
    </row>
    <row r="41" spans="2:17" s="32" customFormat="1">
      <c r="B41" s="33"/>
      <c r="C41" s="33"/>
      <c r="D41" s="33"/>
      <c r="E41" s="33"/>
      <c r="F41" s="33"/>
      <c r="G41" s="33"/>
      <c r="H41" s="33"/>
      <c r="I41" s="33"/>
      <c r="J41" s="33"/>
      <c r="K41" s="88" t="s">
        <v>202</v>
      </c>
      <c r="L41" s="88"/>
      <c r="M41" s="88"/>
      <c r="N41" s="33"/>
      <c r="O41" s="33"/>
      <c r="P41" s="33"/>
      <c r="Q41" s="33"/>
    </row>
    <row r="42" spans="2:17" ht="15.75">
      <c r="B42" s="33"/>
      <c r="C42" s="18" t="s">
        <v>191</v>
      </c>
      <c r="D42" s="33"/>
      <c r="E42" s="33"/>
      <c r="F42" s="33"/>
      <c r="G42" s="33"/>
      <c r="H42" s="33"/>
      <c r="I42" s="33"/>
      <c r="J42" s="33"/>
      <c r="K42" s="33"/>
      <c r="L42" s="33"/>
      <c r="M42" s="33"/>
      <c r="N42" s="33"/>
      <c r="O42" s="33"/>
      <c r="P42" s="33"/>
      <c r="Q42" s="33"/>
    </row>
    <row r="43" spans="2:17">
      <c r="B43" s="33"/>
      <c r="C43" s="104" t="s">
        <v>245</v>
      </c>
      <c r="D43" s="104" t="s">
        <v>244</v>
      </c>
      <c r="E43" s="33"/>
      <c r="F43" s="33"/>
      <c r="G43" s="33"/>
      <c r="H43" s="33"/>
      <c r="I43" s="33"/>
      <c r="J43" s="33"/>
      <c r="K43" s="33"/>
      <c r="L43" s="33"/>
      <c r="M43" s="33"/>
      <c r="N43" s="33"/>
      <c r="O43" s="33"/>
      <c r="P43" s="33"/>
      <c r="Q43" s="33"/>
    </row>
    <row r="44" spans="2:17">
      <c r="B44" s="33"/>
      <c r="C44" s="104" t="s">
        <v>231</v>
      </c>
      <c r="D44" s="33" t="s">
        <v>16</v>
      </c>
      <c r="E44" s="33" t="s">
        <v>10</v>
      </c>
      <c r="F44" s="33" t="s">
        <v>21</v>
      </c>
      <c r="G44" s="33" t="s">
        <v>26</v>
      </c>
      <c r="H44" s="33" t="s">
        <v>32</v>
      </c>
      <c r="I44" s="33" t="s">
        <v>241</v>
      </c>
      <c r="J44" s="33"/>
      <c r="K44" s="33"/>
      <c r="L44" s="33"/>
      <c r="M44" s="33"/>
      <c r="N44" s="33"/>
      <c r="O44" s="33"/>
      <c r="P44" s="33"/>
      <c r="Q44" s="33"/>
    </row>
    <row r="45" spans="2:17">
      <c r="B45" s="33"/>
      <c r="C45" s="6">
        <v>2018</v>
      </c>
      <c r="D45" s="33">
        <v>1</v>
      </c>
      <c r="E45" s="33">
        <v>4</v>
      </c>
      <c r="F45" s="33">
        <v>2</v>
      </c>
      <c r="G45" s="33"/>
      <c r="H45" s="33">
        <v>3</v>
      </c>
      <c r="I45" s="33">
        <v>10</v>
      </c>
      <c r="J45" s="33"/>
      <c r="K45" s="33"/>
      <c r="L45" s="33"/>
      <c r="M45" s="33"/>
      <c r="N45" s="33"/>
      <c r="O45" s="33"/>
      <c r="P45" s="33"/>
      <c r="Q45" s="33"/>
    </row>
    <row r="46" spans="2:17">
      <c r="B46" s="33"/>
      <c r="C46" s="6">
        <v>2019</v>
      </c>
      <c r="D46" s="33">
        <v>1</v>
      </c>
      <c r="E46" s="33">
        <v>6</v>
      </c>
      <c r="F46" s="33">
        <v>3</v>
      </c>
      <c r="G46" s="33">
        <v>5</v>
      </c>
      <c r="H46" s="33">
        <v>2</v>
      </c>
      <c r="I46" s="33">
        <v>17</v>
      </c>
      <c r="J46" s="33"/>
      <c r="K46" s="33"/>
      <c r="L46" s="33"/>
      <c r="M46" s="33"/>
      <c r="N46" s="33"/>
      <c r="O46" s="33"/>
      <c r="P46" s="33"/>
      <c r="Q46" s="33"/>
    </row>
    <row r="47" spans="2:17">
      <c r="B47" s="33"/>
      <c r="C47" s="6">
        <v>2020</v>
      </c>
      <c r="D47" s="33">
        <v>6</v>
      </c>
      <c r="E47" s="33"/>
      <c r="F47" s="33">
        <v>5</v>
      </c>
      <c r="G47" s="33">
        <v>6</v>
      </c>
      <c r="H47" s="33">
        <v>3</v>
      </c>
      <c r="I47" s="33">
        <v>20</v>
      </c>
      <c r="J47" s="33"/>
      <c r="K47" s="33"/>
      <c r="L47" s="33"/>
      <c r="M47" s="33"/>
      <c r="N47" s="33"/>
      <c r="O47" s="33"/>
      <c r="P47" s="33"/>
      <c r="Q47" s="33"/>
    </row>
    <row r="48" spans="2:17">
      <c r="B48" s="33"/>
      <c r="C48" s="6">
        <v>2021</v>
      </c>
      <c r="D48" s="33">
        <v>3</v>
      </c>
      <c r="E48" s="33">
        <v>6</v>
      </c>
      <c r="F48" s="33">
        <v>4</v>
      </c>
      <c r="G48" s="33">
        <v>6</v>
      </c>
      <c r="H48" s="33">
        <v>1</v>
      </c>
      <c r="I48" s="33">
        <v>20</v>
      </c>
      <c r="J48" s="33"/>
      <c r="K48" s="33"/>
      <c r="L48" s="33"/>
      <c r="M48" s="33"/>
      <c r="N48" s="33"/>
      <c r="O48" s="33"/>
      <c r="P48" s="33"/>
      <c r="Q48" s="33"/>
    </row>
    <row r="49" spans="2:17">
      <c r="B49" s="33"/>
      <c r="C49" s="6">
        <v>2022</v>
      </c>
      <c r="D49" s="33">
        <v>5</v>
      </c>
      <c r="E49" s="33">
        <v>3</v>
      </c>
      <c r="F49" s="33">
        <v>4</v>
      </c>
      <c r="G49" s="33">
        <v>5</v>
      </c>
      <c r="H49" s="33"/>
      <c r="I49" s="33">
        <v>17</v>
      </c>
      <c r="J49" s="33"/>
      <c r="K49" s="33"/>
      <c r="L49" s="33"/>
      <c r="M49" s="33"/>
      <c r="N49" s="33"/>
      <c r="O49" s="33"/>
      <c r="P49" s="33"/>
      <c r="Q49" s="33"/>
    </row>
    <row r="50" spans="2:17" ht="15.75">
      <c r="B50" s="33"/>
      <c r="C50" s="6">
        <v>2023</v>
      </c>
      <c r="D50" s="33">
        <v>3</v>
      </c>
      <c r="E50" s="33">
        <v>2</v>
      </c>
      <c r="F50" s="33">
        <v>2</v>
      </c>
      <c r="G50" s="33"/>
      <c r="H50" s="33">
        <v>9</v>
      </c>
      <c r="I50" s="33">
        <v>16</v>
      </c>
      <c r="J50" s="33"/>
      <c r="K50" s="22"/>
      <c r="L50" s="33"/>
      <c r="M50" s="33"/>
      <c r="N50" s="33"/>
      <c r="O50" s="33"/>
      <c r="P50" s="33"/>
      <c r="Q50" s="33"/>
    </row>
    <row r="51" spans="2:17">
      <c r="B51" s="33"/>
      <c r="C51" s="6" t="s">
        <v>241</v>
      </c>
      <c r="D51" s="33">
        <v>19</v>
      </c>
      <c r="E51" s="33">
        <v>21</v>
      </c>
      <c r="F51" s="33">
        <v>20</v>
      </c>
      <c r="G51" s="33">
        <v>22</v>
      </c>
      <c r="H51" s="33">
        <v>18</v>
      </c>
      <c r="I51" s="33">
        <v>100</v>
      </c>
      <c r="J51" s="33"/>
      <c r="K51" s="33"/>
      <c r="L51" s="33"/>
      <c r="M51" s="33"/>
      <c r="N51" s="33"/>
      <c r="O51" s="33"/>
      <c r="P51" s="33"/>
      <c r="Q51" s="33"/>
    </row>
    <row r="52" spans="2:17">
      <c r="B52" s="33"/>
      <c r="C52" s="33"/>
      <c r="D52" s="33"/>
      <c r="E52" s="33"/>
      <c r="F52" s="33"/>
      <c r="G52" s="33"/>
      <c r="H52" s="33"/>
      <c r="I52" s="33"/>
      <c r="J52" s="33"/>
      <c r="K52" s="33"/>
      <c r="L52" s="33"/>
      <c r="M52" s="33"/>
      <c r="N52" s="33"/>
      <c r="O52" s="33"/>
      <c r="P52" s="33"/>
      <c r="Q52" s="33"/>
    </row>
    <row r="53" spans="2:17" ht="15.75">
      <c r="B53" s="33"/>
      <c r="C53" s="18" t="s">
        <v>192</v>
      </c>
      <c r="D53" s="33"/>
      <c r="E53" s="33"/>
      <c r="F53" s="33"/>
      <c r="G53" s="33"/>
      <c r="H53" s="33"/>
      <c r="I53" s="33"/>
      <c r="J53" s="33"/>
      <c r="K53" s="33"/>
      <c r="L53" s="33"/>
      <c r="M53" s="33"/>
      <c r="N53" s="33"/>
      <c r="O53" s="33"/>
      <c r="P53" s="33"/>
      <c r="Q53" s="33"/>
    </row>
    <row r="54" spans="2:17">
      <c r="B54" s="33"/>
      <c r="C54" s="104" t="s">
        <v>246</v>
      </c>
      <c r="D54" s="104" t="s">
        <v>244</v>
      </c>
      <c r="E54" s="33"/>
      <c r="F54" s="33"/>
      <c r="G54" s="33"/>
      <c r="H54" s="33"/>
      <c r="I54" s="33"/>
      <c r="J54" s="33"/>
      <c r="K54" s="33"/>
      <c r="L54" s="33"/>
      <c r="M54" s="33"/>
      <c r="N54" s="33"/>
      <c r="O54" s="33"/>
      <c r="P54" s="33"/>
      <c r="Q54" s="33"/>
    </row>
    <row r="55" spans="2:17">
      <c r="B55" s="33"/>
      <c r="C55" s="104" t="s">
        <v>231</v>
      </c>
      <c r="D55" s="33" t="s">
        <v>16</v>
      </c>
      <c r="E55" s="33" t="s">
        <v>10</v>
      </c>
      <c r="F55" s="33" t="s">
        <v>21</v>
      </c>
      <c r="G55" s="33" t="s">
        <v>26</v>
      </c>
      <c r="H55" s="33" t="s">
        <v>32</v>
      </c>
      <c r="I55" s="33" t="s">
        <v>241</v>
      </c>
      <c r="J55" s="33"/>
      <c r="K55" s="33"/>
      <c r="L55" s="33"/>
      <c r="M55" s="33"/>
      <c r="N55" s="33"/>
      <c r="O55" s="33"/>
      <c r="P55" s="33"/>
      <c r="Q55" s="33"/>
    </row>
    <row r="56" spans="2:17">
      <c r="B56" s="33"/>
      <c r="C56" s="6">
        <v>2018</v>
      </c>
      <c r="D56" s="106">
        <v>697368.0207472234</v>
      </c>
      <c r="E56" s="106">
        <v>601491.52186657244</v>
      </c>
      <c r="F56" s="106">
        <v>662349.75391070312</v>
      </c>
      <c r="G56" s="106"/>
      <c r="H56" s="106">
        <v>666732.64882311376</v>
      </c>
      <c r="I56" s="106">
        <v>642823.15625042608</v>
      </c>
      <c r="J56" s="33"/>
      <c r="K56" s="33"/>
      <c r="L56" s="33"/>
      <c r="M56" s="33"/>
      <c r="N56" s="33"/>
      <c r="O56" s="33"/>
      <c r="P56" s="33"/>
      <c r="Q56" s="33"/>
    </row>
    <row r="57" spans="2:17">
      <c r="B57" s="33"/>
      <c r="C57" s="6">
        <v>2019</v>
      </c>
      <c r="D57" s="106">
        <v>662834.33499735559</v>
      </c>
      <c r="E57" s="106">
        <v>542333.30878348078</v>
      </c>
      <c r="F57" s="106">
        <v>802627.13694031863</v>
      </c>
      <c r="G57" s="106">
        <v>643030.46987658774</v>
      </c>
      <c r="H57" s="106">
        <v>412660.48154741159</v>
      </c>
      <c r="I57" s="106">
        <v>609716.99476452684</v>
      </c>
      <c r="J57" s="33"/>
      <c r="K57" s="33"/>
      <c r="L57" s="33"/>
      <c r="M57" s="33"/>
      <c r="N57" s="33"/>
      <c r="O57" s="33"/>
      <c r="P57" s="33"/>
      <c r="Q57" s="33"/>
    </row>
    <row r="58" spans="2:17">
      <c r="B58" s="33"/>
      <c r="C58" s="6">
        <v>2020</v>
      </c>
      <c r="D58" s="106">
        <v>595153.5552537659</v>
      </c>
      <c r="E58" s="106"/>
      <c r="F58" s="106">
        <v>610098.94998613931</v>
      </c>
      <c r="G58" s="106">
        <v>615523.48561987805</v>
      </c>
      <c r="H58" s="106">
        <v>586228.40830955177</v>
      </c>
      <c r="I58" s="106">
        <v>603662.11100506072</v>
      </c>
      <c r="J58" s="33"/>
      <c r="K58" s="33"/>
      <c r="L58" s="33"/>
      <c r="M58" s="33"/>
      <c r="N58" s="33"/>
      <c r="O58" s="33"/>
      <c r="P58" s="33"/>
      <c r="Q58" s="33"/>
    </row>
    <row r="59" spans="2:17">
      <c r="B59" s="33"/>
      <c r="C59" s="6">
        <v>2021</v>
      </c>
      <c r="D59" s="106">
        <v>593924.38935829338</v>
      </c>
      <c r="E59" s="106">
        <v>671290.25428004004</v>
      </c>
      <c r="F59" s="106">
        <v>596501.64968778007</v>
      </c>
      <c r="G59" s="106">
        <v>589642.13685891998</v>
      </c>
      <c r="H59" s="106">
        <v>232953.22239032001</v>
      </c>
      <c r="I59" s="106">
        <v>598316.36680250405</v>
      </c>
      <c r="J59" s="33"/>
      <c r="K59" s="33"/>
      <c r="L59" s="33"/>
      <c r="M59" s="33"/>
      <c r="N59" s="33"/>
      <c r="O59" s="33"/>
      <c r="P59" s="33"/>
      <c r="Q59" s="33"/>
    </row>
    <row r="60" spans="2:17">
      <c r="B60" s="33"/>
      <c r="C60" s="6">
        <v>2022</v>
      </c>
      <c r="D60" s="106">
        <v>587505.34817560005</v>
      </c>
      <c r="E60" s="106">
        <v>332522.22625799995</v>
      </c>
      <c r="F60" s="106">
        <v>663563.45211700001</v>
      </c>
      <c r="G60" s="106">
        <v>1683267.3608623999</v>
      </c>
      <c r="H60" s="106"/>
      <c r="I60" s="106">
        <v>882687.29602541169</v>
      </c>
      <c r="J60" s="33"/>
      <c r="K60" s="33"/>
      <c r="L60" s="33"/>
      <c r="M60" s="33"/>
      <c r="N60" s="33"/>
      <c r="O60" s="33"/>
      <c r="P60" s="33"/>
      <c r="Q60" s="33"/>
    </row>
    <row r="61" spans="2:17" ht="15.75">
      <c r="B61" s="33"/>
      <c r="C61" s="6">
        <v>2023</v>
      </c>
      <c r="D61" s="106">
        <v>523554.28886666661</v>
      </c>
      <c r="E61" s="106">
        <v>705299.78655000008</v>
      </c>
      <c r="F61" s="106">
        <v>417435.73414999997</v>
      </c>
      <c r="G61" s="106"/>
      <c r="H61" s="106">
        <v>403304.83345555555</v>
      </c>
      <c r="I61" s="106">
        <v>465367.3380687501</v>
      </c>
      <c r="J61" s="33"/>
      <c r="K61" s="20"/>
      <c r="L61" s="33"/>
      <c r="M61" s="33"/>
      <c r="N61" s="33"/>
      <c r="O61" s="33"/>
      <c r="P61" s="33"/>
      <c r="Q61" s="33"/>
    </row>
    <row r="62" spans="2:17">
      <c r="B62" s="33"/>
      <c r="C62" s="6" t="s">
        <v>241</v>
      </c>
      <c r="D62" s="106">
        <v>590583.49804316065</v>
      </c>
      <c r="E62" s="106">
        <v>575993.98655816249</v>
      </c>
      <c r="F62" s="106">
        <v>632910.37720460887</v>
      </c>
      <c r="G62" s="106">
        <v>857385.58584398741</v>
      </c>
      <c r="H62" s="106">
        <v>469272.26988795237</v>
      </c>
      <c r="I62" s="106">
        <v>632845.5147118452</v>
      </c>
      <c r="J62" s="33"/>
      <c r="K62" s="33"/>
      <c r="L62" s="33"/>
      <c r="M62" s="33"/>
      <c r="N62" s="33"/>
      <c r="O62" s="33"/>
      <c r="P62" s="33"/>
      <c r="Q62" s="33"/>
    </row>
    <row r="63" spans="2:17">
      <c r="B63" s="33"/>
      <c r="C63" s="33"/>
      <c r="D63" s="33"/>
      <c r="E63" s="33"/>
      <c r="F63" s="33"/>
      <c r="G63" s="33"/>
      <c r="H63" s="33"/>
      <c r="I63" s="33"/>
      <c r="J63" s="33"/>
      <c r="K63" s="33"/>
      <c r="L63" s="33"/>
      <c r="M63" s="33"/>
      <c r="N63" s="33"/>
      <c r="O63" s="33"/>
      <c r="P63" s="33"/>
      <c r="Q63" s="33"/>
    </row>
    <row r="64" spans="2:17" ht="15.75">
      <c r="B64" s="33"/>
      <c r="C64" s="22"/>
      <c r="D64" s="33"/>
      <c r="E64" s="33"/>
      <c r="F64" s="33"/>
      <c r="G64" s="33"/>
      <c r="H64" s="33"/>
      <c r="I64" s="33"/>
      <c r="J64" s="33"/>
      <c r="K64" s="33"/>
      <c r="L64" s="33"/>
      <c r="M64" s="33"/>
      <c r="N64" s="33"/>
      <c r="O64" s="33"/>
      <c r="P64" s="33"/>
      <c r="Q64" s="33"/>
    </row>
    <row r="65" spans="2:17" ht="20.25">
      <c r="B65" s="33"/>
      <c r="C65" s="41" t="s">
        <v>193</v>
      </c>
      <c r="D65" s="33"/>
      <c r="E65" s="33"/>
      <c r="F65" s="33"/>
      <c r="G65" s="33"/>
      <c r="H65" s="33"/>
      <c r="I65" s="33"/>
      <c r="J65" s="33"/>
      <c r="K65" s="33"/>
      <c r="L65" s="33"/>
      <c r="M65" s="33"/>
      <c r="N65" s="33"/>
      <c r="O65" s="33"/>
      <c r="P65" s="33"/>
      <c r="Q65" s="33"/>
    </row>
    <row r="66" spans="2:17" ht="15.75">
      <c r="B66" s="33"/>
      <c r="C66" s="18" t="s">
        <v>194</v>
      </c>
      <c r="D66" s="33"/>
      <c r="E66" s="33"/>
      <c r="F66" s="33"/>
      <c r="G66" s="33"/>
      <c r="H66" s="33"/>
      <c r="I66" s="33"/>
      <c r="J66" s="33"/>
      <c r="K66" s="33"/>
      <c r="L66" s="33"/>
      <c r="M66" s="33"/>
      <c r="N66" s="33"/>
      <c r="O66" s="33"/>
      <c r="P66" s="33"/>
      <c r="Q66" s="33"/>
    </row>
    <row r="67" spans="2:17">
      <c r="B67" s="33"/>
      <c r="C67" s="104" t="s">
        <v>243</v>
      </c>
      <c r="D67" s="104" t="s">
        <v>244</v>
      </c>
      <c r="E67" s="33"/>
      <c r="F67" s="33"/>
      <c r="G67" s="33"/>
      <c r="H67" s="33"/>
      <c r="I67" s="43"/>
      <c r="J67" s="33"/>
      <c r="K67" s="33"/>
      <c r="L67" s="33"/>
      <c r="M67" s="33"/>
      <c r="N67" s="33"/>
      <c r="O67" s="33"/>
      <c r="P67" s="33"/>
      <c r="Q67" s="33"/>
    </row>
    <row r="68" spans="2:17">
      <c r="B68" s="33"/>
      <c r="C68" s="104" t="s">
        <v>231</v>
      </c>
      <c r="D68" s="33" t="s">
        <v>22</v>
      </c>
      <c r="E68" s="33" t="s">
        <v>12</v>
      </c>
      <c r="F68" s="33" t="s">
        <v>28</v>
      </c>
      <c r="G68" s="33" t="s">
        <v>17</v>
      </c>
      <c r="H68" s="33" t="s">
        <v>241</v>
      </c>
      <c r="I68" s="43"/>
      <c r="J68" s="33"/>
      <c r="K68" s="33"/>
      <c r="L68" s="33"/>
      <c r="M68" s="33"/>
      <c r="N68" s="33"/>
      <c r="O68" s="33"/>
      <c r="P68" s="33"/>
      <c r="Q68" s="33"/>
    </row>
    <row r="69" spans="2:17">
      <c r="B69" s="33"/>
      <c r="C69" s="6">
        <v>2018</v>
      </c>
      <c r="D69" s="106">
        <v>1324699.5078214062</v>
      </c>
      <c r="E69" s="106">
        <v>2355678.5005103601</v>
      </c>
      <c r="F69" s="106">
        <v>713950.58527087432</v>
      </c>
      <c r="G69" s="106">
        <v>2033902.9689016202</v>
      </c>
      <c r="H69" s="106">
        <v>6428231.5625042608</v>
      </c>
      <c r="I69" s="43"/>
      <c r="J69" s="33"/>
      <c r="K69" s="33"/>
      <c r="L69" s="33"/>
      <c r="M69" s="33"/>
      <c r="N69" s="33"/>
      <c r="O69" s="33"/>
      <c r="P69" s="33"/>
      <c r="Q69" s="33"/>
    </row>
    <row r="70" spans="2:17">
      <c r="B70" s="33"/>
      <c r="C70" s="6">
        <v>2019</v>
      </c>
      <c r="D70" s="106">
        <v>2407881.4108209559</v>
      </c>
      <c r="E70" s="106">
        <v>1899587.8414497594</v>
      </c>
      <c r="F70" s="106">
        <v>2405751.7012606501</v>
      </c>
      <c r="G70" s="106">
        <v>3651967.9574655928</v>
      </c>
      <c r="H70" s="106">
        <v>10365188.910996959</v>
      </c>
      <c r="I70" s="43"/>
      <c r="J70" s="33"/>
      <c r="K70" s="33"/>
      <c r="L70" s="33"/>
      <c r="M70" s="33"/>
      <c r="N70" s="33"/>
      <c r="O70" s="33"/>
      <c r="P70" s="33"/>
      <c r="Q70" s="33"/>
    </row>
    <row r="71" spans="2:17">
      <c r="B71" s="33"/>
      <c r="C71" s="6">
        <v>2020</v>
      </c>
      <c r="D71" s="106">
        <v>3268651.1868274631</v>
      </c>
      <c r="E71" s="106">
        <v>1758685.2249286552</v>
      </c>
      <c r="F71" s="106">
        <v>3693140.9137192685</v>
      </c>
      <c r="G71" s="106">
        <v>3352764.8946258286</v>
      </c>
      <c r="H71" s="106">
        <v>12073242.220101215</v>
      </c>
      <c r="I71" s="43"/>
      <c r="J71" s="33"/>
      <c r="K71" s="33"/>
      <c r="L71" s="33"/>
      <c r="M71" s="33"/>
      <c r="N71" s="33"/>
      <c r="O71" s="33"/>
      <c r="P71" s="33"/>
      <c r="Q71" s="33"/>
    </row>
    <row r="72" spans="2:17">
      <c r="B72" s="33"/>
      <c r="C72" s="6">
        <v>2021</v>
      </c>
      <c r="D72" s="106">
        <v>2386006.5987511203</v>
      </c>
      <c r="E72" s="106">
        <v>1087529.66512576</v>
      </c>
      <c r="F72" s="106">
        <v>3191128.31616844</v>
      </c>
      <c r="G72" s="106">
        <v>5301662.756004761</v>
      </c>
      <c r="H72" s="106">
        <v>11966327.336050082</v>
      </c>
      <c r="I72" s="43"/>
      <c r="J72" s="33"/>
      <c r="K72" s="33"/>
      <c r="L72" s="33"/>
      <c r="M72" s="33"/>
      <c r="N72" s="33"/>
      <c r="O72" s="33"/>
      <c r="P72" s="33"/>
      <c r="Q72" s="33"/>
    </row>
    <row r="73" spans="2:17">
      <c r="B73" s="33"/>
      <c r="C73" s="6">
        <v>2022</v>
      </c>
      <c r="D73" s="106">
        <v>2654253.808468</v>
      </c>
      <c r="E73" s="106">
        <v>1086039.2492479999</v>
      </c>
      <c r="F73" s="106">
        <v>8416336.8043120001</v>
      </c>
      <c r="G73" s="106">
        <v>2849054.1704040002</v>
      </c>
      <c r="H73" s="106">
        <v>15005684.032431999</v>
      </c>
      <c r="I73" s="43"/>
      <c r="J73" s="33"/>
      <c r="K73" s="33"/>
      <c r="L73" s="33"/>
      <c r="M73" s="33"/>
      <c r="N73" s="33"/>
      <c r="O73" s="33"/>
      <c r="P73" s="33"/>
      <c r="Q73" s="33"/>
    </row>
    <row r="74" spans="2:17">
      <c r="B74" s="33"/>
      <c r="C74" s="6">
        <v>2023</v>
      </c>
      <c r="D74" s="106">
        <v>834871.46829999995</v>
      </c>
      <c r="E74" s="106">
        <v>3538473.3713000002</v>
      </c>
      <c r="F74" s="106"/>
      <c r="G74" s="106">
        <v>3072532.5695000002</v>
      </c>
      <c r="H74" s="106">
        <v>7445877.4091000007</v>
      </c>
      <c r="I74" s="43"/>
      <c r="J74" s="33"/>
      <c r="K74" s="33"/>
      <c r="L74" s="33"/>
      <c r="M74" s="33"/>
      <c r="N74" s="33"/>
      <c r="O74" s="33"/>
      <c r="P74" s="33"/>
      <c r="Q74" s="33"/>
    </row>
    <row r="75" spans="2:17">
      <c r="B75" s="33"/>
      <c r="C75" s="6" t="s">
        <v>241</v>
      </c>
      <c r="D75" s="106">
        <v>12876363.980988946</v>
      </c>
      <c r="E75" s="106">
        <v>11725993.852562534</v>
      </c>
      <c r="F75" s="106">
        <v>18420308.320731234</v>
      </c>
      <c r="G75" s="106">
        <v>20261885.316901803</v>
      </c>
      <c r="H75" s="106">
        <v>63284551.471184522</v>
      </c>
      <c r="I75" s="43"/>
      <c r="J75" s="33"/>
      <c r="K75" s="33"/>
      <c r="L75" s="33"/>
      <c r="M75" s="33"/>
      <c r="N75" s="33"/>
      <c r="O75" s="33"/>
      <c r="P75" s="33"/>
      <c r="Q75" s="33"/>
    </row>
    <row r="76" spans="2:17">
      <c r="B76" s="33"/>
      <c r="C76" s="33"/>
      <c r="D76" s="33"/>
      <c r="E76" s="33"/>
      <c r="F76" s="33"/>
      <c r="G76" s="33"/>
      <c r="H76" s="33"/>
      <c r="I76" s="33"/>
      <c r="J76" s="33"/>
      <c r="K76" s="33"/>
      <c r="L76" s="33"/>
      <c r="M76" s="33"/>
      <c r="N76" s="33"/>
      <c r="O76" s="33"/>
      <c r="P76" s="33"/>
      <c r="Q76" s="33"/>
    </row>
    <row r="77" spans="2:17" ht="15.75">
      <c r="B77" s="33"/>
      <c r="C77" s="18" t="s">
        <v>195</v>
      </c>
      <c r="D77" s="33"/>
      <c r="E77" s="33"/>
      <c r="F77" s="33"/>
      <c r="G77" s="33"/>
      <c r="H77" s="33"/>
      <c r="I77" s="33"/>
      <c r="J77" s="33"/>
      <c r="K77" s="33"/>
      <c r="L77" s="33"/>
      <c r="M77" s="33"/>
      <c r="N77" s="33"/>
      <c r="O77" s="33"/>
      <c r="P77" s="33"/>
      <c r="Q77" s="33"/>
    </row>
    <row r="78" spans="2:17">
      <c r="B78" s="33"/>
      <c r="C78" s="104" t="s">
        <v>245</v>
      </c>
      <c r="D78" s="104" t="s">
        <v>244</v>
      </c>
      <c r="E78" s="33"/>
      <c r="F78" s="33"/>
      <c r="G78" s="33"/>
      <c r="H78" s="33"/>
      <c r="I78" s="43"/>
      <c r="J78" s="33"/>
      <c r="K78" s="33"/>
      <c r="L78" s="33"/>
      <c r="M78" s="33"/>
      <c r="N78" s="33"/>
      <c r="O78" s="33"/>
      <c r="P78" s="33"/>
      <c r="Q78" s="33"/>
    </row>
    <row r="79" spans="2:17">
      <c r="B79" s="33"/>
      <c r="C79" s="104" t="s">
        <v>231</v>
      </c>
      <c r="D79" s="33" t="s">
        <v>22</v>
      </c>
      <c r="E79" s="33" t="s">
        <v>12</v>
      </c>
      <c r="F79" s="33" t="s">
        <v>28</v>
      </c>
      <c r="G79" s="33" t="s">
        <v>17</v>
      </c>
      <c r="H79" s="33" t="s">
        <v>241</v>
      </c>
      <c r="I79" s="43"/>
      <c r="J79" s="33"/>
      <c r="K79" s="33"/>
      <c r="L79" s="33"/>
      <c r="M79" s="33"/>
      <c r="N79" s="33"/>
      <c r="O79" s="33"/>
      <c r="P79" s="33"/>
      <c r="Q79" s="33"/>
    </row>
    <row r="80" spans="2:17">
      <c r="B80" s="33"/>
      <c r="C80" s="6">
        <v>2018</v>
      </c>
      <c r="D80" s="33">
        <v>2</v>
      </c>
      <c r="E80" s="33">
        <v>4</v>
      </c>
      <c r="F80" s="33">
        <v>1</v>
      </c>
      <c r="G80" s="33">
        <v>3</v>
      </c>
      <c r="H80" s="33">
        <v>10</v>
      </c>
      <c r="I80" s="43"/>
      <c r="J80" s="33"/>
      <c r="K80" s="33"/>
      <c r="L80" s="33"/>
      <c r="M80" s="33"/>
      <c r="N80" s="33"/>
      <c r="O80" s="33"/>
      <c r="P80" s="33"/>
      <c r="Q80" s="33"/>
    </row>
    <row r="81" spans="2:17">
      <c r="B81" s="33"/>
      <c r="C81" s="6">
        <v>2019</v>
      </c>
      <c r="D81" s="33">
        <v>3</v>
      </c>
      <c r="E81" s="33">
        <v>4</v>
      </c>
      <c r="F81" s="33">
        <v>4</v>
      </c>
      <c r="G81" s="33">
        <v>6</v>
      </c>
      <c r="H81" s="33">
        <v>17</v>
      </c>
      <c r="I81" s="43"/>
      <c r="J81" s="33"/>
      <c r="K81" s="33"/>
      <c r="L81" s="33"/>
      <c r="M81" s="33"/>
      <c r="N81" s="33"/>
      <c r="O81" s="33"/>
      <c r="P81" s="33"/>
      <c r="Q81" s="33"/>
    </row>
    <row r="82" spans="2:17">
      <c r="B82" s="33"/>
      <c r="C82" s="6">
        <v>2020</v>
      </c>
      <c r="D82" s="33">
        <v>6</v>
      </c>
      <c r="E82" s="33">
        <v>3</v>
      </c>
      <c r="F82" s="33">
        <v>6</v>
      </c>
      <c r="G82" s="33">
        <v>5</v>
      </c>
      <c r="H82" s="33">
        <v>20</v>
      </c>
      <c r="I82" s="43"/>
      <c r="J82" s="33"/>
      <c r="K82" s="33"/>
      <c r="L82" s="33"/>
      <c r="M82" s="33"/>
      <c r="N82" s="33"/>
      <c r="O82" s="33"/>
      <c r="P82" s="33"/>
      <c r="Q82" s="33"/>
    </row>
    <row r="83" spans="2:17">
      <c r="B83" s="33"/>
      <c r="C83" s="6">
        <v>2021</v>
      </c>
      <c r="D83" s="33">
        <v>4</v>
      </c>
      <c r="E83" s="33">
        <v>2</v>
      </c>
      <c r="F83" s="33">
        <v>5</v>
      </c>
      <c r="G83" s="33">
        <v>9</v>
      </c>
      <c r="H83" s="33">
        <v>20</v>
      </c>
      <c r="I83" s="43"/>
      <c r="J83" s="33"/>
      <c r="K83" s="33"/>
      <c r="L83" s="33"/>
      <c r="M83" s="33"/>
      <c r="N83" s="33"/>
      <c r="O83" s="33"/>
      <c r="P83" s="33"/>
      <c r="Q83" s="33"/>
    </row>
    <row r="84" spans="2:17">
      <c r="B84" s="33"/>
      <c r="C84" s="6">
        <v>2022</v>
      </c>
      <c r="D84" s="33">
        <v>4</v>
      </c>
      <c r="E84" s="33">
        <v>2</v>
      </c>
      <c r="F84" s="33">
        <v>5</v>
      </c>
      <c r="G84" s="33">
        <v>6</v>
      </c>
      <c r="H84" s="33">
        <v>17</v>
      </c>
      <c r="I84" s="43"/>
      <c r="J84" s="33"/>
      <c r="K84" s="33"/>
      <c r="L84" s="33"/>
      <c r="M84" s="33"/>
      <c r="N84" s="33"/>
      <c r="O84" s="33"/>
      <c r="P84" s="33"/>
      <c r="Q84" s="33"/>
    </row>
    <row r="85" spans="2:17">
      <c r="B85" s="33"/>
      <c r="C85" s="6">
        <v>2023</v>
      </c>
      <c r="D85" s="33">
        <v>2</v>
      </c>
      <c r="E85" s="33">
        <v>8</v>
      </c>
      <c r="F85" s="33"/>
      <c r="G85" s="33">
        <v>6</v>
      </c>
      <c r="H85" s="33">
        <v>16</v>
      </c>
      <c r="I85" s="43"/>
      <c r="J85" s="33"/>
      <c r="K85" s="33"/>
      <c r="L85" s="33"/>
      <c r="M85" s="33"/>
      <c r="N85" s="33"/>
      <c r="O85" s="33"/>
      <c r="P85" s="33"/>
      <c r="Q85" s="33"/>
    </row>
    <row r="86" spans="2:17">
      <c r="B86" s="33"/>
      <c r="C86" s="6" t="s">
        <v>241</v>
      </c>
      <c r="D86" s="33">
        <v>21</v>
      </c>
      <c r="E86" s="33">
        <v>23</v>
      </c>
      <c r="F86" s="33">
        <v>21</v>
      </c>
      <c r="G86" s="33">
        <v>35</v>
      </c>
      <c r="H86" s="33">
        <v>100</v>
      </c>
      <c r="I86" s="43"/>
      <c r="J86" s="33"/>
      <c r="K86" s="33"/>
      <c r="L86" s="33"/>
      <c r="M86" s="33"/>
      <c r="N86" s="33"/>
      <c r="O86" s="33"/>
      <c r="P86" s="33"/>
      <c r="Q86" s="33"/>
    </row>
    <row r="87" spans="2:17">
      <c r="B87" s="33"/>
      <c r="C87" s="33"/>
      <c r="D87" s="33"/>
      <c r="E87" s="33"/>
      <c r="F87" s="33"/>
      <c r="G87" s="33"/>
      <c r="H87" s="33"/>
      <c r="I87" s="33"/>
      <c r="J87" s="33"/>
      <c r="K87" s="33"/>
      <c r="L87" s="33"/>
      <c r="M87" s="33"/>
      <c r="N87" s="33"/>
      <c r="O87" s="33"/>
      <c r="P87" s="33"/>
      <c r="Q87" s="33"/>
    </row>
    <row r="88" spans="2:17">
      <c r="B88" s="33"/>
      <c r="C88" s="18" t="s">
        <v>196</v>
      </c>
      <c r="D88" s="33"/>
      <c r="E88" s="33"/>
      <c r="F88" s="33"/>
      <c r="G88" s="33"/>
      <c r="H88" s="33"/>
      <c r="I88" s="33"/>
      <c r="J88" s="33"/>
      <c r="K88" s="33"/>
      <c r="L88" s="33"/>
      <c r="M88" s="33"/>
      <c r="N88" s="33"/>
      <c r="O88" s="33"/>
      <c r="P88" s="33"/>
      <c r="Q88" s="33"/>
    </row>
    <row r="89" spans="2:17">
      <c r="B89" s="33"/>
      <c r="C89" s="104" t="s">
        <v>246</v>
      </c>
      <c r="D89" s="104" t="s">
        <v>244</v>
      </c>
      <c r="E89" s="33"/>
      <c r="F89" s="33"/>
      <c r="G89" s="33"/>
      <c r="H89" s="33"/>
      <c r="I89" s="43"/>
      <c r="J89" s="33"/>
      <c r="K89" s="33"/>
      <c r="L89" s="33"/>
      <c r="M89" s="33"/>
      <c r="N89" s="33"/>
      <c r="O89" s="33"/>
      <c r="P89" s="33"/>
      <c r="Q89" s="33"/>
    </row>
    <row r="90" spans="2:17">
      <c r="B90" s="33"/>
      <c r="C90" s="104" t="s">
        <v>231</v>
      </c>
      <c r="D90" s="33" t="s">
        <v>22</v>
      </c>
      <c r="E90" s="33" t="s">
        <v>12</v>
      </c>
      <c r="F90" s="33" t="s">
        <v>28</v>
      </c>
      <c r="G90" s="33" t="s">
        <v>17</v>
      </c>
      <c r="H90" s="33" t="s">
        <v>241</v>
      </c>
      <c r="I90" s="43"/>
      <c r="J90" s="33"/>
      <c r="K90" s="33"/>
      <c r="L90" s="33"/>
      <c r="M90" s="33"/>
      <c r="N90" s="33"/>
      <c r="O90" s="33"/>
      <c r="P90" s="33"/>
      <c r="Q90" s="33"/>
    </row>
    <row r="91" spans="2:17">
      <c r="B91" s="33"/>
      <c r="C91" s="6">
        <v>2018</v>
      </c>
      <c r="D91" s="106">
        <v>662349.75391070312</v>
      </c>
      <c r="E91" s="106">
        <v>588919.62512759003</v>
      </c>
      <c r="F91" s="106">
        <v>713950.58527087432</v>
      </c>
      <c r="G91" s="106">
        <v>677967.65630054008</v>
      </c>
      <c r="H91" s="106">
        <v>642823.15625042596</v>
      </c>
      <c r="I91" s="43"/>
      <c r="J91" s="33"/>
      <c r="K91" s="33"/>
      <c r="L91" s="33"/>
      <c r="M91" s="33"/>
      <c r="N91" s="33"/>
      <c r="O91" s="33"/>
      <c r="P91" s="33"/>
      <c r="Q91" s="33"/>
    </row>
    <row r="92" spans="2:17">
      <c r="B92" s="33"/>
      <c r="C92" s="6">
        <v>2019</v>
      </c>
      <c r="D92" s="106">
        <v>802627.13694031863</v>
      </c>
      <c r="E92" s="106">
        <v>474896.96036243986</v>
      </c>
      <c r="F92" s="106">
        <v>601437.92531516252</v>
      </c>
      <c r="G92" s="106">
        <v>608661.32624426542</v>
      </c>
      <c r="H92" s="106">
        <v>609716.99476452696</v>
      </c>
      <c r="I92" s="43"/>
      <c r="J92" s="33"/>
      <c r="K92" s="33"/>
      <c r="L92" s="33"/>
      <c r="M92" s="33"/>
      <c r="N92" s="33"/>
      <c r="O92" s="33"/>
      <c r="P92" s="33"/>
      <c r="Q92" s="33"/>
    </row>
    <row r="93" spans="2:17">
      <c r="B93" s="33"/>
      <c r="C93" s="6">
        <v>2020</v>
      </c>
      <c r="D93" s="106">
        <v>544775.19780457718</v>
      </c>
      <c r="E93" s="106">
        <v>586228.40830955177</v>
      </c>
      <c r="F93" s="106">
        <v>615523.48561987805</v>
      </c>
      <c r="G93" s="106">
        <v>670552.97892516572</v>
      </c>
      <c r="H93" s="106">
        <v>603662.11100506072</v>
      </c>
      <c r="I93" s="43"/>
      <c r="J93" s="33"/>
      <c r="K93" s="33"/>
      <c r="L93" s="33"/>
      <c r="M93" s="33"/>
      <c r="N93" s="33"/>
      <c r="O93" s="33"/>
      <c r="P93" s="33"/>
      <c r="Q93" s="33"/>
    </row>
    <row r="94" spans="2:17">
      <c r="B94" s="33"/>
      <c r="C94" s="6">
        <v>2021</v>
      </c>
      <c r="D94" s="106">
        <v>596501.64968778007</v>
      </c>
      <c r="E94" s="106">
        <v>543764.83256288001</v>
      </c>
      <c r="F94" s="106">
        <v>638225.66323368798</v>
      </c>
      <c r="G94" s="106">
        <v>589073.63955608453</v>
      </c>
      <c r="H94" s="106">
        <v>598316.36680250394</v>
      </c>
      <c r="I94" s="43"/>
      <c r="J94" s="33"/>
      <c r="K94" s="33"/>
      <c r="L94" s="33"/>
      <c r="M94" s="33"/>
      <c r="N94" s="33"/>
      <c r="O94" s="33"/>
      <c r="P94" s="33"/>
      <c r="Q94" s="33"/>
    </row>
    <row r="95" spans="2:17">
      <c r="B95" s="33"/>
      <c r="C95" s="6">
        <v>2022</v>
      </c>
      <c r="D95" s="106">
        <v>663563.45211700001</v>
      </c>
      <c r="E95" s="106">
        <v>543019.62462399993</v>
      </c>
      <c r="F95" s="106">
        <v>1683267.3608623999</v>
      </c>
      <c r="G95" s="106">
        <v>474842.36173400003</v>
      </c>
      <c r="H95" s="106">
        <v>882687.29602541158</v>
      </c>
      <c r="I95" s="43"/>
      <c r="J95" s="33"/>
      <c r="K95" s="33"/>
      <c r="L95" s="33"/>
      <c r="M95" s="33"/>
      <c r="N95" s="33"/>
      <c r="O95" s="33"/>
      <c r="P95" s="33"/>
      <c r="Q95" s="33"/>
    </row>
    <row r="96" spans="2:17">
      <c r="B96" s="33"/>
      <c r="C96" s="6">
        <v>2023</v>
      </c>
      <c r="D96" s="106">
        <v>417435.73414999997</v>
      </c>
      <c r="E96" s="106">
        <v>442309.17141250003</v>
      </c>
      <c r="F96" s="106"/>
      <c r="G96" s="106">
        <v>512088.76158333337</v>
      </c>
      <c r="H96" s="106">
        <v>465367.3380687501</v>
      </c>
      <c r="I96" s="43"/>
      <c r="J96" s="33"/>
      <c r="K96" s="33"/>
      <c r="L96" s="33"/>
      <c r="M96" s="33"/>
      <c r="N96" s="33"/>
      <c r="O96" s="33"/>
      <c r="P96" s="33"/>
      <c r="Q96" s="33"/>
    </row>
    <row r="97" spans="2:17">
      <c r="B97" s="33"/>
      <c r="C97" s="6" t="s">
        <v>241</v>
      </c>
      <c r="D97" s="106">
        <v>613160.18957090215</v>
      </c>
      <c r="E97" s="106">
        <v>509825.819676632</v>
      </c>
      <c r="F97" s="106">
        <v>877157.5390824395</v>
      </c>
      <c r="G97" s="106">
        <v>578911.00905433705</v>
      </c>
      <c r="H97" s="106">
        <v>632845.5147118452</v>
      </c>
      <c r="I97" s="43"/>
      <c r="J97" s="33"/>
      <c r="K97" s="33"/>
      <c r="L97" s="33"/>
      <c r="M97" s="33"/>
      <c r="N97" s="33"/>
      <c r="O97" s="33"/>
      <c r="P97" s="33"/>
      <c r="Q97" s="33"/>
    </row>
    <row r="102" spans="2:17" ht="15.75">
      <c r="C102" s="22"/>
    </row>
    <row r="128" spans="3:3" ht="15.75">
      <c r="C128" s="20" t="s">
        <v>157</v>
      </c>
    </row>
  </sheetData>
  <mergeCells count="3">
    <mergeCell ref="K39:M39"/>
    <mergeCell ref="K40:M40"/>
    <mergeCell ref="K41:M41"/>
  </mergeCells>
  <pageMargins left="0.7" right="0.7" top="0.75" bottom="0.75" header="0.3" footer="0.3"/>
  <pageSetup paperSize="9"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F4A3-EC7C-3348-977E-44D82B5A3750}">
  <dimension ref="A1:N69"/>
  <sheetViews>
    <sheetView topLeftCell="C31" zoomScale="60" zoomScaleNormal="60" workbookViewId="0">
      <selection activeCell="H67" sqref="H67"/>
    </sheetView>
  </sheetViews>
  <sheetFormatPr defaultColWidth="10.6640625" defaultRowHeight="15"/>
  <cols>
    <col min="2" max="2" width="40.77734375" customWidth="1"/>
    <col min="3" max="3" width="37.33203125" bestFit="1" customWidth="1"/>
    <col min="4" max="4" width="18.21875" customWidth="1"/>
    <col min="5" max="5" width="12.33203125" customWidth="1"/>
    <col min="7" max="7" width="31.77734375" style="6" customWidth="1"/>
    <col min="8" max="11" width="25.5546875" customWidth="1"/>
    <col min="12" max="12" width="19.109375" customWidth="1"/>
    <col min="14" max="14" width="23.33203125" customWidth="1"/>
    <col min="111" max="111" width="7" bestFit="1" customWidth="1"/>
    <col min="112" max="112" width="10.44140625" bestFit="1" customWidth="1"/>
  </cols>
  <sheetData>
    <row r="1" spans="2:11" ht="15.75">
      <c r="G1" s="18" t="s">
        <v>214</v>
      </c>
      <c r="H1" s="10"/>
      <c r="I1" s="11"/>
    </row>
    <row r="2" spans="2:11" ht="17.45" customHeight="1">
      <c r="B2" s="4" t="s">
        <v>148</v>
      </c>
      <c r="G2" s="89">
        <v>1</v>
      </c>
      <c r="H2" s="91" t="s">
        <v>221</v>
      </c>
      <c r="I2" s="91"/>
      <c r="J2" s="91"/>
      <c r="K2" s="91"/>
    </row>
    <row r="3" spans="2:11" s="32" customFormat="1" ht="18" thickBot="1">
      <c r="B3" s="4"/>
      <c r="G3" s="90"/>
      <c r="H3" s="92"/>
      <c r="I3" s="92"/>
      <c r="J3" s="92"/>
      <c r="K3" s="92"/>
    </row>
    <row r="4" spans="2:11" ht="16.5" thickBot="1">
      <c r="D4" s="50" t="s">
        <v>203</v>
      </c>
      <c r="E4" s="51" t="s">
        <v>204</v>
      </c>
      <c r="G4" s="54" t="s">
        <v>170</v>
      </c>
      <c r="H4" s="68" t="s">
        <v>177</v>
      </c>
      <c r="I4" s="68" t="s">
        <v>171</v>
      </c>
      <c r="J4" s="55" t="s">
        <v>247</v>
      </c>
      <c r="K4" s="66"/>
    </row>
    <row r="5" spans="2:11" ht="15.75">
      <c r="B5" s="46">
        <v>2018</v>
      </c>
      <c r="C5" s="34" t="s">
        <v>149</v>
      </c>
      <c r="D5" s="35">
        <v>1.08</v>
      </c>
      <c r="E5" s="36">
        <f>E6*D6</f>
        <v>1.2053063131200001</v>
      </c>
      <c r="G5" s="56">
        <v>2018</v>
      </c>
      <c r="H5" s="60">
        <f>C15</f>
        <v>45000000</v>
      </c>
      <c r="I5" s="60">
        <f>COUNTIFS('Claims Data'!S:S,'Pure Premium Work'!G5,'Claims Data'!R:R,1)</f>
        <v>10</v>
      </c>
      <c r="J5" s="63">
        <f>I5/H5</f>
        <v>2.2222222222222222E-7</v>
      </c>
      <c r="K5" s="107"/>
    </row>
    <row r="6" spans="2:11" ht="15.75">
      <c r="B6" s="47">
        <v>2019</v>
      </c>
      <c r="C6" s="48" t="s">
        <v>150</v>
      </c>
      <c r="D6" s="48">
        <v>1.05</v>
      </c>
      <c r="E6" s="37">
        <f t="shared" ref="E6:E8" si="0">E7*D7</f>
        <v>1.1479107744000001</v>
      </c>
      <c r="G6" s="56">
        <f>G5+1</f>
        <v>2019</v>
      </c>
      <c r="H6" s="60">
        <f t="shared" ref="H6:H10" si="1">C16</f>
        <v>49000000</v>
      </c>
      <c r="I6" s="60">
        <f>COUNTIFS('Claims Data'!S:S,'Pure Premium Work'!G6,'Claims Data'!R:R,1)</f>
        <v>17</v>
      </c>
      <c r="J6" s="63">
        <f t="shared" ref="J6:J10" si="2">I6/H6</f>
        <v>3.4693877551020406E-7</v>
      </c>
      <c r="K6" s="66"/>
    </row>
    <row r="7" spans="2:11" ht="15.75">
      <c r="B7" s="47">
        <v>2020</v>
      </c>
      <c r="C7" s="48" t="s">
        <v>151</v>
      </c>
      <c r="D7" s="48">
        <v>1.04</v>
      </c>
      <c r="E7" s="37">
        <f>E8*D8</f>
        <v>1.1037603600000001</v>
      </c>
      <c r="G7" s="56">
        <f t="shared" ref="G7:G10" si="3">G6+1</f>
        <v>2020</v>
      </c>
      <c r="H7" s="60">
        <f t="shared" si="1"/>
        <v>41750000</v>
      </c>
      <c r="I7" s="60">
        <f>COUNTIFS('Claims Data'!S:S,'Pure Premium Work'!G7,'Claims Data'!R:R,1)</f>
        <v>20</v>
      </c>
      <c r="J7" s="63">
        <f t="shared" si="2"/>
        <v>4.7904191616766466E-7</v>
      </c>
      <c r="K7" s="48"/>
    </row>
    <row r="8" spans="2:11" ht="15.75">
      <c r="B8" s="47">
        <v>2021</v>
      </c>
      <c r="C8" s="48" t="s">
        <v>152</v>
      </c>
      <c r="D8" s="48">
        <v>1.03</v>
      </c>
      <c r="E8" s="37">
        <f t="shared" si="0"/>
        <v>1.071612</v>
      </c>
      <c r="G8" s="56">
        <f t="shared" si="3"/>
        <v>2021</v>
      </c>
      <c r="H8" s="60">
        <f t="shared" si="1"/>
        <v>41500000</v>
      </c>
      <c r="I8" s="60">
        <f>COUNTIFS('Claims Data'!S:S,'Pure Premium Work'!G8,'Claims Data'!R:R,1)</f>
        <v>20</v>
      </c>
      <c r="J8" s="63">
        <f t="shared" si="2"/>
        <v>4.8192771084337348E-7</v>
      </c>
      <c r="K8" s="48"/>
    </row>
    <row r="9" spans="2:11" ht="15.75">
      <c r="B9" s="47">
        <v>2022</v>
      </c>
      <c r="C9" s="48" t="s">
        <v>153</v>
      </c>
      <c r="D9" s="48">
        <v>1.02</v>
      </c>
      <c r="E9" s="37">
        <f>E10*D10</f>
        <v>1.0506</v>
      </c>
      <c r="G9" s="56">
        <f t="shared" si="3"/>
        <v>2022</v>
      </c>
      <c r="H9" s="60">
        <f t="shared" si="1"/>
        <v>43590000</v>
      </c>
      <c r="I9" s="60">
        <f>COUNTIFS('Claims Data'!S:S,'Pure Premium Work'!G9,'Claims Data'!R:R,1)</f>
        <v>16</v>
      </c>
      <c r="J9" s="63">
        <f t="shared" si="2"/>
        <v>3.6705666437256249E-7</v>
      </c>
      <c r="K9" s="67"/>
    </row>
    <row r="10" spans="2:11" ht="16.5" thickBot="1">
      <c r="B10" s="47">
        <v>2023</v>
      </c>
      <c r="C10" s="48" t="s">
        <v>153</v>
      </c>
      <c r="D10" s="48">
        <v>1.02</v>
      </c>
      <c r="E10" s="37">
        <f>E11*D11</f>
        <v>1.03</v>
      </c>
      <c r="G10" s="58">
        <f t="shared" si="3"/>
        <v>2023</v>
      </c>
      <c r="H10" s="64">
        <f t="shared" si="1"/>
        <v>44750000</v>
      </c>
      <c r="I10" s="64">
        <f>COUNTIFS('Claims Data'!S:S,'Pure Premium Work'!G10,'Claims Data'!R:R,1)</f>
        <v>16</v>
      </c>
      <c r="J10" s="65">
        <f t="shared" si="2"/>
        <v>3.5754189944134076E-7</v>
      </c>
      <c r="K10" s="48"/>
    </row>
    <row r="11" spans="2:11" ht="17.100000000000001" customHeight="1" thickBot="1">
      <c r="B11" s="49">
        <v>2024</v>
      </c>
      <c r="C11" s="38" t="s">
        <v>169</v>
      </c>
      <c r="D11" s="38">
        <v>1.03</v>
      </c>
      <c r="E11" s="39">
        <v>1</v>
      </c>
    </row>
    <row r="12" spans="2:11" s="32" customFormat="1" ht="17.100000000000001" customHeight="1">
      <c r="B12" s="52"/>
      <c r="C12" s="48"/>
      <c r="D12" s="48"/>
      <c r="E12" s="53"/>
      <c r="G12" s="2" t="s">
        <v>213</v>
      </c>
    </row>
    <row r="13" spans="2:11" s="32" customFormat="1" ht="17.100000000000001" customHeight="1" thickBot="1">
      <c r="B13" s="2" t="s">
        <v>205</v>
      </c>
      <c r="D13" s="48"/>
      <c r="E13" s="53"/>
      <c r="G13" s="89">
        <v>2</v>
      </c>
      <c r="H13" s="95" t="s">
        <v>222</v>
      </c>
      <c r="I13" s="95"/>
      <c r="J13" s="95"/>
      <c r="K13" s="95"/>
    </row>
    <row r="14" spans="2:11" s="32" customFormat="1" ht="17.100000000000001" customHeight="1">
      <c r="B14" s="54" t="s">
        <v>170</v>
      </c>
      <c r="C14" s="55" t="s">
        <v>206</v>
      </c>
      <c r="D14" s="48"/>
      <c r="E14" s="53"/>
      <c r="G14" s="89"/>
      <c r="H14" s="95"/>
      <c r="I14" s="95"/>
      <c r="J14" s="95"/>
      <c r="K14" s="95"/>
    </row>
    <row r="15" spans="2:11" s="32" customFormat="1" ht="17.100000000000001" customHeight="1">
      <c r="B15" s="56">
        <v>2018</v>
      </c>
      <c r="C15" s="57">
        <f>45000000</f>
        <v>45000000</v>
      </c>
      <c r="D15" s="48"/>
      <c r="E15" s="53"/>
      <c r="G15" s="89"/>
      <c r="H15" s="95"/>
      <c r="I15" s="95"/>
      <c r="J15" s="95"/>
      <c r="K15" s="95"/>
    </row>
    <row r="16" spans="2:11" s="32" customFormat="1" ht="17.100000000000001" customHeight="1">
      <c r="B16" s="56">
        <f>B15+1</f>
        <v>2019</v>
      </c>
      <c r="C16" s="57">
        <v>49000000</v>
      </c>
      <c r="D16" s="48"/>
      <c r="E16" s="53"/>
      <c r="G16" s="89"/>
      <c r="H16" s="95"/>
      <c r="I16" s="95"/>
      <c r="J16" s="95"/>
      <c r="K16" s="95"/>
    </row>
    <row r="17" spans="2:12" s="32" customFormat="1" ht="17.100000000000001" customHeight="1">
      <c r="B17" s="56">
        <f t="shared" ref="B17:B20" si="4">B16+1</f>
        <v>2020</v>
      </c>
      <c r="C17" s="57">
        <v>41750000</v>
      </c>
      <c r="D17" s="48"/>
      <c r="E17" s="53"/>
      <c r="G17" s="104" t="s">
        <v>242</v>
      </c>
      <c r="H17" s="6">
        <v>1</v>
      </c>
      <c r="I17" s="7"/>
      <c r="J17" s="12"/>
    </row>
    <row r="18" spans="2:12" s="32" customFormat="1" ht="17.100000000000001" customHeight="1">
      <c r="B18" s="56">
        <f t="shared" si="4"/>
        <v>2021</v>
      </c>
      <c r="C18" s="57">
        <v>41500000</v>
      </c>
      <c r="D18" s="48"/>
      <c r="E18" s="53"/>
      <c r="G18" s="6"/>
      <c r="H18" s="108"/>
      <c r="I18" s="7"/>
      <c r="J18" s="12"/>
    </row>
    <row r="19" spans="2:12" s="32" customFormat="1" ht="17.100000000000001" customHeight="1">
      <c r="B19" s="56">
        <f t="shared" si="4"/>
        <v>2022</v>
      </c>
      <c r="C19" s="57">
        <v>43590000</v>
      </c>
      <c r="D19" s="48"/>
      <c r="E19" s="53"/>
      <c r="G19" s="104" t="s">
        <v>231</v>
      </c>
      <c r="H19" s="104" t="s">
        <v>243</v>
      </c>
      <c r="I19" s="33" t="s">
        <v>248</v>
      </c>
      <c r="J19" s="109" t="s">
        <v>249</v>
      </c>
    </row>
    <row r="20" spans="2:12" s="32" customFormat="1" ht="17.100000000000001" customHeight="1" thickBot="1">
      <c r="B20" s="58">
        <f t="shared" si="4"/>
        <v>2023</v>
      </c>
      <c r="C20" s="59">
        <v>44750000</v>
      </c>
      <c r="D20" s="48"/>
      <c r="E20" s="53"/>
      <c r="G20" s="6">
        <v>2018</v>
      </c>
      <c r="H20" s="11">
        <v>6428231.5625042599</v>
      </c>
      <c r="I20" s="33">
        <v>10</v>
      </c>
      <c r="J20" s="110">
        <f>GETPIVOTDATA("Sum of Capped net adjusted incurred claim ",$G$17,"Year",2018)/GETPIVOTDATA("Count of Claim ID",$G$17,"Year",2018)</f>
        <v>642823.15625042596</v>
      </c>
    </row>
    <row r="21" spans="2:12" s="32" customFormat="1" ht="17.100000000000001" customHeight="1" thickBot="1">
      <c r="B21" s="18"/>
      <c r="C21" s="60"/>
      <c r="D21" s="48"/>
      <c r="E21" s="53"/>
      <c r="G21" s="6">
        <v>2019</v>
      </c>
      <c r="H21" s="11">
        <v>10365188.910996957</v>
      </c>
      <c r="I21" s="33">
        <v>17</v>
      </c>
      <c r="J21" s="110">
        <f>GETPIVOTDATA("Sum of Capped net adjusted incurred claim ",$G$17,"Year",2019)/GETPIVOTDATA("Count of Claim ID",$G$17,"Year",2019)</f>
        <v>609716.99476452684</v>
      </c>
    </row>
    <row r="22" spans="2:12" s="32" customFormat="1" ht="17.100000000000001" customHeight="1" thickBot="1">
      <c r="B22" s="61" t="s">
        <v>207</v>
      </c>
      <c r="C22" s="62">
        <v>40000000</v>
      </c>
      <c r="D22" s="48"/>
      <c r="E22" s="53"/>
      <c r="G22" s="6">
        <v>2020</v>
      </c>
      <c r="H22" s="11">
        <v>12073242.220101215</v>
      </c>
      <c r="I22" s="33">
        <v>20</v>
      </c>
      <c r="J22" s="110">
        <f>GETPIVOTDATA("Sum of Capped net adjusted incurred claim ",$G$17,"Year",2020)/GETPIVOTDATA("Count of Claim ID",$G$17,"Year",2020)</f>
        <v>603662.11100506072</v>
      </c>
    </row>
    <row r="23" spans="2:12" s="32" customFormat="1" ht="17.100000000000001" customHeight="1">
      <c r="B23" s="52"/>
      <c r="C23" s="48"/>
      <c r="D23" s="48"/>
      <c r="E23" s="53"/>
      <c r="G23" s="6">
        <v>2021</v>
      </c>
      <c r="H23" s="11">
        <v>11966327.33605008</v>
      </c>
      <c r="I23" s="33">
        <v>20</v>
      </c>
      <c r="J23" s="110">
        <f>GETPIVOTDATA("Sum of Capped net adjusted incurred claim ",$G$17,"Year",2021)/GETPIVOTDATA("Count of Claim ID",$G$17,"Year",2021)</f>
        <v>598316.36680250405</v>
      </c>
    </row>
    <row r="24" spans="2:12" s="32" customFormat="1" ht="17.100000000000001" customHeight="1">
      <c r="B24" s="23"/>
      <c r="C24" s="44" t="s">
        <v>178</v>
      </c>
      <c r="D24" s="23"/>
      <c r="E24" s="53"/>
      <c r="G24" s="6">
        <v>2022</v>
      </c>
      <c r="H24" s="11">
        <v>9751736.6086579971</v>
      </c>
      <c r="I24" s="33">
        <v>16</v>
      </c>
      <c r="J24" s="110">
        <f>GETPIVOTDATA("Sum of Capped net adjusted incurred claim ",$G$17,"Year",2022)/GETPIVOTDATA("Count of Claim ID",$G$17,"Year",2022)</f>
        <v>609483.53804112482</v>
      </c>
    </row>
    <row r="25" spans="2:12" s="32" customFormat="1" ht="17.100000000000001" customHeight="1">
      <c r="B25" s="23">
        <v>1</v>
      </c>
      <c r="C25" s="23" t="s">
        <v>179</v>
      </c>
      <c r="D25" s="23"/>
      <c r="E25" s="53"/>
      <c r="G25" s="6">
        <v>2023</v>
      </c>
      <c r="H25" s="11">
        <v>7445877.4091000007</v>
      </c>
      <c r="I25" s="33">
        <v>16</v>
      </c>
      <c r="J25" s="110">
        <f>GETPIVOTDATA("Sum of Capped net adjusted incurred claim ",$G$17,"Year",2023)/GETPIVOTDATA("Count of Claim ID",$G$17,"Year",2023)</f>
        <v>465367.33806875005</v>
      </c>
    </row>
    <row r="26" spans="2:12" s="32" customFormat="1" ht="17.100000000000001" customHeight="1">
      <c r="B26" s="23">
        <v>2</v>
      </c>
      <c r="C26" s="23" t="s">
        <v>180</v>
      </c>
      <c r="D26" s="23"/>
      <c r="E26" s="53"/>
      <c r="G26" s="6" t="s">
        <v>241</v>
      </c>
      <c r="H26" s="11">
        <v>58030604.047410555</v>
      </c>
      <c r="I26" s="33">
        <v>99</v>
      </c>
      <c r="J26" s="110">
        <f>GETPIVOTDATA("Sum of Capped net adjusted incurred claim ",$G$17)/GETPIVOTDATA("Count of Claim ID",$G$17)</f>
        <v>586167.71765061165</v>
      </c>
      <c r="K26"/>
      <c r="L26"/>
    </row>
    <row r="27" spans="2:12" s="32" customFormat="1" ht="17.100000000000001" customHeight="1">
      <c r="B27" s="23">
        <v>3</v>
      </c>
      <c r="C27" s="23" t="s">
        <v>208</v>
      </c>
      <c r="D27" s="23"/>
      <c r="E27" s="53"/>
      <c r="G27" s="18" t="s">
        <v>216</v>
      </c>
      <c r="H27"/>
      <c r="I27"/>
      <c r="J27"/>
      <c r="K27"/>
      <c r="L27"/>
    </row>
    <row r="28" spans="2:12" s="32" customFormat="1" ht="17.100000000000001" customHeight="1">
      <c r="B28" s="23">
        <v>4</v>
      </c>
      <c r="C28" s="23" t="s">
        <v>181</v>
      </c>
      <c r="D28" s="23"/>
      <c r="E28" s="53"/>
      <c r="G28" s="89">
        <v>3</v>
      </c>
      <c r="H28" s="94" t="s">
        <v>223</v>
      </c>
      <c r="I28" s="94"/>
      <c r="J28" s="94"/>
      <c r="K28" s="94"/>
      <c r="L28"/>
    </row>
    <row r="29" spans="2:12" s="32" customFormat="1" ht="17.100000000000001" customHeight="1" thickBot="1">
      <c r="B29" s="23">
        <v>5</v>
      </c>
      <c r="C29" s="23" t="s">
        <v>209</v>
      </c>
      <c r="D29" s="23"/>
      <c r="E29" s="53"/>
      <c r="G29" s="93"/>
      <c r="H29" s="94"/>
      <c r="I29" s="94"/>
      <c r="J29" s="94"/>
      <c r="K29" s="94"/>
      <c r="L29"/>
    </row>
    <row r="30" spans="2:12" s="32" customFormat="1" ht="17.100000000000001" customHeight="1">
      <c r="B30" s="23">
        <v>6</v>
      </c>
      <c r="C30" s="23" t="s">
        <v>210</v>
      </c>
      <c r="D30" s="23"/>
      <c r="E30" s="53"/>
      <c r="G30" s="54" t="s">
        <v>174</v>
      </c>
      <c r="H30" s="68" t="s">
        <v>215</v>
      </c>
      <c r="I30" s="68" t="s">
        <v>175</v>
      </c>
      <c r="J30" s="69" t="s">
        <v>176</v>
      </c>
      <c r="K30"/>
      <c r="L30"/>
    </row>
    <row r="31" spans="2:12" s="32" customFormat="1" ht="17.100000000000001" customHeight="1">
      <c r="B31" s="23">
        <v>7</v>
      </c>
      <c r="C31" s="23" t="s">
        <v>211</v>
      </c>
      <c r="D31" s="23"/>
      <c r="E31" s="53"/>
      <c r="G31" s="56">
        <v>2018</v>
      </c>
      <c r="H31" s="14">
        <f t="shared" ref="H31:H36" si="5">J20</f>
        <v>642823.15625042596</v>
      </c>
      <c r="I31" s="15">
        <f>J5</f>
        <v>2.2222222222222222E-7</v>
      </c>
      <c r="J31" s="111">
        <f>H31*I31</f>
        <v>0.14284959027787245</v>
      </c>
      <c r="K31"/>
      <c r="L31"/>
    </row>
    <row r="32" spans="2:12" s="32" customFormat="1" ht="17.100000000000001" customHeight="1">
      <c r="B32" s="23">
        <v>8</v>
      </c>
      <c r="C32" s="23" t="s">
        <v>212</v>
      </c>
      <c r="D32" s="23"/>
      <c r="E32" s="53"/>
      <c r="G32" s="56">
        <v>2019</v>
      </c>
      <c r="H32" s="14">
        <f t="shared" si="5"/>
        <v>609716.99476452684</v>
      </c>
      <c r="I32" s="15">
        <f t="shared" ref="I32:I36" si="6">J6</f>
        <v>3.4693877551020406E-7</v>
      </c>
      <c r="J32" s="111">
        <f t="shared" ref="J32:J36" si="7">H32*I32</f>
        <v>0.21153446757136643</v>
      </c>
      <c r="K32"/>
      <c r="L32"/>
    </row>
    <row r="33" spans="1:12" s="32" customFormat="1" ht="17.100000000000001" customHeight="1">
      <c r="B33" s="52"/>
      <c r="C33" s="48"/>
      <c r="D33" s="48"/>
      <c r="E33" s="53"/>
      <c r="G33" s="56">
        <v>2020</v>
      </c>
      <c r="H33" s="14">
        <f t="shared" si="5"/>
        <v>603662.11100506072</v>
      </c>
      <c r="I33" s="15">
        <f t="shared" si="6"/>
        <v>4.7904191616766466E-7</v>
      </c>
      <c r="J33" s="111">
        <f t="shared" si="7"/>
        <v>0.28917945437368175</v>
      </c>
      <c r="K33"/>
      <c r="L33"/>
    </row>
    <row r="34" spans="1:12" ht="15.75">
      <c r="G34" s="56">
        <v>2021</v>
      </c>
      <c r="H34" s="14">
        <f t="shared" si="5"/>
        <v>598316.36680250405</v>
      </c>
      <c r="I34" s="15">
        <f t="shared" si="6"/>
        <v>4.8192771084337348E-7</v>
      </c>
      <c r="J34" s="111">
        <f t="shared" si="7"/>
        <v>0.28834523701325498</v>
      </c>
    </row>
    <row r="35" spans="1:12" ht="15" customHeight="1">
      <c r="C35" s="9"/>
      <c r="E35" s="12"/>
      <c r="G35" s="56">
        <v>2022</v>
      </c>
      <c r="H35" s="14">
        <f t="shared" si="5"/>
        <v>609483.53804112482</v>
      </c>
      <c r="I35" s="15">
        <f t="shared" si="6"/>
        <v>3.6705666437256249E-7</v>
      </c>
      <c r="J35" s="111">
        <f t="shared" si="7"/>
        <v>0.22371499446336307</v>
      </c>
    </row>
    <row r="36" spans="1:12" ht="16.5" thickBot="1">
      <c r="E36" s="12"/>
      <c r="G36" s="58">
        <v>2023</v>
      </c>
      <c r="H36" s="112">
        <f t="shared" si="5"/>
        <v>465367.33806875005</v>
      </c>
      <c r="I36" s="113">
        <f t="shared" si="6"/>
        <v>3.5754189944134076E-7</v>
      </c>
      <c r="J36" s="114">
        <f t="shared" si="7"/>
        <v>0.16638832199106146</v>
      </c>
    </row>
    <row r="37" spans="1:12">
      <c r="A37" s="26">
        <v>5</v>
      </c>
      <c r="B37" s="99" t="s">
        <v>220</v>
      </c>
      <c r="C37" s="99"/>
      <c r="D37" s="99"/>
      <c r="E37" s="99"/>
      <c r="H37" s="14"/>
      <c r="I37" s="15"/>
      <c r="J37" s="7"/>
    </row>
    <row r="38" spans="1:12" ht="15.75">
      <c r="B38" s="5" t="s">
        <v>158</v>
      </c>
      <c r="G38" s="31">
        <v>4</v>
      </c>
      <c r="H38" s="99" t="s">
        <v>228</v>
      </c>
      <c r="I38" s="99"/>
      <c r="J38" s="99"/>
      <c r="K38" s="99"/>
    </row>
    <row r="39" spans="1:12" ht="15.75">
      <c r="A39" s="32"/>
      <c r="B39" s="115">
        <f>SUMIFS('Claims Data'!Q:Q,'Claims Data'!Q:Q,"&gt;1e6")</f>
        <v>5253947.4237740003</v>
      </c>
      <c r="C39" s="32"/>
      <c r="D39" s="32"/>
      <c r="E39" s="32"/>
      <c r="H39" s="73"/>
      <c r="I39" s="73"/>
      <c r="J39" s="73"/>
      <c r="K39" s="73"/>
    </row>
    <row r="40" spans="1:12">
      <c r="B40" s="9"/>
      <c r="C40" s="9"/>
      <c r="G40" s="72"/>
      <c r="H40" s="73"/>
      <c r="I40" s="73"/>
      <c r="J40" s="73"/>
      <c r="K40" s="73"/>
    </row>
    <row r="41" spans="1:12" ht="15.75">
      <c r="A41" s="26">
        <v>6</v>
      </c>
      <c r="B41" s="99" t="s">
        <v>218</v>
      </c>
      <c r="C41" s="99"/>
      <c r="D41" s="99"/>
      <c r="E41" s="99"/>
      <c r="G41" s="22" t="s">
        <v>172</v>
      </c>
      <c r="H41" s="70">
        <f>AVERAGE(I31:I36)</f>
        <v>3.7578819809289461E-7</v>
      </c>
      <c r="I41" s="6"/>
      <c r="J41" s="13"/>
    </row>
    <row r="42" spans="1:12" ht="15.75">
      <c r="B42" s="2" t="s">
        <v>159</v>
      </c>
      <c r="G42" s="22" t="s">
        <v>173</v>
      </c>
      <c r="H42" s="71">
        <f>AVERAGE(H31:H36)</f>
        <v>588228.25082206551</v>
      </c>
      <c r="I42" s="6"/>
      <c r="J42" s="7"/>
      <c r="K42" s="11"/>
    </row>
    <row r="43" spans="1:12">
      <c r="B43" s="43">
        <v>20</v>
      </c>
      <c r="H43" s="6"/>
      <c r="I43" s="6"/>
      <c r="J43" s="7"/>
    </row>
    <row r="44" spans="1:12" ht="15.75">
      <c r="G44" s="22" t="s">
        <v>168</v>
      </c>
      <c r="H44" s="16">
        <v>40000000</v>
      </c>
      <c r="I44" s="6"/>
      <c r="J44" s="17"/>
    </row>
    <row r="45" spans="1:12" ht="15.75">
      <c r="A45" s="26">
        <v>7</v>
      </c>
      <c r="B45" s="99" t="s">
        <v>219</v>
      </c>
      <c r="C45" s="99"/>
      <c r="D45" s="99"/>
      <c r="E45" s="99"/>
      <c r="G45" s="22"/>
      <c r="H45" s="16"/>
      <c r="I45" s="6"/>
      <c r="J45" s="17"/>
      <c r="K45" s="32"/>
    </row>
    <row r="46" spans="1:12" ht="24.6" customHeight="1">
      <c r="B46" s="2" t="s">
        <v>160</v>
      </c>
      <c r="G46" s="22"/>
      <c r="H46" s="16"/>
      <c r="I46" s="6"/>
      <c r="J46" s="17"/>
      <c r="K46" s="32"/>
    </row>
    <row r="47" spans="1:12" ht="15" customHeight="1">
      <c r="B47" s="77">
        <f>B39/B43</f>
        <v>262697.37118870002</v>
      </c>
      <c r="G47" s="96">
        <v>8</v>
      </c>
      <c r="H47" s="97" t="s">
        <v>229</v>
      </c>
      <c r="I47" s="97"/>
      <c r="J47" s="97"/>
      <c r="K47" s="97"/>
    </row>
    <row r="48" spans="1:12" ht="15" customHeight="1">
      <c r="G48" s="96"/>
      <c r="H48" s="97"/>
      <c r="I48" s="97"/>
      <c r="J48" s="97"/>
      <c r="K48" s="97"/>
    </row>
    <row r="49" spans="7:14" ht="15.75">
      <c r="G49" s="18" t="s">
        <v>164</v>
      </c>
    </row>
    <row r="50" spans="7:14">
      <c r="G50" s="6" t="s">
        <v>165</v>
      </c>
      <c r="N50" s="6"/>
    </row>
    <row r="51" spans="7:14" ht="15.75">
      <c r="H51" s="8"/>
      <c r="I51" s="8"/>
      <c r="N51" s="6"/>
    </row>
    <row r="52" spans="7:14" ht="15.75">
      <c r="G52" s="74">
        <f>H41*H42*H44+B47</f>
        <v>9104666.7489390709</v>
      </c>
      <c r="H52" s="8"/>
      <c r="I52" s="8"/>
      <c r="N52" s="6"/>
    </row>
    <row r="53" spans="7:14" ht="15.75">
      <c r="G53" s="19"/>
      <c r="N53" s="6"/>
    </row>
    <row r="54" spans="7:14" ht="15.75">
      <c r="G54" s="76">
        <v>9</v>
      </c>
      <c r="H54" s="99" t="s">
        <v>184</v>
      </c>
      <c r="I54" s="99"/>
      <c r="J54" s="99"/>
      <c r="K54" s="99"/>
      <c r="N54" s="6"/>
    </row>
    <row r="55" spans="7:14" ht="15.75">
      <c r="G55" s="18" t="s">
        <v>166</v>
      </c>
      <c r="N55" s="6"/>
    </row>
    <row r="56" spans="7:14">
      <c r="G56" s="6" t="s">
        <v>167</v>
      </c>
      <c r="H56" s="7"/>
      <c r="I56" s="7"/>
      <c r="N56" s="6"/>
    </row>
    <row r="57" spans="7:14" ht="19.5" customHeight="1"/>
    <row r="58" spans="7:14" ht="15.75">
      <c r="G58" s="75">
        <f>G52*1.3*1.1</f>
        <v>13019673.450982872</v>
      </c>
    </row>
    <row r="60" spans="7:14">
      <c r="G60" s="98">
        <v>10</v>
      </c>
      <c r="H60" s="94" t="s">
        <v>230</v>
      </c>
      <c r="I60" s="94"/>
      <c r="J60" s="94"/>
      <c r="K60" s="94"/>
    </row>
    <row r="61" spans="7:14" ht="15.95" customHeight="1">
      <c r="G61" s="98"/>
      <c r="H61" s="94"/>
      <c r="I61" s="94"/>
      <c r="J61" s="94"/>
      <c r="K61" s="94"/>
    </row>
    <row r="62" spans="7:14">
      <c r="G62" s="98"/>
      <c r="H62" s="94"/>
      <c r="I62" s="94"/>
      <c r="J62" s="94"/>
      <c r="K62" s="94"/>
    </row>
    <row r="63" spans="7:14" ht="15.75">
      <c r="G63" s="18" t="s">
        <v>161</v>
      </c>
      <c r="H63" t="s">
        <v>224</v>
      </c>
    </row>
    <row r="64" spans="7:14" ht="15.75">
      <c r="G64" s="18" t="s">
        <v>227</v>
      </c>
      <c r="H64" s="7">
        <f>H42*1.06</f>
        <v>623521.94587138947</v>
      </c>
    </row>
    <row r="65" spans="7:9" ht="30.95" customHeight="1">
      <c r="G65" s="18" t="s">
        <v>172</v>
      </c>
      <c r="H65" s="116">
        <f>H41</f>
        <v>3.7578819809289461E-7</v>
      </c>
    </row>
    <row r="66" spans="7:9" ht="15.75">
      <c r="G66" s="18" t="s">
        <v>225</v>
      </c>
      <c r="H66" s="7">
        <f>H64*H65*H44+B47</f>
        <v>9635184.9116040934</v>
      </c>
    </row>
    <row r="67" spans="7:9" ht="15.75">
      <c r="G67" s="18" t="s">
        <v>226</v>
      </c>
      <c r="H67" s="7">
        <f>H66*1.3*1.1</f>
        <v>13778314.423593855</v>
      </c>
      <c r="I67" s="8"/>
    </row>
    <row r="69" spans="7:9" ht="15.75">
      <c r="G69" s="19"/>
    </row>
  </sheetData>
  <mergeCells count="15">
    <mergeCell ref="B37:E37"/>
    <mergeCell ref="B41:E41"/>
    <mergeCell ref="B45:E45"/>
    <mergeCell ref="G47:G48"/>
    <mergeCell ref="H47:K48"/>
    <mergeCell ref="G60:G62"/>
    <mergeCell ref="H60:K62"/>
    <mergeCell ref="H38:K38"/>
    <mergeCell ref="H54:K54"/>
    <mergeCell ref="G2:G3"/>
    <mergeCell ref="H2:K3"/>
    <mergeCell ref="G28:G29"/>
    <mergeCell ref="H28:K29"/>
    <mergeCell ref="G13:G16"/>
    <mergeCell ref="H13:K16"/>
  </mergeCell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3E05-8AFB-41F4-898D-BCEEC7716E0A}">
  <dimension ref="A1"/>
  <sheetViews>
    <sheetView tabSelected="1" zoomScaleNormal="100" workbookViewId="0">
      <selection activeCell="A14" sqref="A14"/>
    </sheetView>
  </sheetViews>
  <sheetFormatPr defaultColWidth="10.77734375" defaultRowHeight="15"/>
  <cols>
    <col min="1" max="16384" width="10.77734375" style="117"/>
  </cols>
  <sheetData/>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zoomScaleNormal="100" workbookViewId="0">
      <selection sqref="A1:XFD1048576"/>
    </sheetView>
  </sheetViews>
  <sheetFormatPr defaultColWidth="10.77734375" defaultRowHeight="15"/>
  <cols>
    <col min="1" max="16384" width="10.77734375" style="100"/>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Claims Data</vt:lpstr>
      <vt:lpstr>Exploratory Template</vt:lpstr>
      <vt:lpstr>Pure Premium Work</vt:lpstr>
      <vt:lpstr>Report</vt:lpstr>
      <vt:lpstr>Report instruction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atiq razak</cp:lastModifiedBy>
  <dcterms:created xsi:type="dcterms:W3CDTF">2024-09-03T17:44:11Z</dcterms:created>
  <dcterms:modified xsi:type="dcterms:W3CDTF">2025-09-03T18:26:28Z</dcterms:modified>
</cp:coreProperties>
</file>