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\L3-T1\Sessional\NAME 338\Lecture Files\Group-P\"/>
    </mc:Choice>
  </mc:AlternateContent>
  <xr:revisionPtr revIDLastSave="0" documentId="13_ncr:1_{7500BF0D-1DB9-4E00-BAB2-88CD17322E33}" xr6:coauthVersionLast="47" xr6:coauthVersionMax="47" xr10:uidLastSave="{00000000-0000-0000-0000-000000000000}"/>
  <bookViews>
    <workbookView xWindow="-108" yWindow="-108" windowWidth="23256" windowHeight="12576" firstSheet="6" activeTab="9" xr2:uid="{5C50057A-EE1A-494C-A325-E6596E4FA5BC}"/>
  </bookViews>
  <sheets>
    <sheet name="Offset Table" sheetId="11" r:id="rId1"/>
    <sheet name="WL 4 Displacement" sheetId="2" r:id="rId2"/>
    <sheet name="WL 4 Metacenter" sheetId="3" r:id="rId3"/>
    <sheet name="WL 3 Displacement" sheetId="4" r:id="rId4"/>
    <sheet name="WL 3 Metacenter" sheetId="5" r:id="rId5"/>
    <sheet name="WL 2 Displacement" sheetId="6" r:id="rId6"/>
    <sheet name="WL 2 Metacenter" sheetId="7" r:id="rId7"/>
    <sheet name="WL 1 Displacement" sheetId="8" r:id="rId8"/>
    <sheet name="WL 1 Metacenter" sheetId="9" r:id="rId9"/>
    <sheet name="Summary" sheetId="10" r:id="rId10"/>
    <sheet name="Graph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6" i="10" l="1"/>
  <c r="AI7" i="10"/>
  <c r="AI8" i="10"/>
  <c r="N43" i="11"/>
  <c r="I43" i="11"/>
  <c r="H43" i="11"/>
  <c r="G43" i="11"/>
  <c r="F43" i="11"/>
  <c r="E43" i="11"/>
  <c r="D43" i="11"/>
  <c r="N42" i="11"/>
  <c r="L42" i="11"/>
  <c r="K42" i="11"/>
  <c r="I42" i="11"/>
  <c r="H42" i="11"/>
  <c r="G42" i="11"/>
  <c r="F42" i="11"/>
  <c r="E42" i="11"/>
  <c r="D42" i="11"/>
  <c r="N41" i="11"/>
  <c r="M41" i="11"/>
  <c r="L41" i="11"/>
  <c r="K41" i="11"/>
  <c r="I41" i="11"/>
  <c r="H41" i="11"/>
  <c r="G41" i="11"/>
  <c r="F41" i="11"/>
  <c r="E41" i="11"/>
  <c r="D41" i="11"/>
  <c r="N40" i="11"/>
  <c r="M40" i="11"/>
  <c r="L40" i="11"/>
  <c r="K40" i="11"/>
  <c r="I40" i="11"/>
  <c r="H40" i="11"/>
  <c r="G40" i="11"/>
  <c r="F40" i="11"/>
  <c r="E40" i="11"/>
  <c r="N39" i="11"/>
  <c r="M39" i="11"/>
  <c r="L39" i="11"/>
  <c r="K39" i="11"/>
  <c r="I39" i="11"/>
  <c r="H39" i="11"/>
  <c r="G39" i="11"/>
  <c r="F39" i="11"/>
  <c r="E39" i="11"/>
  <c r="D39" i="11"/>
  <c r="N38" i="11"/>
  <c r="M38" i="11"/>
  <c r="L38" i="11"/>
  <c r="K38" i="11"/>
  <c r="I38" i="11"/>
  <c r="H38" i="11"/>
  <c r="G38" i="11"/>
  <c r="F38" i="11"/>
  <c r="E38" i="11"/>
  <c r="D38" i="11"/>
  <c r="N37" i="11"/>
  <c r="M37" i="11"/>
  <c r="L37" i="11"/>
  <c r="K37" i="11"/>
  <c r="I37" i="11"/>
  <c r="H37" i="11"/>
  <c r="G37" i="11"/>
  <c r="F37" i="11"/>
  <c r="E37" i="11"/>
  <c r="D37" i="11"/>
  <c r="N36" i="11"/>
  <c r="M36" i="11"/>
  <c r="L36" i="11"/>
  <c r="K36" i="11"/>
  <c r="I36" i="11"/>
  <c r="H36" i="11"/>
  <c r="G36" i="11"/>
  <c r="F36" i="11"/>
  <c r="E36" i="11"/>
  <c r="D36" i="11"/>
  <c r="N35" i="11"/>
  <c r="M35" i="11"/>
  <c r="L35" i="11"/>
  <c r="K35" i="11"/>
  <c r="I35" i="11"/>
  <c r="H35" i="11"/>
  <c r="G35" i="11"/>
  <c r="F35" i="11"/>
  <c r="E35" i="11"/>
  <c r="D35" i="11"/>
  <c r="N34" i="11"/>
  <c r="M34" i="11"/>
  <c r="L34" i="11"/>
  <c r="K34" i="11"/>
  <c r="I34" i="11"/>
  <c r="H34" i="11"/>
  <c r="G34" i="11"/>
  <c r="F34" i="11"/>
  <c r="E34" i="11"/>
  <c r="D34" i="11"/>
  <c r="N33" i="11"/>
  <c r="M33" i="11"/>
  <c r="L33" i="11"/>
  <c r="K33" i="11"/>
  <c r="I33" i="11"/>
  <c r="H33" i="11"/>
  <c r="G33" i="11"/>
  <c r="F33" i="11"/>
  <c r="E33" i="11"/>
  <c r="D33" i="11"/>
  <c r="N32" i="11"/>
  <c r="M32" i="11"/>
  <c r="L32" i="11"/>
  <c r="K32" i="11"/>
  <c r="I32" i="11"/>
  <c r="H32" i="11"/>
  <c r="G32" i="11"/>
  <c r="F32" i="11"/>
  <c r="E32" i="11"/>
  <c r="D32" i="11"/>
  <c r="N31" i="11"/>
  <c r="M31" i="11"/>
  <c r="L31" i="11"/>
  <c r="K31" i="11"/>
  <c r="I31" i="11"/>
  <c r="H31" i="11"/>
  <c r="G31" i="11"/>
  <c r="F31" i="11"/>
  <c r="E31" i="11"/>
  <c r="D31" i="11"/>
  <c r="N30" i="11"/>
  <c r="M30" i="11"/>
  <c r="L30" i="11"/>
  <c r="K30" i="11"/>
  <c r="I30" i="11"/>
  <c r="H30" i="11"/>
  <c r="G30" i="11"/>
  <c r="F30" i="11"/>
  <c r="E30" i="11"/>
  <c r="D30" i="11"/>
  <c r="N29" i="11"/>
  <c r="L29" i="11"/>
  <c r="K29" i="11"/>
  <c r="I29" i="11"/>
  <c r="H29" i="11"/>
  <c r="G29" i="11"/>
  <c r="F29" i="11"/>
  <c r="E29" i="11"/>
  <c r="D29" i="11"/>
  <c r="I19" i="5" l="1"/>
  <c r="K19" i="5" s="1"/>
  <c r="M19" i="5" s="1"/>
  <c r="I7" i="5"/>
  <c r="K7" i="5" s="1"/>
  <c r="M7" i="5" s="1"/>
  <c r="I14" i="7"/>
  <c r="I6" i="7"/>
  <c r="C8" i="10"/>
  <c r="C7" i="10"/>
  <c r="C6" i="10"/>
  <c r="J20" i="9"/>
  <c r="L20" i="9" s="1"/>
  <c r="H20" i="9"/>
  <c r="F20" i="9"/>
  <c r="G20" i="9" s="1"/>
  <c r="H19" i="9"/>
  <c r="J19" i="9" s="1"/>
  <c r="L19" i="9" s="1"/>
  <c r="F19" i="9"/>
  <c r="G19" i="9" s="1"/>
  <c r="H18" i="9"/>
  <c r="J18" i="9" s="1"/>
  <c r="L18" i="9" s="1"/>
  <c r="F18" i="9"/>
  <c r="G18" i="9" s="1"/>
  <c r="H17" i="9"/>
  <c r="J17" i="9" s="1"/>
  <c r="L17" i="9" s="1"/>
  <c r="F17" i="9"/>
  <c r="G17" i="9" s="1"/>
  <c r="H16" i="9"/>
  <c r="J16" i="9" s="1"/>
  <c r="L16" i="9" s="1"/>
  <c r="F16" i="9"/>
  <c r="G16" i="9" s="1"/>
  <c r="H15" i="9"/>
  <c r="J15" i="9" s="1"/>
  <c r="L15" i="9" s="1"/>
  <c r="F15" i="9"/>
  <c r="G15" i="9" s="1"/>
  <c r="H14" i="9"/>
  <c r="J14" i="9" s="1"/>
  <c r="L14" i="9" s="1"/>
  <c r="F14" i="9"/>
  <c r="G14" i="9" s="1"/>
  <c r="H13" i="9"/>
  <c r="J13" i="9" s="1"/>
  <c r="L13" i="9" s="1"/>
  <c r="F13" i="9"/>
  <c r="G13" i="9" s="1"/>
  <c r="H12" i="9"/>
  <c r="J12" i="9" s="1"/>
  <c r="L12" i="9" s="1"/>
  <c r="F12" i="9"/>
  <c r="G12" i="9" s="1"/>
  <c r="H11" i="9"/>
  <c r="J11" i="9" s="1"/>
  <c r="L11" i="9" s="1"/>
  <c r="F11" i="9"/>
  <c r="G11" i="9" s="1"/>
  <c r="H10" i="9"/>
  <c r="J10" i="9" s="1"/>
  <c r="L10" i="9" s="1"/>
  <c r="F10" i="9"/>
  <c r="G10" i="9" s="1"/>
  <c r="H9" i="9"/>
  <c r="J9" i="9" s="1"/>
  <c r="L9" i="9" s="1"/>
  <c r="F9" i="9"/>
  <c r="G9" i="9" s="1"/>
  <c r="H8" i="9"/>
  <c r="J8" i="9" s="1"/>
  <c r="L8" i="9" s="1"/>
  <c r="F8" i="9"/>
  <c r="G8" i="9" s="1"/>
  <c r="H7" i="9"/>
  <c r="J7" i="9" s="1"/>
  <c r="L7" i="9" s="1"/>
  <c r="F7" i="9"/>
  <c r="G7" i="9" s="1"/>
  <c r="H6" i="9"/>
  <c r="F6" i="9"/>
  <c r="G6" i="9" s="1"/>
  <c r="K23" i="8"/>
  <c r="L23" i="8" s="1"/>
  <c r="N23" i="8" s="1"/>
  <c r="Q23" i="8" s="1"/>
  <c r="J23" i="8"/>
  <c r="H23" i="8"/>
  <c r="F23" i="8"/>
  <c r="L22" i="8"/>
  <c r="N22" i="8" s="1"/>
  <c r="Q22" i="8" s="1"/>
  <c r="K22" i="8"/>
  <c r="J22" i="8"/>
  <c r="H22" i="8"/>
  <c r="F22" i="8"/>
  <c r="K21" i="8"/>
  <c r="L21" i="8" s="1"/>
  <c r="N21" i="8" s="1"/>
  <c r="Q21" i="8" s="1"/>
  <c r="J21" i="8"/>
  <c r="H21" i="8"/>
  <c r="F21" i="8"/>
  <c r="K20" i="8"/>
  <c r="L20" i="8" s="1"/>
  <c r="N20" i="8" s="1"/>
  <c r="Q20" i="8" s="1"/>
  <c r="J20" i="8"/>
  <c r="H20" i="8"/>
  <c r="F20" i="8"/>
  <c r="K19" i="8"/>
  <c r="L19" i="8" s="1"/>
  <c r="N19" i="8" s="1"/>
  <c r="Q19" i="8" s="1"/>
  <c r="J19" i="8"/>
  <c r="H19" i="8"/>
  <c r="F19" i="8"/>
  <c r="K18" i="8"/>
  <c r="L18" i="8" s="1"/>
  <c r="N18" i="8" s="1"/>
  <c r="Q18" i="8" s="1"/>
  <c r="J18" i="8"/>
  <c r="H18" i="8"/>
  <c r="F18" i="8"/>
  <c r="K17" i="8"/>
  <c r="L17" i="8" s="1"/>
  <c r="N17" i="8" s="1"/>
  <c r="Q17" i="8" s="1"/>
  <c r="J17" i="8"/>
  <c r="H17" i="8"/>
  <c r="F17" i="8"/>
  <c r="L16" i="8"/>
  <c r="K16" i="8"/>
  <c r="J16" i="8"/>
  <c r="H16" i="8"/>
  <c r="F16" i="8"/>
  <c r="K15" i="8"/>
  <c r="L15" i="8" s="1"/>
  <c r="N15" i="8" s="1"/>
  <c r="Q15" i="8" s="1"/>
  <c r="J15" i="8"/>
  <c r="H15" i="8"/>
  <c r="F15" i="8"/>
  <c r="K14" i="8"/>
  <c r="L14" i="8" s="1"/>
  <c r="N14" i="8" s="1"/>
  <c r="Q14" i="8" s="1"/>
  <c r="J14" i="8"/>
  <c r="H14" i="8"/>
  <c r="F14" i="8"/>
  <c r="K13" i="8"/>
  <c r="L13" i="8" s="1"/>
  <c r="N13" i="8" s="1"/>
  <c r="Q13" i="8" s="1"/>
  <c r="J13" i="8"/>
  <c r="H13" i="8"/>
  <c r="F13" i="8"/>
  <c r="K12" i="8"/>
  <c r="L12" i="8" s="1"/>
  <c r="N12" i="8" s="1"/>
  <c r="Q12" i="8" s="1"/>
  <c r="J12" i="8"/>
  <c r="H12" i="8"/>
  <c r="F12" i="8"/>
  <c r="K11" i="8"/>
  <c r="L11" i="8" s="1"/>
  <c r="N11" i="8" s="1"/>
  <c r="Q11" i="8" s="1"/>
  <c r="J11" i="8"/>
  <c r="H11" i="8"/>
  <c r="F11" i="8"/>
  <c r="K10" i="8"/>
  <c r="L10" i="8" s="1"/>
  <c r="N10" i="8" s="1"/>
  <c r="Q10" i="8" s="1"/>
  <c r="J10" i="8"/>
  <c r="H10" i="8"/>
  <c r="F10" i="8"/>
  <c r="K9" i="8"/>
  <c r="L9" i="8" s="1"/>
  <c r="N9" i="8" s="1"/>
  <c r="J9" i="8"/>
  <c r="H9" i="8"/>
  <c r="G24" i="8" s="1"/>
  <c r="G25" i="8" s="1"/>
  <c r="F9" i="8"/>
  <c r="I20" i="7"/>
  <c r="K20" i="7" s="1"/>
  <c r="M20" i="7" s="1"/>
  <c r="G20" i="7"/>
  <c r="H20" i="7" s="1"/>
  <c r="I19" i="7"/>
  <c r="K19" i="7" s="1"/>
  <c r="M19" i="7" s="1"/>
  <c r="G19" i="7"/>
  <c r="H19" i="7" s="1"/>
  <c r="I18" i="7"/>
  <c r="K18" i="7" s="1"/>
  <c r="M18" i="7" s="1"/>
  <c r="G18" i="7"/>
  <c r="H18" i="7" s="1"/>
  <c r="I17" i="7"/>
  <c r="K17" i="7" s="1"/>
  <c r="M17" i="7" s="1"/>
  <c r="G17" i="7"/>
  <c r="H17" i="7" s="1"/>
  <c r="I16" i="7"/>
  <c r="K16" i="7" s="1"/>
  <c r="M16" i="7" s="1"/>
  <c r="G16" i="7"/>
  <c r="H16" i="7" s="1"/>
  <c r="I15" i="7"/>
  <c r="K15" i="7" s="1"/>
  <c r="M15" i="7" s="1"/>
  <c r="G15" i="7"/>
  <c r="H15" i="7" s="1"/>
  <c r="K14" i="7"/>
  <c r="M14" i="7" s="1"/>
  <c r="G14" i="7"/>
  <c r="H14" i="7" s="1"/>
  <c r="I13" i="7"/>
  <c r="K13" i="7" s="1"/>
  <c r="M13" i="7" s="1"/>
  <c r="G13" i="7"/>
  <c r="H13" i="7" s="1"/>
  <c r="I12" i="7"/>
  <c r="K12" i="7" s="1"/>
  <c r="M12" i="7" s="1"/>
  <c r="G12" i="7"/>
  <c r="H12" i="7" s="1"/>
  <c r="I11" i="7"/>
  <c r="K11" i="7" s="1"/>
  <c r="M11" i="7" s="1"/>
  <c r="G11" i="7"/>
  <c r="H11" i="7" s="1"/>
  <c r="I10" i="7"/>
  <c r="K10" i="7" s="1"/>
  <c r="M10" i="7" s="1"/>
  <c r="H10" i="7"/>
  <c r="G10" i="7"/>
  <c r="I9" i="7"/>
  <c r="K9" i="7" s="1"/>
  <c r="M9" i="7" s="1"/>
  <c r="G9" i="7"/>
  <c r="H9" i="7" s="1"/>
  <c r="I8" i="7"/>
  <c r="K8" i="7" s="1"/>
  <c r="M8" i="7" s="1"/>
  <c r="G8" i="7"/>
  <c r="H8" i="7" s="1"/>
  <c r="I7" i="7"/>
  <c r="K7" i="7" s="1"/>
  <c r="M7" i="7" s="1"/>
  <c r="G7" i="7"/>
  <c r="H7" i="7" s="1"/>
  <c r="K6" i="7"/>
  <c r="G6" i="7"/>
  <c r="H6" i="7" s="1"/>
  <c r="K23" i="6"/>
  <c r="L23" i="6" s="1"/>
  <c r="N23" i="6" s="1"/>
  <c r="Q23" i="6" s="1"/>
  <c r="J23" i="6"/>
  <c r="H23" i="6"/>
  <c r="F23" i="6"/>
  <c r="K22" i="6"/>
  <c r="L22" i="6" s="1"/>
  <c r="N22" i="6" s="1"/>
  <c r="Q22" i="6" s="1"/>
  <c r="J22" i="6"/>
  <c r="H22" i="6"/>
  <c r="F22" i="6"/>
  <c r="K21" i="6"/>
  <c r="L21" i="6" s="1"/>
  <c r="N21" i="6" s="1"/>
  <c r="Q21" i="6" s="1"/>
  <c r="J21" i="6"/>
  <c r="H21" i="6"/>
  <c r="F21" i="6"/>
  <c r="K20" i="6"/>
  <c r="L20" i="6" s="1"/>
  <c r="N20" i="6" s="1"/>
  <c r="Q20" i="6" s="1"/>
  <c r="J20" i="6"/>
  <c r="H20" i="6"/>
  <c r="F20" i="6"/>
  <c r="K19" i="6"/>
  <c r="L19" i="6" s="1"/>
  <c r="N19" i="6" s="1"/>
  <c r="Q19" i="6" s="1"/>
  <c r="J19" i="6"/>
  <c r="H19" i="6"/>
  <c r="F19" i="6"/>
  <c r="K18" i="6"/>
  <c r="L18" i="6" s="1"/>
  <c r="N18" i="6" s="1"/>
  <c r="Q18" i="6" s="1"/>
  <c r="J18" i="6"/>
  <c r="H18" i="6"/>
  <c r="F18" i="6"/>
  <c r="K17" i="6"/>
  <c r="L17" i="6" s="1"/>
  <c r="N17" i="6" s="1"/>
  <c r="Q17" i="6" s="1"/>
  <c r="J17" i="6"/>
  <c r="H17" i="6"/>
  <c r="F17" i="6"/>
  <c r="K16" i="6"/>
  <c r="L16" i="6" s="1"/>
  <c r="J16" i="6"/>
  <c r="H16" i="6"/>
  <c r="F16" i="6"/>
  <c r="K15" i="6"/>
  <c r="L15" i="6" s="1"/>
  <c r="N15" i="6" s="1"/>
  <c r="Q15" i="6" s="1"/>
  <c r="J15" i="6"/>
  <c r="H15" i="6"/>
  <c r="F15" i="6"/>
  <c r="L14" i="6"/>
  <c r="N14" i="6" s="1"/>
  <c r="Q14" i="6" s="1"/>
  <c r="K14" i="6"/>
  <c r="J14" i="6"/>
  <c r="H14" i="6"/>
  <c r="F14" i="6"/>
  <c r="K13" i="6"/>
  <c r="L13" i="6" s="1"/>
  <c r="N13" i="6" s="1"/>
  <c r="Q13" i="6" s="1"/>
  <c r="J13" i="6"/>
  <c r="H13" i="6"/>
  <c r="F13" i="6"/>
  <c r="L12" i="6"/>
  <c r="N12" i="6" s="1"/>
  <c r="Q12" i="6" s="1"/>
  <c r="K12" i="6"/>
  <c r="J12" i="6"/>
  <c r="H12" i="6"/>
  <c r="F12" i="6"/>
  <c r="L11" i="6"/>
  <c r="N11" i="6" s="1"/>
  <c r="Q11" i="6" s="1"/>
  <c r="K11" i="6"/>
  <c r="J11" i="6"/>
  <c r="H11" i="6"/>
  <c r="F11" i="6"/>
  <c r="K10" i="6"/>
  <c r="L10" i="6" s="1"/>
  <c r="N10" i="6" s="1"/>
  <c r="Q10" i="6" s="1"/>
  <c r="J10" i="6"/>
  <c r="I24" i="6" s="1"/>
  <c r="I25" i="6" s="1"/>
  <c r="I26" i="6" s="1"/>
  <c r="I28" i="6" s="1"/>
  <c r="H10" i="6"/>
  <c r="F10" i="6"/>
  <c r="K9" i="6"/>
  <c r="L9" i="6" s="1"/>
  <c r="J9" i="6"/>
  <c r="H9" i="6"/>
  <c r="F9" i="6"/>
  <c r="I20" i="5"/>
  <c r="K20" i="5" s="1"/>
  <c r="M20" i="5" s="1"/>
  <c r="G20" i="5"/>
  <c r="H20" i="5" s="1"/>
  <c r="G19" i="5"/>
  <c r="H19" i="5" s="1"/>
  <c r="I18" i="5"/>
  <c r="K18" i="5" s="1"/>
  <c r="M18" i="5" s="1"/>
  <c r="G18" i="5"/>
  <c r="H18" i="5" s="1"/>
  <c r="I17" i="5"/>
  <c r="K17" i="5" s="1"/>
  <c r="M17" i="5" s="1"/>
  <c r="G17" i="5"/>
  <c r="H17" i="5" s="1"/>
  <c r="I16" i="5"/>
  <c r="K16" i="5" s="1"/>
  <c r="M16" i="5" s="1"/>
  <c r="G16" i="5"/>
  <c r="H16" i="5" s="1"/>
  <c r="I15" i="5"/>
  <c r="K15" i="5" s="1"/>
  <c r="M15" i="5" s="1"/>
  <c r="G15" i="5"/>
  <c r="H15" i="5" s="1"/>
  <c r="I14" i="5"/>
  <c r="K14" i="5" s="1"/>
  <c r="M14" i="5" s="1"/>
  <c r="G14" i="5"/>
  <c r="H14" i="5" s="1"/>
  <c r="I13" i="5"/>
  <c r="K13" i="5" s="1"/>
  <c r="M13" i="5" s="1"/>
  <c r="G13" i="5"/>
  <c r="H13" i="5" s="1"/>
  <c r="I12" i="5"/>
  <c r="K12" i="5" s="1"/>
  <c r="M12" i="5" s="1"/>
  <c r="G12" i="5"/>
  <c r="H12" i="5" s="1"/>
  <c r="I11" i="5"/>
  <c r="K11" i="5" s="1"/>
  <c r="M11" i="5" s="1"/>
  <c r="G11" i="5"/>
  <c r="H11" i="5" s="1"/>
  <c r="I10" i="5"/>
  <c r="K10" i="5" s="1"/>
  <c r="M10" i="5" s="1"/>
  <c r="G10" i="5"/>
  <c r="H10" i="5" s="1"/>
  <c r="I9" i="5"/>
  <c r="K9" i="5" s="1"/>
  <c r="M9" i="5" s="1"/>
  <c r="G9" i="5"/>
  <c r="H9" i="5" s="1"/>
  <c r="I8" i="5"/>
  <c r="K8" i="5" s="1"/>
  <c r="M8" i="5" s="1"/>
  <c r="G8" i="5"/>
  <c r="H8" i="5" s="1"/>
  <c r="G7" i="5"/>
  <c r="H7" i="5" s="1"/>
  <c r="I6" i="5"/>
  <c r="G6" i="5"/>
  <c r="H6" i="5" s="1"/>
  <c r="N23" i="4"/>
  <c r="O23" i="4" s="1"/>
  <c r="Q23" i="4" s="1"/>
  <c r="T23" i="4" s="1"/>
  <c r="M23" i="4"/>
  <c r="K23" i="4"/>
  <c r="I23" i="4"/>
  <c r="G23" i="4"/>
  <c r="N22" i="4"/>
  <c r="O22" i="4" s="1"/>
  <c r="Q22" i="4" s="1"/>
  <c r="T22" i="4" s="1"/>
  <c r="M22" i="4"/>
  <c r="K22" i="4"/>
  <c r="I22" i="4"/>
  <c r="G22" i="4"/>
  <c r="N21" i="4"/>
  <c r="O21" i="4" s="1"/>
  <c r="Q21" i="4" s="1"/>
  <c r="T21" i="4" s="1"/>
  <c r="M21" i="4"/>
  <c r="K21" i="4"/>
  <c r="I21" i="4"/>
  <c r="G21" i="4"/>
  <c r="N20" i="4"/>
  <c r="O20" i="4" s="1"/>
  <c r="Q20" i="4" s="1"/>
  <c r="T20" i="4" s="1"/>
  <c r="M20" i="4"/>
  <c r="K20" i="4"/>
  <c r="I20" i="4"/>
  <c r="G20" i="4"/>
  <c r="N19" i="4"/>
  <c r="O19" i="4" s="1"/>
  <c r="Q19" i="4" s="1"/>
  <c r="T19" i="4" s="1"/>
  <c r="M19" i="4"/>
  <c r="K19" i="4"/>
  <c r="I19" i="4"/>
  <c r="G19" i="4"/>
  <c r="O18" i="4"/>
  <c r="Q18" i="4" s="1"/>
  <c r="T18" i="4" s="1"/>
  <c r="N18" i="4"/>
  <c r="M18" i="4"/>
  <c r="K18" i="4"/>
  <c r="I18" i="4"/>
  <c r="G18" i="4"/>
  <c r="N17" i="4"/>
  <c r="O17" i="4" s="1"/>
  <c r="Q17" i="4" s="1"/>
  <c r="T17" i="4" s="1"/>
  <c r="M17" i="4"/>
  <c r="K17" i="4"/>
  <c r="I17" i="4"/>
  <c r="G17" i="4"/>
  <c r="N16" i="4"/>
  <c r="O16" i="4" s="1"/>
  <c r="Q16" i="4" s="1"/>
  <c r="T16" i="4" s="1"/>
  <c r="M16" i="4"/>
  <c r="K16" i="4"/>
  <c r="I16" i="4"/>
  <c r="G16" i="4"/>
  <c r="N15" i="4"/>
  <c r="O15" i="4" s="1"/>
  <c r="R31" i="4" s="1"/>
  <c r="N7" i="10" s="1"/>
  <c r="AG7" i="10" s="1"/>
  <c r="M15" i="4"/>
  <c r="K15" i="4"/>
  <c r="I15" i="4"/>
  <c r="G15" i="4"/>
  <c r="N14" i="4"/>
  <c r="O14" i="4" s="1"/>
  <c r="Q14" i="4" s="1"/>
  <c r="T14" i="4" s="1"/>
  <c r="M14" i="4"/>
  <c r="K14" i="4"/>
  <c r="I14" i="4"/>
  <c r="G14" i="4"/>
  <c r="N13" i="4"/>
  <c r="O13" i="4" s="1"/>
  <c r="Q13" i="4" s="1"/>
  <c r="T13" i="4" s="1"/>
  <c r="M13" i="4"/>
  <c r="K13" i="4"/>
  <c r="I13" i="4"/>
  <c r="G13" i="4"/>
  <c r="O12" i="4"/>
  <c r="Q12" i="4" s="1"/>
  <c r="T12" i="4" s="1"/>
  <c r="N12" i="4"/>
  <c r="M12" i="4"/>
  <c r="K12" i="4"/>
  <c r="I12" i="4"/>
  <c r="G12" i="4"/>
  <c r="N11" i="4"/>
  <c r="O11" i="4" s="1"/>
  <c r="Q11" i="4" s="1"/>
  <c r="T11" i="4" s="1"/>
  <c r="M11" i="4"/>
  <c r="K11" i="4"/>
  <c r="I11" i="4"/>
  <c r="G11" i="4"/>
  <c r="N10" i="4"/>
  <c r="O10" i="4" s="1"/>
  <c r="Q10" i="4" s="1"/>
  <c r="T10" i="4" s="1"/>
  <c r="M10" i="4"/>
  <c r="K10" i="4"/>
  <c r="I10" i="4"/>
  <c r="G10" i="4"/>
  <c r="O9" i="4"/>
  <c r="N9" i="4"/>
  <c r="M9" i="4"/>
  <c r="L24" i="4" s="1"/>
  <c r="L25" i="4" s="1"/>
  <c r="K9" i="4"/>
  <c r="I9" i="4"/>
  <c r="G9" i="4"/>
  <c r="H20" i="3"/>
  <c r="J20" i="3" s="1"/>
  <c r="L20" i="3" s="1"/>
  <c r="F20" i="3"/>
  <c r="G20" i="3" s="1"/>
  <c r="H19" i="3"/>
  <c r="J19" i="3" s="1"/>
  <c r="L19" i="3" s="1"/>
  <c r="F19" i="3"/>
  <c r="G19" i="3" s="1"/>
  <c r="H18" i="3"/>
  <c r="J18" i="3" s="1"/>
  <c r="L18" i="3" s="1"/>
  <c r="F18" i="3"/>
  <c r="G18" i="3" s="1"/>
  <c r="H17" i="3"/>
  <c r="J17" i="3" s="1"/>
  <c r="L17" i="3" s="1"/>
  <c r="F17" i="3"/>
  <c r="G17" i="3" s="1"/>
  <c r="H16" i="3"/>
  <c r="J16" i="3" s="1"/>
  <c r="L16" i="3" s="1"/>
  <c r="F16" i="3"/>
  <c r="G16" i="3" s="1"/>
  <c r="H15" i="3"/>
  <c r="J15" i="3" s="1"/>
  <c r="L15" i="3" s="1"/>
  <c r="F15" i="3"/>
  <c r="G15" i="3" s="1"/>
  <c r="H14" i="3"/>
  <c r="J14" i="3" s="1"/>
  <c r="L14" i="3" s="1"/>
  <c r="F14" i="3"/>
  <c r="G14" i="3" s="1"/>
  <c r="H13" i="3"/>
  <c r="J13" i="3" s="1"/>
  <c r="L13" i="3" s="1"/>
  <c r="F13" i="3"/>
  <c r="G13" i="3" s="1"/>
  <c r="H12" i="3"/>
  <c r="J12" i="3" s="1"/>
  <c r="L12" i="3" s="1"/>
  <c r="F12" i="3"/>
  <c r="G12" i="3" s="1"/>
  <c r="H11" i="3"/>
  <c r="J11" i="3" s="1"/>
  <c r="L11" i="3" s="1"/>
  <c r="F11" i="3"/>
  <c r="G11" i="3" s="1"/>
  <c r="H10" i="3"/>
  <c r="J10" i="3" s="1"/>
  <c r="L10" i="3" s="1"/>
  <c r="F10" i="3"/>
  <c r="G10" i="3" s="1"/>
  <c r="H9" i="3"/>
  <c r="J9" i="3" s="1"/>
  <c r="L9" i="3" s="1"/>
  <c r="F9" i="3"/>
  <c r="G9" i="3" s="1"/>
  <c r="H8" i="3"/>
  <c r="J8" i="3" s="1"/>
  <c r="L8" i="3" s="1"/>
  <c r="F8" i="3"/>
  <c r="G8" i="3" s="1"/>
  <c r="H7" i="3"/>
  <c r="J7" i="3" s="1"/>
  <c r="L7" i="3" s="1"/>
  <c r="F7" i="3"/>
  <c r="G7" i="3" s="1"/>
  <c r="H6" i="3"/>
  <c r="F6" i="3"/>
  <c r="G6" i="3" s="1"/>
  <c r="P23" i="2"/>
  <c r="Q23" i="2" s="1"/>
  <c r="S23" i="2" s="1"/>
  <c r="V23" i="2" s="1"/>
  <c r="O23" i="2"/>
  <c r="M23" i="2"/>
  <c r="K23" i="2"/>
  <c r="I23" i="2"/>
  <c r="G23" i="2"/>
  <c r="P22" i="2"/>
  <c r="Q22" i="2" s="1"/>
  <c r="S22" i="2" s="1"/>
  <c r="V22" i="2" s="1"/>
  <c r="O22" i="2"/>
  <c r="M22" i="2"/>
  <c r="K22" i="2"/>
  <c r="I22" i="2"/>
  <c r="G22" i="2"/>
  <c r="P21" i="2"/>
  <c r="Q21" i="2" s="1"/>
  <c r="S21" i="2" s="1"/>
  <c r="V21" i="2" s="1"/>
  <c r="O21" i="2"/>
  <c r="M21" i="2"/>
  <c r="K21" i="2"/>
  <c r="I21" i="2"/>
  <c r="G21" i="2"/>
  <c r="P20" i="2"/>
  <c r="Q20" i="2" s="1"/>
  <c r="S20" i="2" s="1"/>
  <c r="V20" i="2" s="1"/>
  <c r="O20" i="2"/>
  <c r="M20" i="2"/>
  <c r="K20" i="2"/>
  <c r="I20" i="2"/>
  <c r="G20" i="2"/>
  <c r="P19" i="2"/>
  <c r="Q19" i="2" s="1"/>
  <c r="S19" i="2" s="1"/>
  <c r="V19" i="2" s="1"/>
  <c r="O19" i="2"/>
  <c r="M19" i="2"/>
  <c r="K19" i="2"/>
  <c r="I19" i="2"/>
  <c r="G19" i="2"/>
  <c r="P18" i="2"/>
  <c r="Q18" i="2" s="1"/>
  <c r="S18" i="2" s="1"/>
  <c r="V18" i="2" s="1"/>
  <c r="O18" i="2"/>
  <c r="M18" i="2"/>
  <c r="K18" i="2"/>
  <c r="I18" i="2"/>
  <c r="G18" i="2"/>
  <c r="P17" i="2"/>
  <c r="Q17" i="2" s="1"/>
  <c r="S17" i="2" s="1"/>
  <c r="V17" i="2" s="1"/>
  <c r="O17" i="2"/>
  <c r="M17" i="2"/>
  <c r="K17" i="2"/>
  <c r="I17" i="2"/>
  <c r="G17" i="2"/>
  <c r="P16" i="2"/>
  <c r="Q16" i="2" s="1"/>
  <c r="O16" i="2"/>
  <c r="M16" i="2"/>
  <c r="K16" i="2"/>
  <c r="I16" i="2"/>
  <c r="G16" i="2"/>
  <c r="P15" i="2"/>
  <c r="Q15" i="2" s="1"/>
  <c r="S15" i="2" s="1"/>
  <c r="V15" i="2" s="1"/>
  <c r="O15" i="2"/>
  <c r="M15" i="2"/>
  <c r="K15" i="2"/>
  <c r="I15" i="2"/>
  <c r="G15" i="2"/>
  <c r="P14" i="2"/>
  <c r="Q14" i="2" s="1"/>
  <c r="S14" i="2" s="1"/>
  <c r="V14" i="2" s="1"/>
  <c r="O14" i="2"/>
  <c r="M14" i="2"/>
  <c r="K14" i="2"/>
  <c r="I14" i="2"/>
  <c r="G14" i="2"/>
  <c r="P13" i="2"/>
  <c r="Q13" i="2" s="1"/>
  <c r="S13" i="2" s="1"/>
  <c r="V13" i="2" s="1"/>
  <c r="O13" i="2"/>
  <c r="M13" i="2"/>
  <c r="K13" i="2"/>
  <c r="I13" i="2"/>
  <c r="G13" i="2"/>
  <c r="P12" i="2"/>
  <c r="Q12" i="2" s="1"/>
  <c r="S12" i="2" s="1"/>
  <c r="V12" i="2" s="1"/>
  <c r="O12" i="2"/>
  <c r="M12" i="2"/>
  <c r="K12" i="2"/>
  <c r="I12" i="2"/>
  <c r="G12" i="2"/>
  <c r="P11" i="2"/>
  <c r="Q11" i="2" s="1"/>
  <c r="S11" i="2" s="1"/>
  <c r="V11" i="2" s="1"/>
  <c r="O11" i="2"/>
  <c r="M11" i="2"/>
  <c r="K11" i="2"/>
  <c r="I11" i="2"/>
  <c r="G11" i="2"/>
  <c r="P10" i="2"/>
  <c r="Q10" i="2" s="1"/>
  <c r="S10" i="2" s="1"/>
  <c r="V10" i="2" s="1"/>
  <c r="O10" i="2"/>
  <c r="M10" i="2"/>
  <c r="K10" i="2"/>
  <c r="I10" i="2"/>
  <c r="G10" i="2"/>
  <c r="P9" i="2"/>
  <c r="Q9" i="2" s="1"/>
  <c r="O9" i="2"/>
  <c r="M9" i="2"/>
  <c r="K9" i="2"/>
  <c r="I9" i="2"/>
  <c r="G9" i="2"/>
  <c r="N16" i="6" l="1"/>
  <c r="Q16" i="6" s="1"/>
  <c r="O31" i="6"/>
  <c r="N8" i="10" s="1"/>
  <c r="AG8" i="10" s="1"/>
  <c r="E24" i="6"/>
  <c r="E25" i="6" s="1"/>
  <c r="E26" i="6" s="1"/>
  <c r="F24" i="4"/>
  <c r="F25" i="4" s="1"/>
  <c r="F26" i="4" s="1"/>
  <c r="K21" i="7"/>
  <c r="I21" i="7"/>
  <c r="F24" i="2"/>
  <c r="F25" i="2" s="1"/>
  <c r="F26" i="2" s="1"/>
  <c r="F28" i="2" s="1"/>
  <c r="G21" i="3"/>
  <c r="E28" i="6"/>
  <c r="Q9" i="8"/>
  <c r="H21" i="7"/>
  <c r="H21" i="5"/>
  <c r="F24" i="7"/>
  <c r="H24" i="2"/>
  <c r="H25" i="2" s="1"/>
  <c r="H26" i="2" s="1"/>
  <c r="H28" i="2" s="1"/>
  <c r="H21" i="3"/>
  <c r="E24" i="3" s="1"/>
  <c r="E26" i="3" s="1"/>
  <c r="I6" i="10" s="1"/>
  <c r="AC6" i="10" s="1"/>
  <c r="J24" i="4"/>
  <c r="J25" i="4" s="1"/>
  <c r="J26" i="4" s="1"/>
  <c r="J28" i="4" s="1"/>
  <c r="I21" i="5"/>
  <c r="F24" i="5" s="1"/>
  <c r="F26" i="5" s="1"/>
  <c r="I7" i="10" s="1"/>
  <c r="AC7" i="10" s="1"/>
  <c r="F25" i="7"/>
  <c r="H21" i="9"/>
  <c r="E24" i="9" s="1"/>
  <c r="E26" i="9" s="1"/>
  <c r="I9" i="10" s="1"/>
  <c r="AC9" i="10" s="1"/>
  <c r="Q24" i="2"/>
  <c r="S9" i="2"/>
  <c r="H24" i="4"/>
  <c r="H25" i="4" s="1"/>
  <c r="H26" i="4" s="1"/>
  <c r="H28" i="4" s="1"/>
  <c r="L26" i="4"/>
  <c r="L28" i="4" s="1"/>
  <c r="R30" i="4"/>
  <c r="M7" i="10" s="1"/>
  <c r="AF7" i="10" s="1"/>
  <c r="J6" i="9"/>
  <c r="L24" i="2"/>
  <c r="L25" i="2" s="1"/>
  <c r="L26" i="2" s="1"/>
  <c r="L28" i="2" s="1"/>
  <c r="L24" i="6"/>
  <c r="N9" i="6"/>
  <c r="E24" i="8"/>
  <c r="E25" i="8" s="1"/>
  <c r="E26" i="8" s="1"/>
  <c r="G21" i="9"/>
  <c r="O30" i="8"/>
  <c r="M9" i="10" s="1"/>
  <c r="AF9" i="10" s="1"/>
  <c r="G26" i="8"/>
  <c r="G28" i="8" s="1"/>
  <c r="J24" i="2"/>
  <c r="J25" i="2" s="1"/>
  <c r="J26" i="2" s="1"/>
  <c r="J28" i="2" s="1"/>
  <c r="O24" i="4"/>
  <c r="G24" i="6"/>
  <c r="G25" i="6" s="1"/>
  <c r="G26" i="6" s="1"/>
  <c r="G28" i="6" s="1"/>
  <c r="Q9" i="4"/>
  <c r="Q15" i="4"/>
  <c r="T15" i="4" s="1"/>
  <c r="I24" i="8"/>
  <c r="I25" i="8" s="1"/>
  <c r="I26" i="8" s="1"/>
  <c r="I28" i="8" s="1"/>
  <c r="O30" i="6"/>
  <c r="M8" i="10" s="1"/>
  <c r="AF8" i="10" s="1"/>
  <c r="N24" i="2"/>
  <c r="N25" i="2" s="1"/>
  <c r="T31" i="2"/>
  <c r="N6" i="10" s="1"/>
  <c r="AG6" i="10" s="1"/>
  <c r="S16" i="2"/>
  <c r="V16" i="2" s="1"/>
  <c r="F28" i="4"/>
  <c r="L24" i="8"/>
  <c r="O31" i="8"/>
  <c r="N9" i="10" s="1"/>
  <c r="AG9" i="10" s="1"/>
  <c r="N16" i="8"/>
  <c r="Q16" i="8" s="1"/>
  <c r="M6" i="7"/>
  <c r="M21" i="7" s="1"/>
  <c r="K23" i="7" s="1"/>
  <c r="K6" i="5"/>
  <c r="K21" i="5" s="1"/>
  <c r="J6" i="3"/>
  <c r="F25" i="5" l="1"/>
  <c r="F26" i="7"/>
  <c r="I8" i="10" s="1"/>
  <c r="AC8" i="10" s="1"/>
  <c r="K24" i="7"/>
  <c r="L6" i="3"/>
  <c r="L21" i="3" s="1"/>
  <c r="J23" i="3" s="1"/>
  <c r="J21" i="3"/>
  <c r="Q24" i="8"/>
  <c r="N24" i="8"/>
  <c r="O26" i="8" s="1"/>
  <c r="H7" i="10"/>
  <c r="Z7" i="10" s="1"/>
  <c r="M6" i="5"/>
  <c r="M21" i="5" s="1"/>
  <c r="K23" i="5" s="1"/>
  <c r="K24" i="5" s="1"/>
  <c r="F29" i="4"/>
  <c r="F30" i="4" s="1"/>
  <c r="F31" i="4" s="1"/>
  <c r="F32" i="4"/>
  <c r="F33" i="4" s="1"/>
  <c r="E7" i="10" s="1"/>
  <c r="H8" i="10"/>
  <c r="Z8" i="10" s="1"/>
  <c r="L6" i="9"/>
  <c r="L21" i="9" s="1"/>
  <c r="J23" i="9" s="1"/>
  <c r="J21" i="9"/>
  <c r="E25" i="9" s="1"/>
  <c r="H9" i="10" s="1"/>
  <c r="Z9" i="10" s="1"/>
  <c r="E28" i="8"/>
  <c r="E32" i="8" s="1"/>
  <c r="E29" i="8"/>
  <c r="E30" i="8" s="1"/>
  <c r="E31" i="8" s="1"/>
  <c r="E29" i="6"/>
  <c r="E30" i="6" s="1"/>
  <c r="E31" i="6" s="1"/>
  <c r="T9" i="4"/>
  <c r="T24" i="4" s="1"/>
  <c r="Q24" i="4"/>
  <c r="R26" i="4" s="1"/>
  <c r="T30" i="2"/>
  <c r="M6" i="10" s="1"/>
  <c r="AF6" i="10" s="1"/>
  <c r="N26" i="2"/>
  <c r="N28" i="2" s="1"/>
  <c r="F32" i="2" s="1"/>
  <c r="N24" i="6"/>
  <c r="O26" i="6" s="1"/>
  <c r="Q9" i="6"/>
  <c r="Q24" i="6" s="1"/>
  <c r="E32" i="6"/>
  <c r="S24" i="2"/>
  <c r="T26" i="2" s="1"/>
  <c r="T29" i="2" s="1"/>
  <c r="V9" i="2"/>
  <c r="V24" i="2" s="1"/>
  <c r="J24" i="9" l="1"/>
  <c r="R28" i="4"/>
  <c r="E25" i="3"/>
  <c r="J24" i="3" s="1"/>
  <c r="T28" i="2"/>
  <c r="F6" i="10" s="1"/>
  <c r="Y6" i="10" s="1"/>
  <c r="R29" i="4"/>
  <c r="R27" i="4"/>
  <c r="K25" i="5"/>
  <c r="O29" i="6"/>
  <c r="O27" i="6"/>
  <c r="E33" i="8"/>
  <c r="E9" i="10" s="1"/>
  <c r="F7" i="10"/>
  <c r="Y7" i="10" s="1"/>
  <c r="T27" i="2"/>
  <c r="O29" i="8"/>
  <c r="O27" i="8"/>
  <c r="O28" i="8"/>
  <c r="F9" i="10" s="1"/>
  <c r="Y9" i="10" s="1"/>
  <c r="E33" i="6"/>
  <c r="E8" i="10" s="1"/>
  <c r="F29" i="2"/>
  <c r="F30" i="2" s="1"/>
  <c r="F31" i="2" s="1"/>
  <c r="O28" i="6"/>
  <c r="F8" i="10" s="1"/>
  <c r="Y8" i="10" s="1"/>
  <c r="H6" i="10" l="1"/>
  <c r="Z6" i="10" s="1"/>
  <c r="E23" i="3"/>
  <c r="G6" i="10" s="1"/>
  <c r="AA6" i="10" s="1"/>
  <c r="J25" i="3"/>
  <c r="D6" i="10"/>
  <c r="AB6" i="10" s="1"/>
  <c r="D9" i="10"/>
  <c r="AB9" i="10" s="1"/>
  <c r="E23" i="9"/>
  <c r="G9" i="10" s="1"/>
  <c r="AA9" i="10" s="1"/>
  <c r="J7" i="10"/>
  <c r="AD7" i="10" s="1"/>
  <c r="L6" i="10"/>
  <c r="AE6" i="10" s="1"/>
  <c r="T32" i="2"/>
  <c r="O6" i="10" s="1"/>
  <c r="AH6" i="10" s="1"/>
  <c r="K26" i="5"/>
  <c r="K7" i="10" s="1"/>
  <c r="D7" i="10"/>
  <c r="AB7" i="10" s="1"/>
  <c r="F23" i="5"/>
  <c r="G7" i="10" s="1"/>
  <c r="AA7" i="10" s="1"/>
  <c r="O32" i="6"/>
  <c r="O8" i="10" s="1"/>
  <c r="AH8" i="10" s="1"/>
  <c r="L8" i="10"/>
  <c r="AE8" i="10" s="1"/>
  <c r="J25" i="9"/>
  <c r="J26" i="9" s="1"/>
  <c r="K9" i="10" s="1"/>
  <c r="L9" i="10"/>
  <c r="AE9" i="10" s="1"/>
  <c r="O32" i="8"/>
  <c r="O9" i="10" s="1"/>
  <c r="AH9" i="10" s="1"/>
  <c r="D8" i="10"/>
  <c r="AB8" i="10" s="1"/>
  <c r="F23" i="7"/>
  <c r="G8" i="10" s="1"/>
  <c r="AA8" i="10" s="1"/>
  <c r="L7" i="10"/>
  <c r="AE7" i="10" s="1"/>
  <c r="R32" i="4"/>
  <c r="O7" i="10" s="1"/>
  <c r="AH7" i="10" s="1"/>
  <c r="K25" i="7"/>
  <c r="K26" i="7" s="1"/>
  <c r="K8" i="10" s="1"/>
  <c r="F33" i="2"/>
  <c r="E6" i="10" s="1"/>
  <c r="J6" i="10" l="1"/>
  <c r="AD6" i="10" s="1"/>
  <c r="J9" i="10"/>
  <c r="AD9" i="10" s="1"/>
  <c r="J8" i="10"/>
  <c r="AD8" i="10" s="1"/>
  <c r="J26" i="3"/>
  <c r="K6" i="10" s="1"/>
</calcChain>
</file>

<file path=xl/sharedStrings.xml><?xml version="1.0" encoding="utf-8"?>
<sst xmlns="http://schemas.openxmlformats.org/spreadsheetml/2006/main" count="324" uniqueCount="91">
  <si>
    <t>WL 4 Displacement</t>
  </si>
  <si>
    <t xml:space="preserve"> </t>
  </si>
  <si>
    <t>Stations</t>
  </si>
  <si>
    <t>SM</t>
  </si>
  <si>
    <t>WL-0</t>
  </si>
  <si>
    <t>WL-1</t>
  </si>
  <si>
    <t>WL-2</t>
  </si>
  <si>
    <t>WL-3</t>
  </si>
  <si>
    <t>WL-4</t>
  </si>
  <si>
    <t>P of S.A.</t>
  </si>
  <si>
    <t>Sec Area</t>
  </si>
  <si>
    <t>Volume  Product</t>
  </si>
  <si>
    <t>Lever</t>
  </si>
  <si>
    <t>Moment function</t>
  </si>
  <si>
    <t>H.O.</t>
  </si>
  <si>
    <t>A.P.</t>
  </si>
  <si>
    <t>TP of AWP</t>
  </si>
  <si>
    <t>Area of WP</t>
  </si>
  <si>
    <t>Volume product</t>
  </si>
  <si>
    <t>Volume</t>
  </si>
  <si>
    <t>Displacement</t>
  </si>
  <si>
    <t>LCB from MIDSHIP</t>
  </si>
  <si>
    <t>Sum of Volume Product</t>
  </si>
  <si>
    <r>
      <t>C</t>
    </r>
    <r>
      <rPr>
        <b/>
        <vertAlign val="subscript"/>
        <sz val="11"/>
        <color theme="1"/>
        <rFont val="Calibri"/>
        <family val="2"/>
        <scheme val="minor"/>
      </rPr>
      <t>b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</si>
  <si>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w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</si>
  <si>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m</t>
    </r>
  </si>
  <si>
    <t>Sum of Moment function</t>
  </si>
  <si>
    <r>
      <t>C</t>
    </r>
    <r>
      <rPr>
        <b/>
        <vertAlign val="subscript"/>
        <sz val="11"/>
        <color theme="1"/>
        <rFont val="Calibri"/>
        <family val="2"/>
        <scheme val="minor"/>
      </rPr>
      <t>p</t>
    </r>
  </si>
  <si>
    <t>VCB from Base</t>
  </si>
  <si>
    <t>Station Spacing</t>
  </si>
  <si>
    <t>WL Sapcing</t>
  </si>
  <si>
    <t>WL 4 Metacenter</t>
  </si>
  <si>
    <t>H.O. of WL 4</t>
  </si>
  <si>
    <t>Transverse</t>
  </si>
  <si>
    <t>Longitudinal</t>
  </si>
  <si>
    <t>Cubes</t>
  </si>
  <si>
    <t>F.cubes</t>
  </si>
  <si>
    <t>F.Ord</t>
  </si>
  <si>
    <t>F. of CF</t>
  </si>
  <si>
    <t>F. of MI</t>
  </si>
  <si>
    <t xml:space="preserve">Transverse BM </t>
  </si>
  <si>
    <t>Longitudinal Inertia about MIDSHIP</t>
  </si>
  <si>
    <t>m^4</t>
  </si>
  <si>
    <t>Area of WL 4</t>
  </si>
  <si>
    <t>I (CF)</t>
  </si>
  <si>
    <t>CF from AFT</t>
  </si>
  <si>
    <t xml:space="preserve">Longitudinal BM </t>
  </si>
  <si>
    <t>TPC</t>
  </si>
  <si>
    <t>MCTC</t>
  </si>
  <si>
    <t>WL 3 Displacement</t>
  </si>
  <si>
    <t>WL 3 Metacenter</t>
  </si>
  <si>
    <t>H.O. of WL 3</t>
  </si>
  <si>
    <t>Area of WL 3</t>
  </si>
  <si>
    <t>CF from MIDSHIP</t>
  </si>
  <si>
    <t>WL 2 Displacement</t>
  </si>
  <si>
    <t>WL 2 Metacenter</t>
  </si>
  <si>
    <t>H.O. of WL 2</t>
  </si>
  <si>
    <t>Area of WL 2</t>
  </si>
  <si>
    <t>WL 1 Displacement</t>
  </si>
  <si>
    <t>WL 1 Metacenter</t>
  </si>
  <si>
    <t>H.O. of WL 1</t>
  </si>
  <si>
    <t>Area of WL 1</t>
  </si>
  <si>
    <t>Summary</t>
  </si>
  <si>
    <t>WL</t>
  </si>
  <si>
    <t>Draft</t>
  </si>
  <si>
    <t>VCB</t>
  </si>
  <si>
    <t>LCB</t>
  </si>
  <si>
    <r>
      <t>BM</t>
    </r>
    <r>
      <rPr>
        <b/>
        <vertAlign val="subscript"/>
        <sz val="11"/>
        <color theme="1"/>
        <rFont val="Calibri"/>
        <family val="2"/>
        <scheme val="minor"/>
      </rPr>
      <t>T</t>
    </r>
  </si>
  <si>
    <r>
      <t>BM</t>
    </r>
    <r>
      <rPr>
        <b/>
        <vertAlign val="subscript"/>
        <sz val="11"/>
        <color theme="1"/>
        <rFont val="Calibri"/>
        <family val="2"/>
        <scheme val="minor"/>
      </rPr>
      <t>L</t>
    </r>
  </si>
  <si>
    <t>LCB + Mid</t>
  </si>
  <si>
    <r>
      <t>BM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 xml:space="preserve"> * 2</t>
    </r>
  </si>
  <si>
    <t>Dis/100</t>
  </si>
  <si>
    <t>TPC*2</t>
  </si>
  <si>
    <r>
      <t>BM</t>
    </r>
    <r>
      <rPr>
        <b/>
        <vertAlign val="subscript"/>
        <sz val="11"/>
        <color theme="1"/>
        <rFont val="Calibri"/>
        <family val="2"/>
        <scheme val="minor"/>
      </rPr>
      <t>L</t>
    </r>
    <r>
      <rPr>
        <b/>
        <sz val="11"/>
        <color theme="1"/>
        <rFont val="Calibri"/>
        <family val="2"/>
        <scheme val="minor"/>
      </rPr>
      <t>/10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</si>
  <si>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>*10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</si>
  <si>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w</t>
    </r>
    <r>
      <rPr>
        <b/>
        <sz val="11"/>
        <color theme="1"/>
        <rFont val="Calibri"/>
        <family val="2"/>
        <scheme val="minor"/>
      </rPr>
      <t>*10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</si>
  <si>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m</t>
    </r>
    <r>
      <rPr>
        <b/>
        <sz val="11"/>
        <color theme="1"/>
        <rFont val="Calibri"/>
        <family val="2"/>
        <scheme val="minor"/>
      </rPr>
      <t>*10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</si>
  <si>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p</t>
    </r>
    <r>
      <rPr>
        <b/>
        <sz val="11"/>
        <color theme="1"/>
        <rFont val="Calibri"/>
        <family val="2"/>
        <scheme val="minor"/>
      </rPr>
      <t>*10</t>
    </r>
  </si>
  <si>
    <t xml:space="preserve">OFFSET TABLE </t>
  </si>
  <si>
    <t>Deck At Side</t>
  </si>
  <si>
    <t>KEEL</t>
  </si>
  <si>
    <t>-</t>
  </si>
  <si>
    <t>Half Breadth from C.L.</t>
  </si>
  <si>
    <t>Height Above B.L.</t>
  </si>
  <si>
    <t>BTK-1</t>
  </si>
  <si>
    <t>BTK-2</t>
  </si>
  <si>
    <t>BTK-3</t>
  </si>
  <si>
    <t>Station</t>
  </si>
  <si>
    <t xml:space="preserve">LCF </t>
  </si>
  <si>
    <t>LCF + Mid</t>
  </si>
  <si>
    <t xml:space="preserve"> MIDSHIP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</si>
</sst>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2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/>
    <xf numFmtId="0" fontId="4" fillId="0" borderId="0" xfId="0" applyFont="1" applyAlignment="1">
      <alignment vertical="center"/>
    </xf>
    <xf numFmtId="0" fontId="5" fillId="0" borderId="0" xfId="0" applyFont="1"/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164" fontId="4" fillId="0" borderId="0" xfId="0" applyNumberFormat="1" applyFont="1" applyAlignment="1">
      <alignment horizontal="center"/>
    </xf>
    <xf numFmtId="164" fontId="1" fillId="0" borderId="1" xfId="0" applyNumberFormat="1" applyFont="1" applyBorder="1"/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164" fontId="1" fillId="3" borderId="0" xfId="0" applyNumberFormat="1" applyFont="1" applyFill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164" fontId="0" fillId="3" borderId="0" xfId="0" applyNumberFormat="1" applyFill="1" applyBorder="1" applyAlignment="1">
      <alignment horizontal="center"/>
    </xf>
    <xf numFmtId="164" fontId="1" fillId="3" borderId="0" xfId="0" applyNumberFormat="1" applyFont="1" applyFill="1" applyBorder="1"/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1" fillId="3" borderId="0" xfId="0" applyNumberFormat="1" applyFont="1" applyFill="1" applyBorder="1"/>
    <xf numFmtId="2" fontId="1" fillId="3" borderId="0" xfId="0" applyNumberFormat="1" applyFont="1" applyFill="1" applyBorder="1" applyAlignment="1">
      <alignment horizontal="center"/>
    </xf>
    <xf numFmtId="164" fontId="1" fillId="3" borderId="0" xfId="0" applyNumberFormat="1" applyFont="1" applyFill="1" applyBorder="1" applyAlignment="1">
      <alignment horizontal="center" vertical="center"/>
    </xf>
    <xf numFmtId="1" fontId="1" fillId="3" borderId="0" xfId="0" applyNumberFormat="1" applyFont="1" applyFill="1" applyBorder="1" applyAlignment="1">
      <alignment horizontal="center" vertical="center"/>
    </xf>
    <xf numFmtId="164" fontId="1" fillId="3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164" fontId="1" fillId="3" borderId="0" xfId="0" applyNumberFormat="1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1" fontId="0" fillId="3" borderId="0" xfId="0" applyNumberForma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64" fontId="1" fillId="4" borderId="0" xfId="0" applyNumberFormat="1" applyFont="1" applyFill="1" applyBorder="1" applyAlignment="1">
      <alignment horizontal="center"/>
    </xf>
    <xf numFmtId="2" fontId="1" fillId="4" borderId="0" xfId="0" applyNumberFormat="1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2" fontId="0" fillId="4" borderId="2" xfId="0" applyNumberFormat="1" applyFill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165" fontId="0" fillId="3" borderId="2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2" fontId="1" fillId="4" borderId="0" xfId="0" applyNumberFormat="1" applyFont="1" applyFill="1" applyBorder="1" applyAlignment="1">
      <alignment horizontal="center"/>
    </xf>
    <xf numFmtId="164" fontId="1" fillId="4" borderId="0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9" fillId="2" borderId="4" xfId="0" applyFont="1" applyFill="1" applyBorder="1" applyAlignment="1">
      <alignment vertical="center"/>
    </xf>
    <xf numFmtId="0" fontId="0" fillId="2" borderId="9" xfId="0" applyFill="1" applyBorder="1" applyAlignment="1">
      <alignment horizontal="center"/>
    </xf>
    <xf numFmtId="165" fontId="1" fillId="4" borderId="0" xfId="0" applyNumberFormat="1" applyFon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164" fontId="0" fillId="0" borderId="0" xfId="0" applyNumberFormat="1" applyBorder="1"/>
    <xf numFmtId="164" fontId="0" fillId="0" borderId="0" xfId="0" applyNumberFormat="1" applyBorder="1" applyAlignment="1">
      <alignment horizontal="center"/>
    </xf>
    <xf numFmtId="164" fontId="6" fillId="0" borderId="0" xfId="0" applyNumberFormat="1" applyFont="1" applyFill="1" applyBorder="1" applyAlignment="1">
      <alignment vertic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0" borderId="6" xfId="0" applyNumberFormat="1" applyBorder="1" applyAlignment="1">
      <alignment horizontal="center"/>
    </xf>
    <xf numFmtId="164" fontId="1" fillId="0" borderId="0" xfId="0" applyNumberFormat="1" applyFont="1" applyBorder="1" applyAlignment="1">
      <alignment vertical="center"/>
    </xf>
    <xf numFmtId="2" fontId="1" fillId="0" borderId="1" xfId="0" applyNumberFormat="1" applyFont="1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164" fontId="1" fillId="4" borderId="0" xfId="0" applyNumberFormat="1" applyFont="1" applyFill="1" applyBorder="1" applyAlignment="1">
      <alignment horizontal="center"/>
    </xf>
    <xf numFmtId="164" fontId="1" fillId="4" borderId="3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/>
    </xf>
    <xf numFmtId="164" fontId="1" fillId="3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1" fillId="3" borderId="0" xfId="0" applyFont="1" applyFill="1" applyBorder="1" applyAlignment="1">
      <alignment horizontal="center" vertical="center"/>
    </xf>
    <xf numFmtId="164" fontId="6" fillId="4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Draft vs Displacement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Summary!$D$6:$D$9</c:f>
              <c:numCache>
                <c:formatCode>0.00</c:formatCode>
                <c:ptCount val="4"/>
                <c:pt idx="0">
                  <c:v>2127.2493164374869</c:v>
                </c:pt>
                <c:pt idx="1">
                  <c:v>1523.798356487707</c:v>
                </c:pt>
                <c:pt idx="2">
                  <c:v>957.4736392576574</c:v>
                </c:pt>
                <c:pt idx="3">
                  <c:v>406.34054929391903</c:v>
                </c:pt>
              </c:numCache>
            </c:numRef>
          </c:xVal>
          <c:yVal>
            <c:numRef>
              <c:f>Summary!$C$6:$C$9</c:f>
              <c:numCache>
                <c:formatCode>0.00</c:formatCode>
                <c:ptCount val="4"/>
                <c:pt idx="0">
                  <c:v>3.8</c:v>
                </c:pt>
                <c:pt idx="1">
                  <c:v>2.8499999999999996</c:v>
                </c:pt>
                <c:pt idx="2">
                  <c:v>1.9</c:v>
                </c:pt>
                <c:pt idx="3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81-4F9D-A7E4-5D4FEEE3D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525448"/>
        <c:axId val="512520528"/>
      </c:scatterChart>
      <c:valAx>
        <c:axId val="512525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20528"/>
        <c:crosses val="autoZero"/>
        <c:crossBetween val="midCat"/>
      </c:valAx>
      <c:valAx>
        <c:axId val="5125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25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33009612281333"/>
          <c:y val="0.21892163008172416"/>
          <c:w val="0.77163821468231741"/>
          <c:h val="0.6238698819234163"/>
        </c:manualLayout>
      </c:layout>
      <c:scatterChart>
        <c:scatterStyle val="smoothMarker"/>
        <c:varyColors val="0"/>
        <c:ser>
          <c:idx val="0"/>
          <c:order val="0"/>
          <c:tx>
            <c:v>Draft vs Cw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Summary!$M$6:$M$9</c:f>
              <c:numCache>
                <c:formatCode>0.00</c:formatCode>
                <c:ptCount val="4"/>
                <c:pt idx="0">
                  <c:v>0.91261281322910859</c:v>
                </c:pt>
                <c:pt idx="1">
                  <c:v>0.88912534804805021</c:v>
                </c:pt>
                <c:pt idx="2">
                  <c:v>0.84447879900414757</c:v>
                </c:pt>
                <c:pt idx="3">
                  <c:v>0.77468616527390899</c:v>
                </c:pt>
              </c:numCache>
            </c:numRef>
          </c:xVal>
          <c:yVal>
            <c:numRef>
              <c:f>Summary!$C$6:$C$9</c:f>
              <c:numCache>
                <c:formatCode>0.00</c:formatCode>
                <c:ptCount val="4"/>
                <c:pt idx="0">
                  <c:v>3.8</c:v>
                </c:pt>
                <c:pt idx="1">
                  <c:v>2.8499999999999996</c:v>
                </c:pt>
                <c:pt idx="2">
                  <c:v>1.9</c:v>
                </c:pt>
                <c:pt idx="3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F-43C4-ABE8-47D295CCA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525448"/>
        <c:axId val="512520528"/>
      </c:scatterChart>
      <c:valAx>
        <c:axId val="512525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20528"/>
        <c:crosses val="autoZero"/>
        <c:crossBetween val="midCat"/>
      </c:valAx>
      <c:valAx>
        <c:axId val="5125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25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Draft vs Cm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Summary!$N$6:$N$9</c:f>
              <c:numCache>
                <c:formatCode>0.00</c:formatCode>
                <c:ptCount val="4"/>
                <c:pt idx="0">
                  <c:v>0.96629835949961318</c:v>
                </c:pt>
                <c:pt idx="1">
                  <c:v>0.95127437313788299</c:v>
                </c:pt>
                <c:pt idx="2">
                  <c:v>0.93259671924156629</c:v>
                </c:pt>
                <c:pt idx="3">
                  <c:v>0.84610646860577232</c:v>
                </c:pt>
              </c:numCache>
            </c:numRef>
          </c:xVal>
          <c:yVal>
            <c:numRef>
              <c:f>Summary!$C$6:$C$9</c:f>
              <c:numCache>
                <c:formatCode>0.00</c:formatCode>
                <c:ptCount val="4"/>
                <c:pt idx="0">
                  <c:v>3.8</c:v>
                </c:pt>
                <c:pt idx="1">
                  <c:v>2.8499999999999996</c:v>
                </c:pt>
                <c:pt idx="2">
                  <c:v>1.9</c:v>
                </c:pt>
                <c:pt idx="3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E3-4A90-BB06-C98F1BFBB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525448"/>
        <c:axId val="512520528"/>
      </c:scatterChart>
      <c:valAx>
        <c:axId val="51252544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20528"/>
        <c:crosses val="autoZero"/>
        <c:crossBetween val="midCat"/>
      </c:valAx>
      <c:valAx>
        <c:axId val="5125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25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Draft vs Cp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Summary!$O$6:$O$9</c:f>
              <c:numCache>
                <c:formatCode>0.00</c:formatCode>
                <c:ptCount val="4"/>
                <c:pt idx="0">
                  <c:v>0.83331961401766963</c:v>
                </c:pt>
                <c:pt idx="1">
                  <c:v>0.80847183284662605</c:v>
                </c:pt>
                <c:pt idx="2">
                  <c:v>0.77726192136601335</c:v>
                </c:pt>
                <c:pt idx="3">
                  <c:v>0.7271593501479714</c:v>
                </c:pt>
              </c:numCache>
            </c:numRef>
          </c:xVal>
          <c:yVal>
            <c:numRef>
              <c:f>Summary!$C$6:$C$9</c:f>
              <c:numCache>
                <c:formatCode>0.00</c:formatCode>
                <c:ptCount val="4"/>
                <c:pt idx="0">
                  <c:v>3.8</c:v>
                </c:pt>
                <c:pt idx="1">
                  <c:v>2.8499999999999996</c:v>
                </c:pt>
                <c:pt idx="2">
                  <c:v>1.9</c:v>
                </c:pt>
                <c:pt idx="3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AD-4162-B8EF-1563A26BC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525448"/>
        <c:axId val="512520528"/>
      </c:scatterChart>
      <c:valAx>
        <c:axId val="512525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20528"/>
        <c:crosses val="autoZero"/>
        <c:crossBetween val="midCat"/>
      </c:valAx>
      <c:valAx>
        <c:axId val="5125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25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990807986211832E-2"/>
          <c:y val="7.6184883388051253E-2"/>
          <c:w val="0.79862907249503357"/>
          <c:h val="0.80037079518589915"/>
        </c:manualLayout>
      </c:layout>
      <c:scatterChart>
        <c:scatterStyle val="smoothMarker"/>
        <c:varyColors val="0"/>
        <c:ser>
          <c:idx val="0"/>
          <c:order val="0"/>
          <c:tx>
            <c:v>Displacemnet x (10^-2)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1">
                    <a:alpha val="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0109526761076437E-2"/>
                  <c:y val="1.153470848282942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aseline="0"/>
                      <a:t>Displacement</a:t>
                    </a:r>
                  </a:p>
                </c:rich>
              </c:tx>
              <c:numFmt formatCode="General" sourceLinked="0"/>
              <c:spPr>
                <a:noFill/>
                <a:ln>
                  <a:solidFill>
                    <a:schemeClr val="bg1">
                      <a:alpha val="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Summary!$AB$6:$AB$9</c:f>
              <c:numCache>
                <c:formatCode>0.000</c:formatCode>
                <c:ptCount val="4"/>
                <c:pt idx="0">
                  <c:v>21.272493164374868</c:v>
                </c:pt>
                <c:pt idx="1">
                  <c:v>15.237983564877069</c:v>
                </c:pt>
                <c:pt idx="2">
                  <c:v>9.5747363925765736</c:v>
                </c:pt>
                <c:pt idx="3">
                  <c:v>4.0634054929391903</c:v>
                </c:pt>
              </c:numCache>
            </c:numRef>
          </c:xVal>
          <c:yVal>
            <c:numRef>
              <c:f>Summary!$C$6:$C$9</c:f>
              <c:numCache>
                <c:formatCode>0.00</c:formatCode>
                <c:ptCount val="4"/>
                <c:pt idx="0">
                  <c:v>3.8</c:v>
                </c:pt>
                <c:pt idx="1">
                  <c:v>2.8499999999999996</c:v>
                </c:pt>
                <c:pt idx="2">
                  <c:v>1.9</c:v>
                </c:pt>
                <c:pt idx="3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92-4557-A14D-EF46301A7F49}"/>
            </c:ext>
          </c:extLst>
        </c:ser>
        <c:ser>
          <c:idx val="1"/>
          <c:order val="1"/>
          <c:tx>
            <c:v>VCB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1">
                    <a:alpha val="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2247482330861064E-3"/>
                  <c:y val="1.67968947935850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VCB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solidFill>
                    <a:schemeClr val="bg1">
                      <a:alpha val="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Summary!$E$6:$E$9</c:f>
              <c:numCache>
                <c:formatCode>0.00</c:formatCode>
                <c:ptCount val="4"/>
                <c:pt idx="0">
                  <c:v>2.0446179580949435</c:v>
                </c:pt>
                <c:pt idx="1">
                  <c:v>1.5530585499602034</c:v>
                </c:pt>
                <c:pt idx="2">
                  <c:v>1.0457749003881891</c:v>
                </c:pt>
                <c:pt idx="3">
                  <c:v>0.58012673596966413</c:v>
                </c:pt>
              </c:numCache>
            </c:numRef>
          </c:xVal>
          <c:yVal>
            <c:numRef>
              <c:f>Summary!$C$6:$C$9</c:f>
              <c:numCache>
                <c:formatCode>0.00</c:formatCode>
                <c:ptCount val="4"/>
                <c:pt idx="0">
                  <c:v>3.8</c:v>
                </c:pt>
                <c:pt idx="1">
                  <c:v>2.8499999999999996</c:v>
                </c:pt>
                <c:pt idx="2">
                  <c:v>1.9</c:v>
                </c:pt>
                <c:pt idx="3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92-4557-A14D-EF46301A7F49}"/>
            </c:ext>
          </c:extLst>
        </c:ser>
        <c:ser>
          <c:idx val="2"/>
          <c:order val="2"/>
          <c:tx>
            <c:v>LCB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1">
                    <a:alpha val="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5753088127363913E-2"/>
                  <c:y val="-0.1987520042422633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aseline="0"/>
                      <a:t>LCB</a:t>
                    </a:r>
                  </a:p>
                </c:rich>
              </c:tx>
              <c:numFmt formatCode="General" sourceLinked="0"/>
              <c:spPr>
                <a:noFill/>
                <a:ln>
                  <a:solidFill>
                    <a:schemeClr val="bg1">
                      <a:alpha val="7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Summary!$Y$6:$Y$9</c:f>
              <c:numCache>
                <c:formatCode>0.00</c:formatCode>
                <c:ptCount val="4"/>
                <c:pt idx="0">
                  <c:v>32.140649615717386</c:v>
                </c:pt>
                <c:pt idx="1">
                  <c:v>32.451036876292704</c:v>
                </c:pt>
                <c:pt idx="2">
                  <c:v>32.749133826365195</c:v>
                </c:pt>
                <c:pt idx="3">
                  <c:v>32.934877185501684</c:v>
                </c:pt>
              </c:numCache>
            </c:numRef>
          </c:xVal>
          <c:yVal>
            <c:numRef>
              <c:f>Summary!$C$6:$C$9</c:f>
              <c:numCache>
                <c:formatCode>0.00</c:formatCode>
                <c:ptCount val="4"/>
                <c:pt idx="0">
                  <c:v>3.8</c:v>
                </c:pt>
                <c:pt idx="1">
                  <c:v>2.8499999999999996</c:v>
                </c:pt>
                <c:pt idx="2">
                  <c:v>1.9</c:v>
                </c:pt>
                <c:pt idx="3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892-4557-A14D-EF46301A7F49}"/>
            </c:ext>
          </c:extLst>
        </c:ser>
        <c:ser>
          <c:idx val="3"/>
          <c:order val="3"/>
          <c:tx>
            <c:v>BMT x (2)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1">
                    <a:alpha val="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714960437963956"/>
                  <c:y val="-0.1563517484587381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BMT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solidFill>
                    <a:schemeClr val="bg1">
                      <a:alpha val="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Summary!$AA$6:$AA$9</c:f>
              <c:numCache>
                <c:formatCode>0.00</c:formatCode>
                <c:ptCount val="4"/>
                <c:pt idx="0">
                  <c:v>5.3588806020688953</c:v>
                </c:pt>
                <c:pt idx="1">
                  <c:v>7.1375973932962156</c:v>
                </c:pt>
                <c:pt idx="2">
                  <c:v>10.623589717501817</c:v>
                </c:pt>
                <c:pt idx="3">
                  <c:v>21.842418937829066</c:v>
                </c:pt>
              </c:numCache>
            </c:numRef>
          </c:xVal>
          <c:yVal>
            <c:numRef>
              <c:f>Summary!$C$6:$C$9</c:f>
              <c:numCache>
                <c:formatCode>0.00</c:formatCode>
                <c:ptCount val="4"/>
                <c:pt idx="0">
                  <c:v>3.8</c:v>
                </c:pt>
                <c:pt idx="1">
                  <c:v>2.8499999999999996</c:v>
                </c:pt>
                <c:pt idx="2">
                  <c:v>1.9</c:v>
                </c:pt>
                <c:pt idx="3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892-4557-A14D-EF46301A7F49}"/>
            </c:ext>
          </c:extLst>
        </c:ser>
        <c:ser>
          <c:idx val="4"/>
          <c:order val="4"/>
          <c:tx>
            <c:v>CF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1">
                    <a:alpha val="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9413689301083889E-2"/>
                  <c:y val="-0.41111594292392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aseline="0"/>
                      <a:t>LCF</a:t>
                    </a:r>
                  </a:p>
                </c:rich>
              </c:tx>
              <c:numFmt formatCode="General" sourceLinked="0"/>
              <c:spPr>
                <a:noFill/>
                <a:ln>
                  <a:solidFill>
                    <a:schemeClr val="bg1">
                      <a:alpha val="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Summary!$Z$6:$Z$9</c:f>
              <c:numCache>
                <c:formatCode>0.00</c:formatCode>
                <c:ptCount val="4"/>
                <c:pt idx="0">
                  <c:v>31.316175981540106</c:v>
                </c:pt>
                <c:pt idx="1">
                  <c:v>31.564262518756678</c:v>
                </c:pt>
                <c:pt idx="2">
                  <c:v>32.3252700172442</c:v>
                </c:pt>
                <c:pt idx="3">
                  <c:v>32.832641981996879</c:v>
                </c:pt>
              </c:numCache>
            </c:numRef>
          </c:xVal>
          <c:yVal>
            <c:numRef>
              <c:f>Summary!$C$6:$C$9</c:f>
              <c:numCache>
                <c:formatCode>0.00</c:formatCode>
                <c:ptCount val="4"/>
                <c:pt idx="0">
                  <c:v>3.8</c:v>
                </c:pt>
                <c:pt idx="1">
                  <c:v>2.8499999999999996</c:v>
                </c:pt>
                <c:pt idx="2">
                  <c:v>1.9</c:v>
                </c:pt>
                <c:pt idx="3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892-4557-A14D-EF46301A7F49}"/>
            </c:ext>
          </c:extLst>
        </c:ser>
        <c:ser>
          <c:idx val="5"/>
          <c:order val="5"/>
          <c:tx>
            <c:v>TPC x (2)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1">
                    <a:alpha val="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580317171148543E-4"/>
                  <c:y val="4.1456589296587536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20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aseline="0"/>
                      <a:t>TPC</a:t>
                    </a:r>
                  </a:p>
                </c:rich>
              </c:tx>
              <c:numFmt formatCode="General" sourceLinked="0"/>
              <c:spPr>
                <a:noFill/>
                <a:ln>
                  <a:solidFill>
                    <a:schemeClr val="bg1">
                      <a:alpha val="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Summary!$AC$6:$AC$9</c:f>
              <c:numCache>
                <c:formatCode>0.000</c:formatCode>
                <c:ptCount val="4"/>
                <c:pt idx="0">
                  <c:v>12.689032438034451</c:v>
                </c:pt>
                <c:pt idx="1">
                  <c:v>12.362461078034453</c:v>
                </c:pt>
                <c:pt idx="2">
                  <c:v>11.741692334869597</c:v>
                </c:pt>
                <c:pt idx="3">
                  <c:v>10.771290669999999</c:v>
                </c:pt>
              </c:numCache>
            </c:numRef>
          </c:xVal>
          <c:yVal>
            <c:numRef>
              <c:f>Summary!$C$6:$C$9</c:f>
              <c:numCache>
                <c:formatCode>0.00</c:formatCode>
                <c:ptCount val="4"/>
                <c:pt idx="0">
                  <c:v>3.8</c:v>
                </c:pt>
                <c:pt idx="1">
                  <c:v>2.8499999999999996</c:v>
                </c:pt>
                <c:pt idx="2">
                  <c:v>1.9</c:v>
                </c:pt>
                <c:pt idx="3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892-4557-A14D-EF46301A7F49}"/>
            </c:ext>
          </c:extLst>
        </c:ser>
        <c:ser>
          <c:idx val="6"/>
          <c:order val="6"/>
          <c:tx>
            <c:v>BML x (10^-1)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1">
                    <a:alpha val="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173160702903317"/>
                  <c:y val="-0.2202042764627507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BML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solidFill>
                    <a:schemeClr val="bg1">
                      <a:alpha val="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Summary!$AD$6:$AD$9</c:f>
              <c:numCache>
                <c:formatCode>0.000</c:formatCode>
                <c:ptCount val="4"/>
                <c:pt idx="0">
                  <c:v>8.8004642033209493</c:v>
                </c:pt>
                <c:pt idx="1">
                  <c:v>11.474760090248159</c:v>
                </c:pt>
                <c:pt idx="2">
                  <c:v>15.839278548869208</c:v>
                </c:pt>
                <c:pt idx="3">
                  <c:v>30.055597433287694</c:v>
                </c:pt>
              </c:numCache>
            </c:numRef>
          </c:xVal>
          <c:yVal>
            <c:numRef>
              <c:f>Summary!$C$6:$C$9</c:f>
              <c:numCache>
                <c:formatCode>0.00</c:formatCode>
                <c:ptCount val="4"/>
                <c:pt idx="0">
                  <c:v>3.8</c:v>
                </c:pt>
                <c:pt idx="1">
                  <c:v>2.8499999999999996</c:v>
                </c:pt>
                <c:pt idx="2">
                  <c:v>1.9</c:v>
                </c:pt>
                <c:pt idx="3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892-4557-A14D-EF46301A7F49}"/>
            </c:ext>
          </c:extLst>
        </c:ser>
        <c:ser>
          <c:idx val="8"/>
          <c:order val="7"/>
          <c:tx>
            <c:v>Cb x (10)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1">
                    <a:alpha val="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9899950181774142E-4"/>
                  <c:y val="2.6351278671701527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Cb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solidFill>
                    <a:schemeClr val="bg1">
                      <a:alpha val="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Summary!$AE$6:$AE$9</c:f>
              <c:numCache>
                <c:formatCode>0.000</c:formatCode>
                <c:ptCount val="4"/>
                <c:pt idx="0">
                  <c:v>8.0523537596412496</c:v>
                </c:pt>
                <c:pt idx="1">
                  <c:v>7.6907853599080953</c:v>
                </c:pt>
                <c:pt idx="2">
                  <c:v>7.2487191785734026</c:v>
                </c:pt>
                <c:pt idx="3">
                  <c:v>6.1525422986736835</c:v>
                </c:pt>
              </c:numCache>
            </c:numRef>
          </c:xVal>
          <c:yVal>
            <c:numRef>
              <c:f>Summary!$C$6:$C$9</c:f>
              <c:numCache>
                <c:formatCode>0.00</c:formatCode>
                <c:ptCount val="4"/>
                <c:pt idx="0">
                  <c:v>3.8</c:v>
                </c:pt>
                <c:pt idx="1">
                  <c:v>2.8499999999999996</c:v>
                </c:pt>
                <c:pt idx="2">
                  <c:v>1.9</c:v>
                </c:pt>
                <c:pt idx="3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F892-4557-A14D-EF46301A7F49}"/>
            </c:ext>
          </c:extLst>
        </c:ser>
        <c:ser>
          <c:idx val="9"/>
          <c:order val="8"/>
          <c:tx>
            <c:v>Cw x (10)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1">
                    <a:alpha val="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4493418713681562E-4"/>
                  <c:y val="7.617743299299152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Cw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solidFill>
                    <a:schemeClr val="bg1">
                      <a:alpha val="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Summary!$AF$6:$AF$9</c:f>
              <c:numCache>
                <c:formatCode>0.000</c:formatCode>
                <c:ptCount val="4"/>
                <c:pt idx="0">
                  <c:v>9.1261281322910861</c:v>
                </c:pt>
                <c:pt idx="1">
                  <c:v>8.8912534804805023</c:v>
                </c:pt>
                <c:pt idx="2">
                  <c:v>8.4447879900414762</c:v>
                </c:pt>
                <c:pt idx="3">
                  <c:v>7.7468616527390903</c:v>
                </c:pt>
              </c:numCache>
            </c:numRef>
          </c:xVal>
          <c:yVal>
            <c:numRef>
              <c:f>Summary!$C$6:$C$9</c:f>
              <c:numCache>
                <c:formatCode>0.00</c:formatCode>
                <c:ptCount val="4"/>
                <c:pt idx="0">
                  <c:v>3.8</c:v>
                </c:pt>
                <c:pt idx="1">
                  <c:v>2.8499999999999996</c:v>
                </c:pt>
                <c:pt idx="2">
                  <c:v>1.9</c:v>
                </c:pt>
                <c:pt idx="3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F892-4557-A14D-EF46301A7F49}"/>
            </c:ext>
          </c:extLst>
        </c:ser>
        <c:ser>
          <c:idx val="10"/>
          <c:order val="9"/>
          <c:tx>
            <c:v>Cm x (10)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1">
                    <a:alpha val="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1588125139652976E-3"/>
                  <c:y val="0.1022885389419202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Cm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solidFill>
                    <a:schemeClr val="bg1">
                      <a:alpha val="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Summary!$AG$6:$AG$9</c:f>
              <c:numCache>
                <c:formatCode>0.000</c:formatCode>
                <c:ptCount val="4"/>
                <c:pt idx="0">
                  <c:v>9.6629835949961311</c:v>
                </c:pt>
                <c:pt idx="1">
                  <c:v>9.5127437313788299</c:v>
                </c:pt>
                <c:pt idx="2">
                  <c:v>9.3259671924156624</c:v>
                </c:pt>
                <c:pt idx="3">
                  <c:v>8.461064686057723</c:v>
                </c:pt>
              </c:numCache>
            </c:numRef>
          </c:xVal>
          <c:yVal>
            <c:numRef>
              <c:f>Summary!$C$6:$C$9</c:f>
              <c:numCache>
                <c:formatCode>0.00</c:formatCode>
                <c:ptCount val="4"/>
                <c:pt idx="0">
                  <c:v>3.8</c:v>
                </c:pt>
                <c:pt idx="1">
                  <c:v>2.8499999999999996</c:v>
                </c:pt>
                <c:pt idx="2">
                  <c:v>1.9</c:v>
                </c:pt>
                <c:pt idx="3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F892-4557-A14D-EF46301A7F49}"/>
            </c:ext>
          </c:extLst>
        </c:ser>
        <c:ser>
          <c:idx val="11"/>
          <c:order val="10"/>
          <c:tx>
            <c:v>Cp x (10)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1">
                    <a:alpha val="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893273556503358E-2"/>
                  <c:y val="2.30635109598294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Cp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solidFill>
                    <a:schemeClr val="bg1">
                      <a:alpha val="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Summary!$AH$6:$AH$9</c:f>
              <c:numCache>
                <c:formatCode>0.000</c:formatCode>
                <c:ptCount val="4"/>
                <c:pt idx="0">
                  <c:v>8.3331961401766961</c:v>
                </c:pt>
                <c:pt idx="1">
                  <c:v>8.0847183284662609</c:v>
                </c:pt>
                <c:pt idx="2">
                  <c:v>7.7726192136601338</c:v>
                </c:pt>
                <c:pt idx="3">
                  <c:v>7.271593501479714</c:v>
                </c:pt>
              </c:numCache>
            </c:numRef>
          </c:xVal>
          <c:yVal>
            <c:numRef>
              <c:f>Summary!$C$6:$C$9</c:f>
              <c:numCache>
                <c:formatCode>0.00</c:formatCode>
                <c:ptCount val="4"/>
                <c:pt idx="0">
                  <c:v>3.8</c:v>
                </c:pt>
                <c:pt idx="1">
                  <c:v>2.8499999999999996</c:v>
                </c:pt>
                <c:pt idx="2">
                  <c:v>1.9</c:v>
                </c:pt>
                <c:pt idx="3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F892-4557-A14D-EF46301A7F49}"/>
            </c:ext>
          </c:extLst>
        </c:ser>
        <c:ser>
          <c:idx val="12"/>
          <c:order val="1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Summary!$AJ$5:$AJ$9</c:f>
              <c:numCache>
                <c:formatCode>0.000</c:formatCode>
                <c:ptCount val="5"/>
                <c:pt idx="0">
                  <c:v>32.274999999999999</c:v>
                </c:pt>
                <c:pt idx="1">
                  <c:v>32.274999999999999</c:v>
                </c:pt>
                <c:pt idx="2">
                  <c:v>32.274999999999999</c:v>
                </c:pt>
                <c:pt idx="3">
                  <c:v>32.274999999999999</c:v>
                </c:pt>
                <c:pt idx="4">
                  <c:v>32.274999999999999</c:v>
                </c:pt>
              </c:numCache>
            </c:numRef>
          </c:xVal>
          <c:yVal>
            <c:numRef>
              <c:f>Summary!$AI$5:$AI$9</c:f>
              <c:numCache>
                <c:formatCode>0.00</c:formatCode>
                <c:ptCount val="5"/>
                <c:pt idx="0">
                  <c:v>0</c:v>
                </c:pt>
                <c:pt idx="1">
                  <c:v>3.8</c:v>
                </c:pt>
                <c:pt idx="2">
                  <c:v>2.8499999999999996</c:v>
                </c:pt>
                <c:pt idx="3">
                  <c:v>1.9</c:v>
                </c:pt>
                <c:pt idx="4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F892-4557-A14D-EF46301A7F49}"/>
            </c:ext>
          </c:extLst>
        </c:ser>
        <c:ser>
          <c:idx val="13"/>
          <c:order val="12"/>
          <c:tx>
            <c:v>MCTC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1">
                    <a:alpha val="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2573532923823229E-2"/>
                  <c:y val="4.734142970018412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aseline="0"/>
                      <a:t>MCTC</a:t>
                    </a:r>
                  </a:p>
                </c:rich>
              </c:tx>
              <c:numFmt formatCode="General" sourceLinked="0"/>
              <c:spPr>
                <a:noFill/>
                <a:ln>
                  <a:solidFill>
                    <a:schemeClr val="bg1">
                      <a:alpha val="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Summary!$K$6:$K$9</c:f>
              <c:numCache>
                <c:formatCode>0.00</c:formatCode>
                <c:ptCount val="4"/>
                <c:pt idx="0">
                  <c:v>28.47700252638738</c:v>
                </c:pt>
                <c:pt idx="1">
                  <c:v>26.597536608778341</c:v>
                </c:pt>
                <c:pt idx="2">
                  <c:v>23.069199384547538</c:v>
                </c:pt>
                <c:pt idx="3">
                  <c:v>18.577438348644701</c:v>
                </c:pt>
              </c:numCache>
            </c:numRef>
          </c:xVal>
          <c:yVal>
            <c:numRef>
              <c:f>Summary!$C$6:$C$9</c:f>
              <c:numCache>
                <c:formatCode>0.00</c:formatCode>
                <c:ptCount val="4"/>
                <c:pt idx="0">
                  <c:v>3.8</c:v>
                </c:pt>
                <c:pt idx="1">
                  <c:v>2.8499999999999996</c:v>
                </c:pt>
                <c:pt idx="2">
                  <c:v>1.9</c:v>
                </c:pt>
                <c:pt idx="3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F892-4557-A14D-EF46301A7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954504"/>
        <c:axId val="635951880"/>
      </c:scatterChart>
      <c:valAx>
        <c:axId val="635954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500" b="1" i="0" baseline="0"/>
                  <a:t>HYDROSTATIC CURVES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951880"/>
        <c:crosses val="autoZero"/>
        <c:crossBetween val="midCat"/>
      </c:valAx>
      <c:valAx>
        <c:axId val="635951880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500" b="1" i="0" baseline="0"/>
                  <a:t>DRAFT               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954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1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990807986211832E-2"/>
          <c:y val="7.6184883388051253E-2"/>
          <c:w val="0.79862907249503357"/>
          <c:h val="0.80037079518589915"/>
        </c:manualLayout>
      </c:layout>
      <c:scatterChart>
        <c:scatterStyle val="smoothMarker"/>
        <c:varyColors val="0"/>
        <c:ser>
          <c:idx val="0"/>
          <c:order val="0"/>
          <c:tx>
            <c:v>Displacemnet x (10^-2)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1">
                    <a:alpha val="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0109526761076437E-2"/>
                  <c:y val="1.153470848282942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aseline="0"/>
                      <a:t>Displacement</a:t>
                    </a:r>
                  </a:p>
                </c:rich>
              </c:tx>
              <c:numFmt formatCode="General" sourceLinked="0"/>
              <c:spPr>
                <a:noFill/>
                <a:ln>
                  <a:solidFill>
                    <a:schemeClr val="bg1">
                      <a:alpha val="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Summary!$AB$6:$AB$9</c:f>
              <c:numCache>
                <c:formatCode>0.000</c:formatCode>
                <c:ptCount val="4"/>
                <c:pt idx="0">
                  <c:v>21.272493164374868</c:v>
                </c:pt>
                <c:pt idx="1">
                  <c:v>15.237983564877069</c:v>
                </c:pt>
                <c:pt idx="2">
                  <c:v>9.5747363925765736</c:v>
                </c:pt>
                <c:pt idx="3">
                  <c:v>4.0634054929391903</c:v>
                </c:pt>
              </c:numCache>
            </c:numRef>
          </c:xVal>
          <c:yVal>
            <c:numRef>
              <c:f>Summary!$C$6:$C$9</c:f>
              <c:numCache>
                <c:formatCode>0.00</c:formatCode>
                <c:ptCount val="4"/>
                <c:pt idx="0">
                  <c:v>3.8</c:v>
                </c:pt>
                <c:pt idx="1">
                  <c:v>2.8499999999999996</c:v>
                </c:pt>
                <c:pt idx="2">
                  <c:v>1.9</c:v>
                </c:pt>
                <c:pt idx="3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F9-4226-8F28-1806A1C72D53}"/>
            </c:ext>
          </c:extLst>
        </c:ser>
        <c:ser>
          <c:idx val="1"/>
          <c:order val="1"/>
          <c:tx>
            <c:v>VCB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1">
                    <a:alpha val="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2247482330861064E-3"/>
                  <c:y val="1.67968947935850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VCB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solidFill>
                    <a:schemeClr val="bg1">
                      <a:alpha val="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Summary!$E$6:$E$9</c:f>
              <c:numCache>
                <c:formatCode>0.00</c:formatCode>
                <c:ptCount val="4"/>
                <c:pt idx="0">
                  <c:v>2.0446179580949435</c:v>
                </c:pt>
                <c:pt idx="1">
                  <c:v>1.5530585499602034</c:v>
                </c:pt>
                <c:pt idx="2">
                  <c:v>1.0457749003881891</c:v>
                </c:pt>
                <c:pt idx="3">
                  <c:v>0.58012673596966413</c:v>
                </c:pt>
              </c:numCache>
            </c:numRef>
          </c:xVal>
          <c:yVal>
            <c:numRef>
              <c:f>Summary!$C$6:$C$9</c:f>
              <c:numCache>
                <c:formatCode>0.00</c:formatCode>
                <c:ptCount val="4"/>
                <c:pt idx="0">
                  <c:v>3.8</c:v>
                </c:pt>
                <c:pt idx="1">
                  <c:v>2.8499999999999996</c:v>
                </c:pt>
                <c:pt idx="2">
                  <c:v>1.9</c:v>
                </c:pt>
                <c:pt idx="3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F9-4226-8F28-1806A1C72D53}"/>
            </c:ext>
          </c:extLst>
        </c:ser>
        <c:ser>
          <c:idx val="2"/>
          <c:order val="2"/>
          <c:tx>
            <c:v>LCB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1">
                    <a:alpha val="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5753088127363913E-2"/>
                  <c:y val="-0.1987520042422633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aseline="0"/>
                      <a:t>LCB</a:t>
                    </a:r>
                  </a:p>
                </c:rich>
              </c:tx>
              <c:numFmt formatCode="General" sourceLinked="0"/>
              <c:spPr>
                <a:noFill/>
                <a:ln>
                  <a:solidFill>
                    <a:schemeClr val="bg1">
                      <a:alpha val="7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Summary!$Y$6:$Y$9</c:f>
              <c:numCache>
                <c:formatCode>0.00</c:formatCode>
                <c:ptCount val="4"/>
                <c:pt idx="0">
                  <c:v>32.140649615717386</c:v>
                </c:pt>
                <c:pt idx="1">
                  <c:v>32.451036876292704</c:v>
                </c:pt>
                <c:pt idx="2">
                  <c:v>32.749133826365195</c:v>
                </c:pt>
                <c:pt idx="3">
                  <c:v>32.934877185501684</c:v>
                </c:pt>
              </c:numCache>
            </c:numRef>
          </c:xVal>
          <c:yVal>
            <c:numRef>
              <c:f>Summary!$C$6:$C$9</c:f>
              <c:numCache>
                <c:formatCode>0.00</c:formatCode>
                <c:ptCount val="4"/>
                <c:pt idx="0">
                  <c:v>3.8</c:v>
                </c:pt>
                <c:pt idx="1">
                  <c:v>2.8499999999999996</c:v>
                </c:pt>
                <c:pt idx="2">
                  <c:v>1.9</c:v>
                </c:pt>
                <c:pt idx="3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1F9-4226-8F28-1806A1C72D53}"/>
            </c:ext>
          </c:extLst>
        </c:ser>
        <c:ser>
          <c:idx val="3"/>
          <c:order val="3"/>
          <c:tx>
            <c:v>BMT x (2)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1">
                    <a:alpha val="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714960437963956"/>
                  <c:y val="-0.1563517484587381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BMT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solidFill>
                    <a:schemeClr val="bg1">
                      <a:alpha val="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Summary!$AA$6:$AA$9</c:f>
              <c:numCache>
                <c:formatCode>0.00</c:formatCode>
                <c:ptCount val="4"/>
                <c:pt idx="0">
                  <c:v>5.3588806020688953</c:v>
                </c:pt>
                <c:pt idx="1">
                  <c:v>7.1375973932962156</c:v>
                </c:pt>
                <c:pt idx="2">
                  <c:v>10.623589717501817</c:v>
                </c:pt>
                <c:pt idx="3">
                  <c:v>21.842418937829066</c:v>
                </c:pt>
              </c:numCache>
            </c:numRef>
          </c:xVal>
          <c:yVal>
            <c:numRef>
              <c:f>Summary!$C$6:$C$9</c:f>
              <c:numCache>
                <c:formatCode>0.00</c:formatCode>
                <c:ptCount val="4"/>
                <c:pt idx="0">
                  <c:v>3.8</c:v>
                </c:pt>
                <c:pt idx="1">
                  <c:v>2.8499999999999996</c:v>
                </c:pt>
                <c:pt idx="2">
                  <c:v>1.9</c:v>
                </c:pt>
                <c:pt idx="3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1F9-4226-8F28-1806A1C72D53}"/>
            </c:ext>
          </c:extLst>
        </c:ser>
        <c:ser>
          <c:idx val="4"/>
          <c:order val="4"/>
          <c:tx>
            <c:v>CF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1">
                    <a:alpha val="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9413689301083889E-2"/>
                  <c:y val="-0.41111594292392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aseline="0"/>
                      <a:t>LCF</a:t>
                    </a:r>
                  </a:p>
                </c:rich>
              </c:tx>
              <c:numFmt formatCode="General" sourceLinked="0"/>
              <c:spPr>
                <a:noFill/>
                <a:ln>
                  <a:solidFill>
                    <a:schemeClr val="bg1">
                      <a:alpha val="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Summary!$Z$6:$Z$9</c:f>
              <c:numCache>
                <c:formatCode>0.00</c:formatCode>
                <c:ptCount val="4"/>
                <c:pt idx="0">
                  <c:v>31.316175981540106</c:v>
                </c:pt>
                <c:pt idx="1">
                  <c:v>31.564262518756678</c:v>
                </c:pt>
                <c:pt idx="2">
                  <c:v>32.3252700172442</c:v>
                </c:pt>
                <c:pt idx="3">
                  <c:v>32.832641981996879</c:v>
                </c:pt>
              </c:numCache>
            </c:numRef>
          </c:xVal>
          <c:yVal>
            <c:numRef>
              <c:f>Summary!$C$6:$C$9</c:f>
              <c:numCache>
                <c:formatCode>0.00</c:formatCode>
                <c:ptCount val="4"/>
                <c:pt idx="0">
                  <c:v>3.8</c:v>
                </c:pt>
                <c:pt idx="1">
                  <c:v>2.8499999999999996</c:v>
                </c:pt>
                <c:pt idx="2">
                  <c:v>1.9</c:v>
                </c:pt>
                <c:pt idx="3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1F9-4226-8F28-1806A1C72D53}"/>
            </c:ext>
          </c:extLst>
        </c:ser>
        <c:ser>
          <c:idx val="5"/>
          <c:order val="5"/>
          <c:tx>
            <c:v>TPC x (2)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1">
                    <a:alpha val="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580317171148543E-4"/>
                  <c:y val="4.1456589296587536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20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aseline="0"/>
                      <a:t>TPC</a:t>
                    </a:r>
                  </a:p>
                </c:rich>
              </c:tx>
              <c:numFmt formatCode="General" sourceLinked="0"/>
              <c:spPr>
                <a:noFill/>
                <a:ln>
                  <a:solidFill>
                    <a:schemeClr val="bg1">
                      <a:alpha val="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Summary!$AC$6:$AC$9</c:f>
              <c:numCache>
                <c:formatCode>0.000</c:formatCode>
                <c:ptCount val="4"/>
                <c:pt idx="0">
                  <c:v>12.689032438034451</c:v>
                </c:pt>
                <c:pt idx="1">
                  <c:v>12.362461078034453</c:v>
                </c:pt>
                <c:pt idx="2">
                  <c:v>11.741692334869597</c:v>
                </c:pt>
                <c:pt idx="3">
                  <c:v>10.771290669999999</c:v>
                </c:pt>
              </c:numCache>
            </c:numRef>
          </c:xVal>
          <c:yVal>
            <c:numRef>
              <c:f>Summary!$C$6:$C$9</c:f>
              <c:numCache>
                <c:formatCode>0.00</c:formatCode>
                <c:ptCount val="4"/>
                <c:pt idx="0">
                  <c:v>3.8</c:v>
                </c:pt>
                <c:pt idx="1">
                  <c:v>2.8499999999999996</c:v>
                </c:pt>
                <c:pt idx="2">
                  <c:v>1.9</c:v>
                </c:pt>
                <c:pt idx="3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1F9-4226-8F28-1806A1C72D53}"/>
            </c:ext>
          </c:extLst>
        </c:ser>
        <c:ser>
          <c:idx val="6"/>
          <c:order val="6"/>
          <c:tx>
            <c:v>BML x (10^-1)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1">
                    <a:alpha val="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173160702903317"/>
                  <c:y val="-0.2202042764627507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BML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solidFill>
                    <a:schemeClr val="bg1">
                      <a:alpha val="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Summary!$AD$6:$AD$9</c:f>
              <c:numCache>
                <c:formatCode>0.000</c:formatCode>
                <c:ptCount val="4"/>
                <c:pt idx="0">
                  <c:v>8.8004642033209493</c:v>
                </c:pt>
                <c:pt idx="1">
                  <c:v>11.474760090248159</c:v>
                </c:pt>
                <c:pt idx="2">
                  <c:v>15.839278548869208</c:v>
                </c:pt>
                <c:pt idx="3">
                  <c:v>30.055597433287694</c:v>
                </c:pt>
              </c:numCache>
            </c:numRef>
          </c:xVal>
          <c:yVal>
            <c:numRef>
              <c:f>Summary!$C$6:$C$9</c:f>
              <c:numCache>
                <c:formatCode>0.00</c:formatCode>
                <c:ptCount val="4"/>
                <c:pt idx="0">
                  <c:v>3.8</c:v>
                </c:pt>
                <c:pt idx="1">
                  <c:v>2.8499999999999996</c:v>
                </c:pt>
                <c:pt idx="2">
                  <c:v>1.9</c:v>
                </c:pt>
                <c:pt idx="3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11F9-4226-8F28-1806A1C72D53}"/>
            </c:ext>
          </c:extLst>
        </c:ser>
        <c:ser>
          <c:idx val="8"/>
          <c:order val="7"/>
          <c:tx>
            <c:v>Cb x (10)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1">
                    <a:alpha val="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9899950181774142E-4"/>
                  <c:y val="2.6351278671701527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Cb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solidFill>
                    <a:schemeClr val="bg1">
                      <a:alpha val="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Summary!$AE$6:$AE$9</c:f>
              <c:numCache>
                <c:formatCode>0.000</c:formatCode>
                <c:ptCount val="4"/>
                <c:pt idx="0">
                  <c:v>8.0523537596412496</c:v>
                </c:pt>
                <c:pt idx="1">
                  <c:v>7.6907853599080953</c:v>
                </c:pt>
                <c:pt idx="2">
                  <c:v>7.2487191785734026</c:v>
                </c:pt>
                <c:pt idx="3">
                  <c:v>6.1525422986736835</c:v>
                </c:pt>
              </c:numCache>
            </c:numRef>
          </c:xVal>
          <c:yVal>
            <c:numRef>
              <c:f>Summary!$C$6:$C$9</c:f>
              <c:numCache>
                <c:formatCode>0.00</c:formatCode>
                <c:ptCount val="4"/>
                <c:pt idx="0">
                  <c:v>3.8</c:v>
                </c:pt>
                <c:pt idx="1">
                  <c:v>2.8499999999999996</c:v>
                </c:pt>
                <c:pt idx="2">
                  <c:v>1.9</c:v>
                </c:pt>
                <c:pt idx="3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11F9-4226-8F28-1806A1C72D53}"/>
            </c:ext>
          </c:extLst>
        </c:ser>
        <c:ser>
          <c:idx val="9"/>
          <c:order val="8"/>
          <c:tx>
            <c:v>Cw x (10)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1">
                    <a:alpha val="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4493418713681562E-4"/>
                  <c:y val="7.617743299299152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Cw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solidFill>
                    <a:schemeClr val="bg1">
                      <a:alpha val="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Summary!$AF$6:$AF$9</c:f>
              <c:numCache>
                <c:formatCode>0.000</c:formatCode>
                <c:ptCount val="4"/>
                <c:pt idx="0">
                  <c:v>9.1261281322910861</c:v>
                </c:pt>
                <c:pt idx="1">
                  <c:v>8.8912534804805023</c:v>
                </c:pt>
                <c:pt idx="2">
                  <c:v>8.4447879900414762</c:v>
                </c:pt>
                <c:pt idx="3">
                  <c:v>7.7468616527390903</c:v>
                </c:pt>
              </c:numCache>
            </c:numRef>
          </c:xVal>
          <c:yVal>
            <c:numRef>
              <c:f>Summary!$C$6:$C$9</c:f>
              <c:numCache>
                <c:formatCode>0.00</c:formatCode>
                <c:ptCount val="4"/>
                <c:pt idx="0">
                  <c:v>3.8</c:v>
                </c:pt>
                <c:pt idx="1">
                  <c:v>2.8499999999999996</c:v>
                </c:pt>
                <c:pt idx="2">
                  <c:v>1.9</c:v>
                </c:pt>
                <c:pt idx="3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11F9-4226-8F28-1806A1C72D53}"/>
            </c:ext>
          </c:extLst>
        </c:ser>
        <c:ser>
          <c:idx val="10"/>
          <c:order val="9"/>
          <c:tx>
            <c:v>Cm x (10)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1">
                    <a:alpha val="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1588125139652976E-3"/>
                  <c:y val="0.1022885389419202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Cm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solidFill>
                    <a:schemeClr val="bg1">
                      <a:alpha val="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Summary!$AG$6:$AG$9</c:f>
              <c:numCache>
                <c:formatCode>0.000</c:formatCode>
                <c:ptCount val="4"/>
                <c:pt idx="0">
                  <c:v>9.6629835949961311</c:v>
                </c:pt>
                <c:pt idx="1">
                  <c:v>9.5127437313788299</c:v>
                </c:pt>
                <c:pt idx="2">
                  <c:v>9.3259671924156624</c:v>
                </c:pt>
                <c:pt idx="3">
                  <c:v>8.461064686057723</c:v>
                </c:pt>
              </c:numCache>
            </c:numRef>
          </c:xVal>
          <c:yVal>
            <c:numRef>
              <c:f>Summary!$C$6:$C$9</c:f>
              <c:numCache>
                <c:formatCode>0.00</c:formatCode>
                <c:ptCount val="4"/>
                <c:pt idx="0">
                  <c:v>3.8</c:v>
                </c:pt>
                <c:pt idx="1">
                  <c:v>2.8499999999999996</c:v>
                </c:pt>
                <c:pt idx="2">
                  <c:v>1.9</c:v>
                </c:pt>
                <c:pt idx="3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11F9-4226-8F28-1806A1C72D53}"/>
            </c:ext>
          </c:extLst>
        </c:ser>
        <c:ser>
          <c:idx val="11"/>
          <c:order val="10"/>
          <c:tx>
            <c:v>Cp x (10)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1">
                    <a:alpha val="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893273556503358E-2"/>
                  <c:y val="2.30635109598294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Cp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solidFill>
                    <a:schemeClr val="bg1">
                      <a:alpha val="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Summary!$AH$6:$AH$9</c:f>
              <c:numCache>
                <c:formatCode>0.000</c:formatCode>
                <c:ptCount val="4"/>
                <c:pt idx="0">
                  <c:v>8.3331961401766961</c:v>
                </c:pt>
                <c:pt idx="1">
                  <c:v>8.0847183284662609</c:v>
                </c:pt>
                <c:pt idx="2">
                  <c:v>7.7726192136601338</c:v>
                </c:pt>
                <c:pt idx="3">
                  <c:v>7.271593501479714</c:v>
                </c:pt>
              </c:numCache>
            </c:numRef>
          </c:xVal>
          <c:yVal>
            <c:numRef>
              <c:f>Summary!$C$6:$C$9</c:f>
              <c:numCache>
                <c:formatCode>0.00</c:formatCode>
                <c:ptCount val="4"/>
                <c:pt idx="0">
                  <c:v>3.8</c:v>
                </c:pt>
                <c:pt idx="1">
                  <c:v>2.8499999999999996</c:v>
                </c:pt>
                <c:pt idx="2">
                  <c:v>1.9</c:v>
                </c:pt>
                <c:pt idx="3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11F9-4226-8F28-1806A1C72D53}"/>
            </c:ext>
          </c:extLst>
        </c:ser>
        <c:ser>
          <c:idx val="12"/>
          <c:order val="1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Summary!$AJ$5:$AJ$9</c:f>
              <c:numCache>
                <c:formatCode>0.000</c:formatCode>
                <c:ptCount val="5"/>
                <c:pt idx="0">
                  <c:v>32.274999999999999</c:v>
                </c:pt>
                <c:pt idx="1">
                  <c:v>32.274999999999999</c:v>
                </c:pt>
                <c:pt idx="2">
                  <c:v>32.274999999999999</c:v>
                </c:pt>
                <c:pt idx="3">
                  <c:v>32.274999999999999</c:v>
                </c:pt>
                <c:pt idx="4">
                  <c:v>32.274999999999999</c:v>
                </c:pt>
              </c:numCache>
            </c:numRef>
          </c:xVal>
          <c:yVal>
            <c:numRef>
              <c:f>Summary!$AI$5:$AI$9</c:f>
              <c:numCache>
                <c:formatCode>0.00</c:formatCode>
                <c:ptCount val="5"/>
                <c:pt idx="0">
                  <c:v>0</c:v>
                </c:pt>
                <c:pt idx="1">
                  <c:v>3.8</c:v>
                </c:pt>
                <c:pt idx="2">
                  <c:v>2.8499999999999996</c:v>
                </c:pt>
                <c:pt idx="3">
                  <c:v>1.9</c:v>
                </c:pt>
                <c:pt idx="4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11F9-4226-8F28-1806A1C72D53}"/>
            </c:ext>
          </c:extLst>
        </c:ser>
        <c:ser>
          <c:idx val="13"/>
          <c:order val="12"/>
          <c:tx>
            <c:v>MCTC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1">
                    <a:alpha val="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2573532923823229E-2"/>
                  <c:y val="4.734142970018412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aseline="0"/>
                      <a:t>MCTC</a:t>
                    </a:r>
                  </a:p>
                </c:rich>
              </c:tx>
              <c:numFmt formatCode="General" sourceLinked="0"/>
              <c:spPr>
                <a:noFill/>
                <a:ln>
                  <a:solidFill>
                    <a:schemeClr val="bg1">
                      <a:alpha val="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Summary!$K$6:$K$9</c:f>
              <c:numCache>
                <c:formatCode>0.00</c:formatCode>
                <c:ptCount val="4"/>
                <c:pt idx="0">
                  <c:v>28.47700252638738</c:v>
                </c:pt>
                <c:pt idx="1">
                  <c:v>26.597536608778341</c:v>
                </c:pt>
                <c:pt idx="2">
                  <c:v>23.069199384547538</c:v>
                </c:pt>
                <c:pt idx="3">
                  <c:v>18.577438348644701</c:v>
                </c:pt>
              </c:numCache>
            </c:numRef>
          </c:xVal>
          <c:yVal>
            <c:numRef>
              <c:f>Summary!$C$6:$C$9</c:f>
              <c:numCache>
                <c:formatCode>0.00</c:formatCode>
                <c:ptCount val="4"/>
                <c:pt idx="0">
                  <c:v>3.8</c:v>
                </c:pt>
                <c:pt idx="1">
                  <c:v>2.8499999999999996</c:v>
                </c:pt>
                <c:pt idx="2">
                  <c:v>1.9</c:v>
                </c:pt>
                <c:pt idx="3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11F9-4226-8F28-1806A1C72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954504"/>
        <c:axId val="635951880"/>
      </c:scatterChart>
      <c:valAx>
        <c:axId val="635954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500" b="1" i="0" baseline="0"/>
                  <a:t>HYDROSTATIC CURVES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951880"/>
        <c:crosses val="autoZero"/>
        <c:crossBetween val="midCat"/>
      </c:valAx>
      <c:valAx>
        <c:axId val="635951880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500" b="1" i="0" baseline="0"/>
                  <a:t>DRAFT               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954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1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Draft vs VCB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Summary!$E$6:$E$9</c:f>
              <c:numCache>
                <c:formatCode>0.00</c:formatCode>
                <c:ptCount val="4"/>
                <c:pt idx="0">
                  <c:v>2.0446179580949435</c:v>
                </c:pt>
                <c:pt idx="1">
                  <c:v>1.5530585499602034</c:v>
                </c:pt>
                <c:pt idx="2">
                  <c:v>1.0457749003881891</c:v>
                </c:pt>
                <c:pt idx="3">
                  <c:v>0.58012673596966413</c:v>
                </c:pt>
              </c:numCache>
            </c:numRef>
          </c:xVal>
          <c:yVal>
            <c:numRef>
              <c:f>Summary!$C$6:$C$9</c:f>
              <c:numCache>
                <c:formatCode>0.00</c:formatCode>
                <c:ptCount val="4"/>
                <c:pt idx="0">
                  <c:v>3.8</c:v>
                </c:pt>
                <c:pt idx="1">
                  <c:v>2.8499999999999996</c:v>
                </c:pt>
                <c:pt idx="2">
                  <c:v>1.9</c:v>
                </c:pt>
                <c:pt idx="3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08-4FD5-9D90-438ABE4AD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525448"/>
        <c:axId val="512520528"/>
      </c:scatterChart>
      <c:valAx>
        <c:axId val="512525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20528"/>
        <c:crosses val="autoZero"/>
        <c:crossBetween val="midCat"/>
      </c:valAx>
      <c:valAx>
        <c:axId val="5125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25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08035165089302"/>
          <c:y val="0.2313993519444614"/>
          <c:w val="0.75975607993408956"/>
          <c:h val="0.6238698819234163"/>
        </c:manualLayout>
      </c:layout>
      <c:scatterChart>
        <c:scatterStyle val="smoothMarker"/>
        <c:varyColors val="0"/>
        <c:ser>
          <c:idx val="0"/>
          <c:order val="0"/>
          <c:tx>
            <c:v>Draft vs LCB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Summary!$Y$6:$Y$9</c:f>
              <c:numCache>
                <c:formatCode>0.00</c:formatCode>
                <c:ptCount val="4"/>
                <c:pt idx="0">
                  <c:v>32.140649615717386</c:v>
                </c:pt>
                <c:pt idx="1">
                  <c:v>32.451036876292704</c:v>
                </c:pt>
                <c:pt idx="2">
                  <c:v>32.749133826365195</c:v>
                </c:pt>
                <c:pt idx="3">
                  <c:v>32.934877185501684</c:v>
                </c:pt>
              </c:numCache>
            </c:numRef>
          </c:xVal>
          <c:yVal>
            <c:numRef>
              <c:f>Summary!$C$6:$C$9</c:f>
              <c:numCache>
                <c:formatCode>0.00</c:formatCode>
                <c:ptCount val="4"/>
                <c:pt idx="0">
                  <c:v>3.8</c:v>
                </c:pt>
                <c:pt idx="1">
                  <c:v>2.8499999999999996</c:v>
                </c:pt>
                <c:pt idx="2">
                  <c:v>1.9</c:v>
                </c:pt>
                <c:pt idx="3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A4-4A89-952D-3F9DD8F2A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525448"/>
        <c:axId val="512520528"/>
      </c:scatterChart>
      <c:valAx>
        <c:axId val="512525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20528"/>
        <c:crosses val="autoZero"/>
        <c:crossBetween val="midCat"/>
      </c:valAx>
      <c:valAx>
        <c:axId val="5125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25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Draft vs BMT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Summary!$G$6:$G$9</c:f>
              <c:numCache>
                <c:formatCode>0.00</c:formatCode>
                <c:ptCount val="4"/>
                <c:pt idx="0">
                  <c:v>2.6794403010344476</c:v>
                </c:pt>
                <c:pt idx="1">
                  <c:v>3.5687986966481078</c:v>
                </c:pt>
                <c:pt idx="2">
                  <c:v>5.3117948587509085</c:v>
                </c:pt>
                <c:pt idx="3">
                  <c:v>10.921209468914533</c:v>
                </c:pt>
              </c:numCache>
            </c:numRef>
          </c:xVal>
          <c:yVal>
            <c:numRef>
              <c:f>Summary!$C$6:$C$9</c:f>
              <c:numCache>
                <c:formatCode>0.00</c:formatCode>
                <c:ptCount val="4"/>
                <c:pt idx="0">
                  <c:v>3.8</c:v>
                </c:pt>
                <c:pt idx="1">
                  <c:v>2.8499999999999996</c:v>
                </c:pt>
                <c:pt idx="2">
                  <c:v>1.9</c:v>
                </c:pt>
                <c:pt idx="3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F5-4ABB-BA23-0C4D313D4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525448"/>
        <c:axId val="512520528"/>
      </c:scatterChart>
      <c:valAx>
        <c:axId val="512525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20528"/>
        <c:crosses val="autoZero"/>
        <c:crossBetween val="midCat"/>
      </c:valAx>
      <c:valAx>
        <c:axId val="5125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25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Draft vs LCF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140092107273564"/>
          <c:y val="0.20268215291821345"/>
          <c:w val="0.75476258081354208"/>
          <c:h val="0.63072360542468953"/>
        </c:manualLayout>
      </c:layout>
      <c:scatterChart>
        <c:scatterStyle val="smoothMarker"/>
        <c:varyColors val="0"/>
        <c:ser>
          <c:idx val="0"/>
          <c:order val="0"/>
          <c:tx>
            <c:v>Draft vs CF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Summary!$Z$6:$Z$9</c:f>
              <c:numCache>
                <c:formatCode>0.00</c:formatCode>
                <c:ptCount val="4"/>
                <c:pt idx="0">
                  <c:v>31.316175981540106</c:v>
                </c:pt>
                <c:pt idx="1">
                  <c:v>31.564262518756678</c:v>
                </c:pt>
                <c:pt idx="2">
                  <c:v>32.3252700172442</c:v>
                </c:pt>
                <c:pt idx="3">
                  <c:v>32.832641981996879</c:v>
                </c:pt>
              </c:numCache>
            </c:numRef>
          </c:xVal>
          <c:yVal>
            <c:numRef>
              <c:f>Summary!$C$6:$C$9</c:f>
              <c:numCache>
                <c:formatCode>0.00</c:formatCode>
                <c:ptCount val="4"/>
                <c:pt idx="0">
                  <c:v>3.8</c:v>
                </c:pt>
                <c:pt idx="1">
                  <c:v>2.8499999999999996</c:v>
                </c:pt>
                <c:pt idx="2">
                  <c:v>1.9</c:v>
                </c:pt>
                <c:pt idx="3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33-44AC-AA74-52729B38E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525448"/>
        <c:axId val="512520528"/>
      </c:scatterChart>
      <c:valAx>
        <c:axId val="512525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20528"/>
        <c:crosses val="autoZero"/>
        <c:crossBetween val="midCat"/>
      </c:valAx>
      <c:valAx>
        <c:axId val="5125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25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Draft vs TPC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Summary!$I$6:$I$9</c:f>
              <c:numCache>
                <c:formatCode>0.00</c:formatCode>
                <c:ptCount val="4"/>
                <c:pt idx="0">
                  <c:v>6.3445162190172253</c:v>
                </c:pt>
                <c:pt idx="1">
                  <c:v>6.1812305390172266</c:v>
                </c:pt>
                <c:pt idx="2">
                  <c:v>5.8708461674347987</c:v>
                </c:pt>
                <c:pt idx="3">
                  <c:v>5.3856453349999995</c:v>
                </c:pt>
              </c:numCache>
            </c:numRef>
          </c:xVal>
          <c:yVal>
            <c:numRef>
              <c:f>Summary!$C$6:$C$9</c:f>
              <c:numCache>
                <c:formatCode>0.00</c:formatCode>
                <c:ptCount val="4"/>
                <c:pt idx="0">
                  <c:v>3.8</c:v>
                </c:pt>
                <c:pt idx="1">
                  <c:v>2.8499999999999996</c:v>
                </c:pt>
                <c:pt idx="2">
                  <c:v>1.9</c:v>
                </c:pt>
                <c:pt idx="3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C2-4E4C-A9DA-9595D0C27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525448"/>
        <c:axId val="512520528"/>
      </c:scatterChart>
      <c:valAx>
        <c:axId val="512525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20528"/>
        <c:crosses val="autoZero"/>
        <c:crossBetween val="midCat"/>
      </c:valAx>
      <c:valAx>
        <c:axId val="5125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25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Draft vs BML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Summary!$J$6:$J$9</c:f>
              <c:numCache>
                <c:formatCode>0.00</c:formatCode>
                <c:ptCount val="4"/>
                <c:pt idx="0">
                  <c:v>88.004642033209493</c:v>
                </c:pt>
                <c:pt idx="1">
                  <c:v>114.74760090248159</c:v>
                </c:pt>
                <c:pt idx="2">
                  <c:v>158.39278548869208</c:v>
                </c:pt>
                <c:pt idx="3">
                  <c:v>300.55597433287693</c:v>
                </c:pt>
              </c:numCache>
            </c:numRef>
          </c:xVal>
          <c:yVal>
            <c:numRef>
              <c:f>Summary!$C$6:$C$9</c:f>
              <c:numCache>
                <c:formatCode>0.00</c:formatCode>
                <c:ptCount val="4"/>
                <c:pt idx="0">
                  <c:v>3.8</c:v>
                </c:pt>
                <c:pt idx="1">
                  <c:v>2.8499999999999996</c:v>
                </c:pt>
                <c:pt idx="2">
                  <c:v>1.9</c:v>
                </c:pt>
                <c:pt idx="3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EF-4B82-9B36-B0F03688D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525448"/>
        <c:axId val="512520528"/>
      </c:scatterChart>
      <c:valAx>
        <c:axId val="512525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20528"/>
        <c:crosses val="autoZero"/>
        <c:crossBetween val="midCat"/>
      </c:valAx>
      <c:valAx>
        <c:axId val="5125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25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Draft vs MCTC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Summary!$K$6:$K$9</c:f>
              <c:numCache>
                <c:formatCode>0.00</c:formatCode>
                <c:ptCount val="4"/>
                <c:pt idx="0">
                  <c:v>28.47700252638738</c:v>
                </c:pt>
                <c:pt idx="1">
                  <c:v>26.597536608778341</c:v>
                </c:pt>
                <c:pt idx="2">
                  <c:v>23.069199384547538</c:v>
                </c:pt>
                <c:pt idx="3">
                  <c:v>18.577438348644701</c:v>
                </c:pt>
              </c:numCache>
            </c:numRef>
          </c:xVal>
          <c:yVal>
            <c:numRef>
              <c:f>Summary!$C$6:$C$9</c:f>
              <c:numCache>
                <c:formatCode>0.00</c:formatCode>
                <c:ptCount val="4"/>
                <c:pt idx="0">
                  <c:v>3.8</c:v>
                </c:pt>
                <c:pt idx="1">
                  <c:v>2.8499999999999996</c:v>
                </c:pt>
                <c:pt idx="2">
                  <c:v>1.9</c:v>
                </c:pt>
                <c:pt idx="3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78-4387-80CE-559A98609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525448"/>
        <c:axId val="512520528"/>
      </c:scatterChart>
      <c:valAx>
        <c:axId val="512525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20528"/>
        <c:crosses val="autoZero"/>
        <c:crossBetween val="midCat"/>
      </c:valAx>
      <c:valAx>
        <c:axId val="5125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25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Draft vs Cb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Summary!$L$6:$L$9</c:f>
              <c:numCache>
                <c:formatCode>0.00</c:formatCode>
                <c:ptCount val="4"/>
                <c:pt idx="0" formatCode="0.0">
                  <c:v>0.80523537596412498</c:v>
                </c:pt>
                <c:pt idx="1">
                  <c:v>0.76907853599080955</c:v>
                </c:pt>
                <c:pt idx="2">
                  <c:v>0.72487191785734029</c:v>
                </c:pt>
                <c:pt idx="3">
                  <c:v>0.61525422986736833</c:v>
                </c:pt>
              </c:numCache>
            </c:numRef>
          </c:xVal>
          <c:yVal>
            <c:numRef>
              <c:f>Summary!$C$6:$C$9</c:f>
              <c:numCache>
                <c:formatCode>0.00</c:formatCode>
                <c:ptCount val="4"/>
                <c:pt idx="0">
                  <c:v>3.8</c:v>
                </c:pt>
                <c:pt idx="1">
                  <c:v>2.8499999999999996</c:v>
                </c:pt>
                <c:pt idx="2">
                  <c:v>1.9</c:v>
                </c:pt>
                <c:pt idx="3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4D-429B-9003-88EB9F8C5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525448"/>
        <c:axId val="512520528"/>
      </c:scatterChart>
      <c:valAx>
        <c:axId val="512525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20528"/>
        <c:crosses val="autoZero"/>
        <c:crossBetween val="midCat"/>
      </c:valAx>
      <c:valAx>
        <c:axId val="5125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25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19210</xdr:colOff>
      <xdr:row>10</xdr:row>
      <xdr:rowOff>171610</xdr:rowOff>
    </xdr:from>
    <xdr:to>
      <xdr:col>7</xdr:col>
      <xdr:colOff>76200</xdr:colOff>
      <xdr:row>25</xdr:row>
      <xdr:rowOff>119742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E2C70D-EF6D-45BC-B195-85B0C3BD95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478970</xdr:colOff>
      <xdr:row>10</xdr:row>
      <xdr:rowOff>119742</xdr:rowOff>
    </xdr:from>
    <xdr:to>
      <xdr:col>13</xdr:col>
      <xdr:colOff>348343</xdr:colOff>
      <xdr:row>25</xdr:row>
      <xdr:rowOff>21770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F50209-4C7D-423C-8412-09830DA0F2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43543</xdr:colOff>
      <xdr:row>10</xdr:row>
      <xdr:rowOff>87085</xdr:rowOff>
    </xdr:from>
    <xdr:to>
      <xdr:col>18</xdr:col>
      <xdr:colOff>522514</xdr:colOff>
      <xdr:row>24</xdr:row>
      <xdr:rowOff>130628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EBF279-0F87-4BC6-9C16-A6AFC95DDB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10</xdr:row>
      <xdr:rowOff>106935</xdr:rowOff>
    </xdr:from>
    <xdr:to>
      <xdr:col>25</xdr:col>
      <xdr:colOff>136391</xdr:colOff>
      <xdr:row>26</xdr:row>
      <xdr:rowOff>97971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6E0EC2-E3A5-4C8B-90DF-94FA9F9FA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817418</xdr:colOff>
      <xdr:row>25</xdr:row>
      <xdr:rowOff>174171</xdr:rowOff>
    </xdr:from>
    <xdr:to>
      <xdr:col>12</xdr:col>
      <xdr:colOff>180108</xdr:colOff>
      <xdr:row>49</xdr:row>
      <xdr:rowOff>166254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692F1BE-710F-46CD-A843-3E31469352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563495</xdr:colOff>
      <xdr:row>27</xdr:row>
      <xdr:rowOff>55069</xdr:rowOff>
    </xdr:from>
    <xdr:to>
      <xdr:col>18</xdr:col>
      <xdr:colOff>96982</xdr:colOff>
      <xdr:row>46</xdr:row>
      <xdr:rowOff>21770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42FED48-7FA5-4BD3-8FCB-BA83FD8AC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106878</xdr:colOff>
      <xdr:row>27</xdr:row>
      <xdr:rowOff>25438</xdr:rowOff>
    </xdr:from>
    <xdr:to>
      <xdr:col>24</xdr:col>
      <xdr:colOff>180109</xdr:colOff>
      <xdr:row>45</xdr:row>
      <xdr:rowOff>124690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55D0702-8E0E-4D8C-9790-B331971D7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541316</xdr:colOff>
      <xdr:row>27</xdr:row>
      <xdr:rowOff>110836</xdr:rowOff>
    </xdr:from>
    <xdr:to>
      <xdr:col>6</xdr:col>
      <xdr:colOff>471054</xdr:colOff>
      <xdr:row>45</xdr:row>
      <xdr:rowOff>143492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1C58BC3-873B-402B-9A40-C9BE6A9D7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588817</xdr:colOff>
      <xdr:row>54</xdr:row>
      <xdr:rowOff>106877</xdr:rowOff>
    </xdr:from>
    <xdr:to>
      <xdr:col>6</xdr:col>
      <xdr:colOff>333003</xdr:colOff>
      <xdr:row>71</xdr:row>
      <xdr:rowOff>68778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4DFC184-3570-4506-BDBA-17D4485686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647057</xdr:colOff>
      <xdr:row>53</xdr:row>
      <xdr:rowOff>163286</xdr:rowOff>
    </xdr:from>
    <xdr:to>
      <xdr:col>10</xdr:col>
      <xdr:colOff>365761</xdr:colOff>
      <xdr:row>71</xdr:row>
      <xdr:rowOff>176894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FEDD867-63BF-4BE6-8780-FFA22A92DD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552201</xdr:colOff>
      <xdr:row>54</xdr:row>
      <xdr:rowOff>25729</xdr:rowOff>
    </xdr:from>
    <xdr:to>
      <xdr:col>15</xdr:col>
      <xdr:colOff>465116</xdr:colOff>
      <xdr:row>72</xdr:row>
      <xdr:rowOff>116032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D544B90-E268-4BE5-B5C6-26C12A28E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303910</xdr:colOff>
      <xdr:row>55</xdr:row>
      <xdr:rowOff>10193</xdr:rowOff>
    </xdr:from>
    <xdr:to>
      <xdr:col>20</xdr:col>
      <xdr:colOff>390995</xdr:colOff>
      <xdr:row>70</xdr:row>
      <xdr:rowOff>59675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6BBCC77-2121-4951-B2AD-E1A4B43B95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76</xdr:row>
      <xdr:rowOff>109203</xdr:rowOff>
    </xdr:from>
    <xdr:to>
      <xdr:col>26</xdr:col>
      <xdr:colOff>285009</xdr:colOff>
      <xdr:row>124</xdr:row>
      <xdr:rowOff>74567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1DCD34C-FF23-4114-B820-58E4289823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20</xdr:col>
      <xdr:colOff>332015</xdr:colOff>
      <xdr:row>86</xdr:row>
      <xdr:rowOff>101930</xdr:rowOff>
    </xdr:from>
    <xdr:to>
      <xdr:col>21</xdr:col>
      <xdr:colOff>32560</xdr:colOff>
      <xdr:row>88</xdr:row>
      <xdr:rowOff>69113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5E3ED64-B578-47B5-8063-DE127FCCFB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33615" y="16114816"/>
          <a:ext cx="310145" cy="3372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28</xdr:col>
      <xdr:colOff>180109</xdr:colOff>
      <xdr:row>52</xdr:row>
      <xdr:rowOff>166253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F4AEB5-B285-4EB5-A36E-D5EC7A78B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4B368-AEA1-472F-B23B-C4E1D1189155}">
  <dimension ref="B2:Q43"/>
  <sheetViews>
    <sheetView topLeftCell="A10" zoomScale="70" zoomScaleNormal="70" workbookViewId="0">
      <selection activeCell="S29" sqref="S29"/>
    </sheetView>
  </sheetViews>
  <sheetFormatPr defaultRowHeight="14.4" x14ac:dyDescent="0.3"/>
  <cols>
    <col min="9" max="9" width="12.6640625" customWidth="1"/>
  </cols>
  <sheetData>
    <row r="2" spans="2:17" x14ac:dyDescent="0.3">
      <c r="C2" s="97" t="s">
        <v>78</v>
      </c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</row>
    <row r="3" spans="2:17" ht="14.4" customHeight="1" x14ac:dyDescent="0.3"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t="s">
        <v>1</v>
      </c>
    </row>
    <row r="4" spans="2:17" ht="14.4" customHeight="1" x14ac:dyDescent="0.3"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</row>
    <row r="5" spans="2:17" ht="14.4" customHeight="1" x14ac:dyDescent="0.3">
      <c r="C5" s="81"/>
      <c r="D5" s="98" t="s">
        <v>82</v>
      </c>
      <c r="E5" s="98"/>
      <c r="F5" s="98"/>
      <c r="G5" s="98"/>
      <c r="H5" s="98"/>
      <c r="I5" s="99"/>
      <c r="J5" s="80"/>
      <c r="K5" s="96" t="s">
        <v>83</v>
      </c>
      <c r="L5" s="96"/>
      <c r="M5" s="96"/>
      <c r="N5" s="96"/>
    </row>
    <row r="6" spans="2:17" x14ac:dyDescent="0.3">
      <c r="B6" t="s">
        <v>1</v>
      </c>
      <c r="C6" s="79" t="s">
        <v>87</v>
      </c>
      <c r="D6" s="75" t="s">
        <v>4</v>
      </c>
      <c r="E6" s="75" t="s">
        <v>5</v>
      </c>
      <c r="F6" s="75" t="s">
        <v>6</v>
      </c>
      <c r="G6" s="75" t="s">
        <v>7</v>
      </c>
      <c r="H6" s="75" t="s">
        <v>8</v>
      </c>
      <c r="I6" s="75" t="s">
        <v>79</v>
      </c>
      <c r="J6" s="75" t="s">
        <v>2</v>
      </c>
      <c r="K6" s="75" t="s">
        <v>84</v>
      </c>
      <c r="L6" s="75" t="s">
        <v>85</v>
      </c>
      <c r="M6" s="75" t="s">
        <v>86</v>
      </c>
      <c r="N6" s="75" t="s">
        <v>80</v>
      </c>
      <c r="O6" s="87" t="s">
        <v>1</v>
      </c>
    </row>
    <row r="7" spans="2:17" x14ac:dyDescent="0.3">
      <c r="C7" s="75">
        <v>0</v>
      </c>
      <c r="D7" s="76">
        <v>0</v>
      </c>
      <c r="E7" s="76">
        <v>0</v>
      </c>
      <c r="F7" s="76">
        <v>0</v>
      </c>
      <c r="G7" s="76">
        <v>0</v>
      </c>
      <c r="H7" s="76">
        <v>0.61719999999999997</v>
      </c>
      <c r="I7" s="76">
        <v>2.8690000000000002</v>
      </c>
      <c r="J7" s="75">
        <v>0</v>
      </c>
      <c r="K7" s="76">
        <v>4.0015000000000001</v>
      </c>
      <c r="L7" s="76">
        <v>4.7769000000000004</v>
      </c>
      <c r="M7" s="77" t="s">
        <v>81</v>
      </c>
      <c r="N7" s="76">
        <v>3.65</v>
      </c>
    </row>
    <row r="8" spans="2:17" x14ac:dyDescent="0.3">
      <c r="C8" s="75">
        <v>0.5</v>
      </c>
      <c r="D8" s="76">
        <v>0</v>
      </c>
      <c r="E8" s="76">
        <v>0</v>
      </c>
      <c r="F8" s="76">
        <v>1.3892</v>
      </c>
      <c r="G8" s="76">
        <v>3.5283000000000002</v>
      </c>
      <c r="H8" s="76">
        <v>4.3902999999999999</v>
      </c>
      <c r="I8" s="76">
        <v>4.9981</v>
      </c>
      <c r="J8" s="75">
        <v>0.5</v>
      </c>
      <c r="K8" s="76">
        <v>1.8902000000000001</v>
      </c>
      <c r="L8" s="76">
        <v>2.3365</v>
      </c>
      <c r="M8" s="77">
        <v>3.3460000000000001</v>
      </c>
      <c r="N8" s="76">
        <v>1.6992</v>
      </c>
    </row>
    <row r="9" spans="2:17" x14ac:dyDescent="0.3">
      <c r="C9" s="75">
        <v>1</v>
      </c>
      <c r="D9" s="76">
        <v>0</v>
      </c>
      <c r="E9" s="76">
        <v>2.9177</v>
      </c>
      <c r="F9" s="76">
        <v>4.2988</v>
      </c>
      <c r="G9" s="76">
        <v>4.9665999999999997</v>
      </c>
      <c r="H9" s="76">
        <v>5.2948000000000004</v>
      </c>
      <c r="I9" s="76">
        <v>5.3849999999999998</v>
      </c>
      <c r="J9" s="75">
        <v>1</v>
      </c>
      <c r="K9" s="76">
        <v>0.64029999999999998</v>
      </c>
      <c r="L9" s="76">
        <v>0.95</v>
      </c>
      <c r="M9" s="77">
        <v>1.6679999999999999</v>
      </c>
      <c r="N9" s="76">
        <v>0.5</v>
      </c>
    </row>
    <row r="10" spans="2:17" x14ac:dyDescent="0.3">
      <c r="C10" s="75">
        <v>1.5</v>
      </c>
      <c r="D10" s="76">
        <v>0</v>
      </c>
      <c r="E10" s="76">
        <v>4.2690999999999999</v>
      </c>
      <c r="F10" s="76">
        <v>5.0622999999999996</v>
      </c>
      <c r="G10" s="76">
        <v>5.2812000000000001</v>
      </c>
      <c r="H10" s="76">
        <v>5.3602999999999996</v>
      </c>
      <c r="I10" s="76">
        <v>5.3849999999999998</v>
      </c>
      <c r="J10" s="75">
        <v>1.5</v>
      </c>
      <c r="K10" s="76">
        <v>3.8300000000000001E-2</v>
      </c>
      <c r="L10" s="76">
        <v>0.223</v>
      </c>
      <c r="M10" s="77">
        <v>0.78400000000000003</v>
      </c>
      <c r="N10" s="76">
        <v>0</v>
      </c>
    </row>
    <row r="11" spans="2:17" x14ac:dyDescent="0.3">
      <c r="C11" s="75">
        <v>2</v>
      </c>
      <c r="D11" s="76">
        <v>2.3809999999999998</v>
      </c>
      <c r="E11" s="76">
        <v>5.0560999999999998</v>
      </c>
      <c r="F11" s="76">
        <v>5.3231000000000002</v>
      </c>
      <c r="G11" s="76">
        <v>5.3849999986950001</v>
      </c>
      <c r="H11" s="76">
        <v>5.3849999986950001</v>
      </c>
      <c r="I11" s="76">
        <v>5.3849999999999998</v>
      </c>
      <c r="J11" s="75">
        <v>2</v>
      </c>
      <c r="K11" s="76">
        <v>0</v>
      </c>
      <c r="L11" s="76">
        <v>1.0999999999999999E-2</v>
      </c>
      <c r="M11" s="77">
        <v>0.2</v>
      </c>
      <c r="N11" s="76">
        <v>0</v>
      </c>
    </row>
    <row r="12" spans="2:17" x14ac:dyDescent="0.3">
      <c r="C12" s="75">
        <v>3</v>
      </c>
      <c r="D12" s="76">
        <v>3.5219999999999998</v>
      </c>
      <c r="E12" s="76">
        <v>5.3063000000000002</v>
      </c>
      <c r="F12" s="76">
        <v>5.3849999986950001</v>
      </c>
      <c r="G12" s="76">
        <v>5.3849999986950001</v>
      </c>
      <c r="H12" s="76">
        <v>5.3849999986950001</v>
      </c>
      <c r="I12" s="76">
        <v>5.3849999999999998</v>
      </c>
      <c r="J12" s="75">
        <v>3</v>
      </c>
      <c r="K12" s="76">
        <v>0</v>
      </c>
      <c r="L12" s="76">
        <v>0</v>
      </c>
      <c r="M12" s="77">
        <v>0.03</v>
      </c>
      <c r="N12" s="76">
        <v>0</v>
      </c>
    </row>
    <row r="13" spans="2:17" x14ac:dyDescent="0.3">
      <c r="C13" s="75">
        <v>4</v>
      </c>
      <c r="D13" s="76">
        <v>3.5219999999999998</v>
      </c>
      <c r="E13" s="76">
        <v>5.3063000000000002</v>
      </c>
      <c r="F13" s="76">
        <v>5.3849999986950001</v>
      </c>
      <c r="G13" s="76">
        <v>5.3849999986950001</v>
      </c>
      <c r="H13" s="76">
        <v>5.3849999986950001</v>
      </c>
      <c r="I13" s="76">
        <v>5.3849999999999998</v>
      </c>
      <c r="J13" s="75">
        <v>4</v>
      </c>
      <c r="K13" s="76">
        <v>0</v>
      </c>
      <c r="L13" s="76">
        <v>0</v>
      </c>
      <c r="M13" s="77">
        <v>0.03</v>
      </c>
      <c r="N13" s="76">
        <v>0</v>
      </c>
      <c r="Q13" t="s">
        <v>1</v>
      </c>
    </row>
    <row r="14" spans="2:17" x14ac:dyDescent="0.3">
      <c r="C14" s="75">
        <v>5</v>
      </c>
      <c r="D14" s="76">
        <v>3.5219999999999998</v>
      </c>
      <c r="E14" s="76">
        <v>5.3063000000000002</v>
      </c>
      <c r="F14" s="76">
        <v>5.3849999986950001</v>
      </c>
      <c r="G14" s="76">
        <v>5.3849999986950001</v>
      </c>
      <c r="H14" s="76">
        <v>5.3849999986950001</v>
      </c>
      <c r="I14" s="76">
        <v>5.3849999999999998</v>
      </c>
      <c r="J14" s="75">
        <v>5</v>
      </c>
      <c r="K14" s="76">
        <v>0</v>
      </c>
      <c r="L14" s="76">
        <v>0</v>
      </c>
      <c r="M14" s="77">
        <v>0.03</v>
      </c>
      <c r="N14" s="76">
        <v>0</v>
      </c>
    </row>
    <row r="15" spans="2:17" x14ac:dyDescent="0.3">
      <c r="C15" s="75">
        <v>6</v>
      </c>
      <c r="D15" s="76">
        <v>3.5219999999999998</v>
      </c>
      <c r="E15" s="76">
        <v>5.3063000000000002</v>
      </c>
      <c r="F15" s="76">
        <v>5.3849999986950001</v>
      </c>
      <c r="G15" s="76">
        <v>5.3849999986950001</v>
      </c>
      <c r="H15" s="76">
        <v>5.3849999986950001</v>
      </c>
      <c r="I15" s="76">
        <v>5.3849999999999998</v>
      </c>
      <c r="J15" s="75">
        <v>6</v>
      </c>
      <c r="K15" s="76">
        <v>0</v>
      </c>
      <c r="L15" s="76">
        <v>0</v>
      </c>
      <c r="M15" s="77">
        <v>0.03</v>
      </c>
      <c r="N15" s="76">
        <v>0</v>
      </c>
    </row>
    <row r="16" spans="2:17" x14ac:dyDescent="0.3">
      <c r="C16" s="75">
        <v>7</v>
      </c>
      <c r="D16" s="76">
        <v>3.5219999999999998</v>
      </c>
      <c r="E16" s="76">
        <v>5.3063000000000002</v>
      </c>
      <c r="F16" s="76">
        <v>5.3849999986950001</v>
      </c>
      <c r="G16" s="76">
        <v>5.3849999986950001</v>
      </c>
      <c r="H16" s="76">
        <v>5.3849999986950001</v>
      </c>
      <c r="I16" s="76">
        <v>5.3849999999999998</v>
      </c>
      <c r="J16" s="75">
        <v>7</v>
      </c>
      <c r="K16" s="76">
        <v>0</v>
      </c>
      <c r="L16" s="76">
        <v>0</v>
      </c>
      <c r="M16" s="77">
        <v>0.03</v>
      </c>
      <c r="N16" s="76">
        <v>0</v>
      </c>
    </row>
    <row r="17" spans="3:17" x14ac:dyDescent="0.3">
      <c r="C17" s="75">
        <v>8</v>
      </c>
      <c r="D17" s="76">
        <v>2.4274</v>
      </c>
      <c r="E17" s="76">
        <v>4.7549999999999999</v>
      </c>
      <c r="F17" s="76">
        <v>5.1048</v>
      </c>
      <c r="G17" s="76">
        <v>5.2366000000000001</v>
      </c>
      <c r="H17" s="76">
        <v>5.31</v>
      </c>
      <c r="I17" s="76">
        <v>5.3849999999999998</v>
      </c>
      <c r="J17" s="75">
        <v>8</v>
      </c>
      <c r="K17" s="76">
        <v>0</v>
      </c>
      <c r="L17" s="76">
        <v>4.1000000000000002E-2</v>
      </c>
      <c r="M17" s="77">
        <v>0.373</v>
      </c>
      <c r="N17" s="76">
        <v>0</v>
      </c>
    </row>
    <row r="18" spans="3:17" x14ac:dyDescent="0.3">
      <c r="C18" s="75">
        <v>8.5</v>
      </c>
      <c r="D18" s="76">
        <v>1.0129999999999999</v>
      </c>
      <c r="E18" s="76">
        <v>4.0526999999999997</v>
      </c>
      <c r="F18" s="76">
        <v>4.6696999999999997</v>
      </c>
      <c r="G18" s="76">
        <v>4.9218999999999999</v>
      </c>
      <c r="H18" s="76">
        <v>5.109</v>
      </c>
      <c r="I18" s="76">
        <v>5.2485999999999997</v>
      </c>
      <c r="J18" s="75">
        <v>8.5</v>
      </c>
      <c r="K18" s="76">
        <v>2.4E-2</v>
      </c>
      <c r="L18" s="76">
        <v>0.23699999999999999</v>
      </c>
      <c r="M18" s="77">
        <v>0.93600000000000005</v>
      </c>
      <c r="N18" s="76">
        <v>0</v>
      </c>
    </row>
    <row r="19" spans="3:17" x14ac:dyDescent="0.3">
      <c r="C19" s="75">
        <v>9</v>
      </c>
      <c r="D19" s="76">
        <v>0</v>
      </c>
      <c r="E19" s="76">
        <v>3.0417999999999998</v>
      </c>
      <c r="F19" s="76">
        <v>3.7605</v>
      </c>
      <c r="G19" s="76">
        <v>4.0705999999999998</v>
      </c>
      <c r="H19" s="76">
        <v>4.3037000000000001</v>
      </c>
      <c r="I19" s="76">
        <v>4.5559000000000003</v>
      </c>
      <c r="J19" s="75">
        <v>9</v>
      </c>
      <c r="K19" s="76">
        <v>0.2505</v>
      </c>
      <c r="L19" s="76">
        <v>0.70099999999999996</v>
      </c>
      <c r="M19" s="77">
        <v>2.718</v>
      </c>
      <c r="N19" s="76">
        <v>0</v>
      </c>
    </row>
    <row r="20" spans="3:17" x14ac:dyDescent="0.3">
      <c r="C20" s="75">
        <v>9.5</v>
      </c>
      <c r="D20" s="76">
        <v>0</v>
      </c>
      <c r="E20" s="76">
        <v>1.4650000000000001</v>
      </c>
      <c r="F20" s="76">
        <v>2.161</v>
      </c>
      <c r="G20" s="76">
        <v>2.5228999999999999</v>
      </c>
      <c r="H20" s="76">
        <v>2.8018999999999998</v>
      </c>
      <c r="I20" s="76">
        <v>3.1480000000000001</v>
      </c>
      <c r="J20" s="75">
        <v>9.5</v>
      </c>
      <c r="K20" s="76">
        <v>0.85</v>
      </c>
      <c r="L20" s="76">
        <v>3.411</v>
      </c>
      <c r="M20" s="77" t="s">
        <v>81</v>
      </c>
      <c r="N20" s="76">
        <v>2.8000000000000001E-2</v>
      </c>
    </row>
    <row r="21" spans="3:17" x14ac:dyDescent="0.3">
      <c r="C21" s="75">
        <v>10</v>
      </c>
      <c r="D21" s="76">
        <v>0</v>
      </c>
      <c r="E21" s="76">
        <v>0</v>
      </c>
      <c r="F21" s="76">
        <v>0</v>
      </c>
      <c r="G21" s="76">
        <v>0</v>
      </c>
      <c r="H21" s="76">
        <v>0</v>
      </c>
      <c r="I21" s="76">
        <v>0.58889999999999998</v>
      </c>
      <c r="J21" s="75">
        <v>10</v>
      </c>
      <c r="K21" s="76" t="s">
        <v>81</v>
      </c>
      <c r="L21" s="76" t="s">
        <v>81</v>
      </c>
      <c r="M21" s="77" t="s">
        <v>81</v>
      </c>
      <c r="N21" s="76">
        <v>3.6852999999999998</v>
      </c>
    </row>
    <row r="24" spans="3:17" ht="15" customHeight="1" thickBot="1" x14ac:dyDescent="0.35">
      <c r="C24" s="97" t="s">
        <v>78</v>
      </c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</row>
    <row r="25" spans="3:17" ht="14.4" customHeight="1" thickBot="1" x14ac:dyDescent="0.35"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Q25" s="82">
        <v>1000</v>
      </c>
    </row>
    <row r="26" spans="3:17" ht="14.4" customHeight="1" x14ac:dyDescent="0.3"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</row>
    <row r="27" spans="3:17" ht="14.4" customHeight="1" x14ac:dyDescent="0.3">
      <c r="C27" s="81"/>
      <c r="D27" s="98" t="s">
        <v>82</v>
      </c>
      <c r="E27" s="98"/>
      <c r="F27" s="98"/>
      <c r="G27" s="98"/>
      <c r="H27" s="98"/>
      <c r="I27" s="99"/>
      <c r="J27" s="80"/>
      <c r="K27" s="96" t="s">
        <v>83</v>
      </c>
      <c r="L27" s="96"/>
      <c r="M27" s="96"/>
      <c r="N27" s="96"/>
    </row>
    <row r="28" spans="3:17" x14ac:dyDescent="0.3">
      <c r="C28" s="79" t="s">
        <v>87</v>
      </c>
      <c r="D28" s="75" t="s">
        <v>4</v>
      </c>
      <c r="E28" s="75" t="s">
        <v>5</v>
      </c>
      <c r="F28" s="75" t="s">
        <v>6</v>
      </c>
      <c r="G28" s="75" t="s">
        <v>7</v>
      </c>
      <c r="H28" s="75" t="s">
        <v>8</v>
      </c>
      <c r="I28" s="75" t="s">
        <v>79</v>
      </c>
      <c r="J28" s="75" t="s">
        <v>2</v>
      </c>
      <c r="K28" s="75" t="s">
        <v>84</v>
      </c>
      <c r="L28" s="75" t="s">
        <v>85</v>
      </c>
      <c r="M28" s="75" t="s">
        <v>86</v>
      </c>
      <c r="N28" s="75" t="s">
        <v>80</v>
      </c>
    </row>
    <row r="29" spans="3:17" x14ac:dyDescent="0.3">
      <c r="C29" s="75">
        <v>0</v>
      </c>
      <c r="D29" s="78">
        <f>D7*$Q$25</f>
        <v>0</v>
      </c>
      <c r="E29" s="78">
        <f t="shared" ref="E29:N29" si="0">E7*$Q$25</f>
        <v>0</v>
      </c>
      <c r="F29" s="78">
        <f t="shared" si="0"/>
        <v>0</v>
      </c>
      <c r="G29" s="78">
        <f t="shared" si="0"/>
        <v>0</v>
      </c>
      <c r="H29" s="78">
        <f t="shared" si="0"/>
        <v>617.19999999999993</v>
      </c>
      <c r="I29" s="78">
        <f t="shared" si="0"/>
        <v>2869</v>
      </c>
      <c r="J29" s="75">
        <v>0</v>
      </c>
      <c r="K29" s="78">
        <f t="shared" si="0"/>
        <v>4001.5</v>
      </c>
      <c r="L29" s="78">
        <f t="shared" si="0"/>
        <v>4776.9000000000005</v>
      </c>
      <c r="M29" s="78" t="s">
        <v>81</v>
      </c>
      <c r="N29" s="78">
        <f t="shared" si="0"/>
        <v>3650</v>
      </c>
    </row>
    <row r="30" spans="3:17" x14ac:dyDescent="0.3">
      <c r="C30" s="75">
        <v>0.5</v>
      </c>
      <c r="D30" s="78">
        <f t="shared" ref="D30:N43" si="1">D8*$Q$25</f>
        <v>0</v>
      </c>
      <c r="E30" s="78">
        <f t="shared" si="1"/>
        <v>0</v>
      </c>
      <c r="F30" s="78">
        <f t="shared" si="1"/>
        <v>1389.2</v>
      </c>
      <c r="G30" s="78">
        <f t="shared" si="1"/>
        <v>3528.3</v>
      </c>
      <c r="H30" s="78">
        <f t="shared" si="1"/>
        <v>4390.3</v>
      </c>
      <c r="I30" s="78">
        <f t="shared" si="1"/>
        <v>4998.1000000000004</v>
      </c>
      <c r="J30" s="75">
        <v>0.5</v>
      </c>
      <c r="K30" s="78">
        <f t="shared" si="1"/>
        <v>1890.2</v>
      </c>
      <c r="L30" s="78">
        <f t="shared" si="1"/>
        <v>2336.5</v>
      </c>
      <c r="M30" s="78">
        <f t="shared" si="1"/>
        <v>3346</v>
      </c>
      <c r="N30" s="78">
        <f t="shared" si="1"/>
        <v>1699.2</v>
      </c>
    </row>
    <row r="31" spans="3:17" x14ac:dyDescent="0.3">
      <c r="C31" s="75">
        <v>1</v>
      </c>
      <c r="D31" s="78">
        <f t="shared" si="1"/>
        <v>0</v>
      </c>
      <c r="E31" s="78">
        <f t="shared" si="1"/>
        <v>2917.7</v>
      </c>
      <c r="F31" s="78">
        <f t="shared" si="1"/>
        <v>4298.8</v>
      </c>
      <c r="G31" s="78">
        <f t="shared" si="1"/>
        <v>4966.5999999999995</v>
      </c>
      <c r="H31" s="78">
        <f t="shared" si="1"/>
        <v>5294.8</v>
      </c>
      <c r="I31" s="78">
        <f t="shared" si="1"/>
        <v>5385</v>
      </c>
      <c r="J31" s="75">
        <v>1</v>
      </c>
      <c r="K31" s="78">
        <f t="shared" si="1"/>
        <v>640.29999999999995</v>
      </c>
      <c r="L31" s="78">
        <f t="shared" si="1"/>
        <v>950</v>
      </c>
      <c r="M31" s="78">
        <f t="shared" si="1"/>
        <v>1668</v>
      </c>
      <c r="N31" s="78">
        <f t="shared" si="1"/>
        <v>500</v>
      </c>
    </row>
    <row r="32" spans="3:17" x14ac:dyDescent="0.3">
      <c r="C32" s="75">
        <v>1.5</v>
      </c>
      <c r="D32" s="78">
        <f t="shared" si="1"/>
        <v>0</v>
      </c>
      <c r="E32" s="78">
        <f t="shared" si="1"/>
        <v>4269.0999999999995</v>
      </c>
      <c r="F32" s="78">
        <f t="shared" si="1"/>
        <v>5062.2999999999993</v>
      </c>
      <c r="G32" s="78">
        <f t="shared" si="1"/>
        <v>5281.2</v>
      </c>
      <c r="H32" s="78">
        <f t="shared" si="1"/>
        <v>5360.2999999999993</v>
      </c>
      <c r="I32" s="78">
        <f t="shared" si="1"/>
        <v>5385</v>
      </c>
      <c r="J32" s="75">
        <v>1.5</v>
      </c>
      <c r="K32" s="78">
        <f t="shared" si="1"/>
        <v>38.299999999999997</v>
      </c>
      <c r="L32" s="78">
        <f t="shared" si="1"/>
        <v>223</v>
      </c>
      <c r="M32" s="78">
        <f t="shared" si="1"/>
        <v>784</v>
      </c>
      <c r="N32" s="78">
        <f t="shared" si="1"/>
        <v>0</v>
      </c>
    </row>
    <row r="33" spans="3:14" x14ac:dyDescent="0.3">
      <c r="C33" s="75">
        <v>2</v>
      </c>
      <c r="D33" s="78">
        <f t="shared" si="1"/>
        <v>2381</v>
      </c>
      <c r="E33" s="78">
        <f t="shared" si="1"/>
        <v>5056.0999999999995</v>
      </c>
      <c r="F33" s="78">
        <f>F11*$Q$25</f>
        <v>5323.1</v>
      </c>
      <c r="G33" s="78">
        <f t="shared" si="1"/>
        <v>5384.9999986949997</v>
      </c>
      <c r="H33" s="78">
        <f t="shared" si="1"/>
        <v>5384.9999986949997</v>
      </c>
      <c r="I33" s="78">
        <f t="shared" si="1"/>
        <v>5385</v>
      </c>
      <c r="J33" s="75">
        <v>2</v>
      </c>
      <c r="K33" s="78">
        <f t="shared" si="1"/>
        <v>0</v>
      </c>
      <c r="L33" s="78">
        <f t="shared" si="1"/>
        <v>11</v>
      </c>
      <c r="M33" s="78">
        <f t="shared" si="1"/>
        <v>200</v>
      </c>
      <c r="N33" s="78">
        <f t="shared" si="1"/>
        <v>0</v>
      </c>
    </row>
    <row r="34" spans="3:14" x14ac:dyDescent="0.3">
      <c r="C34" s="75">
        <v>3</v>
      </c>
      <c r="D34" s="78">
        <f t="shared" si="1"/>
        <v>3522</v>
      </c>
      <c r="E34" s="78">
        <f t="shared" si="1"/>
        <v>5306.3</v>
      </c>
      <c r="F34" s="78">
        <f t="shared" si="1"/>
        <v>5384.9999986949997</v>
      </c>
      <c r="G34" s="78">
        <f t="shared" si="1"/>
        <v>5384.9999986949997</v>
      </c>
      <c r="H34" s="78">
        <f t="shared" si="1"/>
        <v>5384.9999986949997</v>
      </c>
      <c r="I34" s="78">
        <f t="shared" si="1"/>
        <v>5385</v>
      </c>
      <c r="J34" s="75">
        <v>3</v>
      </c>
      <c r="K34" s="78">
        <f t="shared" si="1"/>
        <v>0</v>
      </c>
      <c r="L34" s="78">
        <f t="shared" si="1"/>
        <v>0</v>
      </c>
      <c r="M34" s="78">
        <f t="shared" si="1"/>
        <v>30</v>
      </c>
      <c r="N34" s="78">
        <f t="shared" si="1"/>
        <v>0</v>
      </c>
    </row>
    <row r="35" spans="3:14" x14ac:dyDescent="0.3">
      <c r="C35" s="75">
        <v>4</v>
      </c>
      <c r="D35" s="78">
        <f t="shared" si="1"/>
        <v>3522</v>
      </c>
      <c r="E35" s="78">
        <f t="shared" si="1"/>
        <v>5306.3</v>
      </c>
      <c r="F35" s="78">
        <f t="shared" si="1"/>
        <v>5384.9999986949997</v>
      </c>
      <c r="G35" s="78">
        <f t="shared" si="1"/>
        <v>5384.9999986949997</v>
      </c>
      <c r="H35" s="78">
        <f t="shared" si="1"/>
        <v>5384.9999986949997</v>
      </c>
      <c r="I35" s="78">
        <f t="shared" si="1"/>
        <v>5385</v>
      </c>
      <c r="J35" s="75">
        <v>4</v>
      </c>
      <c r="K35" s="78">
        <f t="shared" si="1"/>
        <v>0</v>
      </c>
      <c r="L35" s="78">
        <f t="shared" si="1"/>
        <v>0</v>
      </c>
      <c r="M35" s="78">
        <f t="shared" si="1"/>
        <v>30</v>
      </c>
      <c r="N35" s="78">
        <f t="shared" si="1"/>
        <v>0</v>
      </c>
    </row>
    <row r="36" spans="3:14" x14ac:dyDescent="0.3">
      <c r="C36" s="75">
        <v>5</v>
      </c>
      <c r="D36" s="78">
        <f t="shared" si="1"/>
        <v>3522</v>
      </c>
      <c r="E36" s="78">
        <f t="shared" si="1"/>
        <v>5306.3</v>
      </c>
      <c r="F36" s="78">
        <f t="shared" si="1"/>
        <v>5384.9999986949997</v>
      </c>
      <c r="G36" s="78">
        <f t="shared" si="1"/>
        <v>5384.9999986949997</v>
      </c>
      <c r="H36" s="78">
        <f t="shared" si="1"/>
        <v>5384.9999986949997</v>
      </c>
      <c r="I36" s="78">
        <f t="shared" si="1"/>
        <v>5385</v>
      </c>
      <c r="J36" s="75">
        <v>5</v>
      </c>
      <c r="K36" s="78">
        <f t="shared" si="1"/>
        <v>0</v>
      </c>
      <c r="L36" s="78">
        <f t="shared" si="1"/>
        <v>0</v>
      </c>
      <c r="M36" s="78">
        <f t="shared" si="1"/>
        <v>30</v>
      </c>
      <c r="N36" s="78">
        <f t="shared" si="1"/>
        <v>0</v>
      </c>
    </row>
    <row r="37" spans="3:14" x14ac:dyDescent="0.3">
      <c r="C37" s="75">
        <v>6</v>
      </c>
      <c r="D37" s="78">
        <f t="shared" si="1"/>
        <v>3522</v>
      </c>
      <c r="E37" s="78">
        <f t="shared" si="1"/>
        <v>5306.3</v>
      </c>
      <c r="F37" s="78">
        <f t="shared" si="1"/>
        <v>5384.9999986949997</v>
      </c>
      <c r="G37" s="78">
        <f t="shared" si="1"/>
        <v>5384.9999986949997</v>
      </c>
      <c r="H37" s="78">
        <f t="shared" si="1"/>
        <v>5384.9999986949997</v>
      </c>
      <c r="I37" s="78">
        <f t="shared" si="1"/>
        <v>5385</v>
      </c>
      <c r="J37" s="75">
        <v>6</v>
      </c>
      <c r="K37" s="78">
        <f t="shared" si="1"/>
        <v>0</v>
      </c>
      <c r="L37" s="78">
        <f t="shared" si="1"/>
        <v>0</v>
      </c>
      <c r="M37" s="78">
        <f t="shared" si="1"/>
        <v>30</v>
      </c>
      <c r="N37" s="78">
        <f t="shared" si="1"/>
        <v>0</v>
      </c>
    </row>
    <row r="38" spans="3:14" x14ac:dyDescent="0.3">
      <c r="C38" s="75">
        <v>7</v>
      </c>
      <c r="D38" s="78">
        <f t="shared" si="1"/>
        <v>3522</v>
      </c>
      <c r="E38" s="78">
        <f t="shared" si="1"/>
        <v>5306.3</v>
      </c>
      <c r="F38" s="78">
        <f t="shared" si="1"/>
        <v>5384.9999986949997</v>
      </c>
      <c r="G38" s="78">
        <f t="shared" si="1"/>
        <v>5384.9999986949997</v>
      </c>
      <c r="H38" s="78">
        <f t="shared" si="1"/>
        <v>5384.9999986949997</v>
      </c>
      <c r="I38" s="78">
        <f t="shared" si="1"/>
        <v>5385</v>
      </c>
      <c r="J38" s="75">
        <v>7</v>
      </c>
      <c r="K38" s="78">
        <f t="shared" si="1"/>
        <v>0</v>
      </c>
      <c r="L38" s="78">
        <f t="shared" si="1"/>
        <v>0</v>
      </c>
      <c r="M38" s="78">
        <f t="shared" si="1"/>
        <v>30</v>
      </c>
      <c r="N38" s="78">
        <f t="shared" si="1"/>
        <v>0</v>
      </c>
    </row>
    <row r="39" spans="3:14" x14ac:dyDescent="0.3">
      <c r="C39" s="75">
        <v>8</v>
      </c>
      <c r="D39" s="78">
        <f t="shared" si="1"/>
        <v>2427.4</v>
      </c>
      <c r="E39" s="78">
        <f t="shared" si="1"/>
        <v>4755</v>
      </c>
      <c r="F39" s="78">
        <f t="shared" si="1"/>
        <v>5104.8</v>
      </c>
      <c r="G39" s="78">
        <f t="shared" si="1"/>
        <v>5236.6000000000004</v>
      </c>
      <c r="H39" s="78">
        <f t="shared" si="1"/>
        <v>5310</v>
      </c>
      <c r="I39" s="78">
        <f t="shared" si="1"/>
        <v>5385</v>
      </c>
      <c r="J39" s="75">
        <v>8</v>
      </c>
      <c r="K39" s="78">
        <f t="shared" si="1"/>
        <v>0</v>
      </c>
      <c r="L39" s="78">
        <f t="shared" si="1"/>
        <v>41</v>
      </c>
      <c r="M39" s="78">
        <f t="shared" si="1"/>
        <v>373</v>
      </c>
      <c r="N39" s="78">
        <f t="shared" si="1"/>
        <v>0</v>
      </c>
    </row>
    <row r="40" spans="3:14" x14ac:dyDescent="0.3">
      <c r="C40" s="75">
        <v>8.5</v>
      </c>
      <c r="D40" s="78">
        <v>1013</v>
      </c>
      <c r="E40" s="78">
        <f t="shared" si="1"/>
        <v>4052.7</v>
      </c>
      <c r="F40" s="78">
        <f t="shared" si="1"/>
        <v>4669.7</v>
      </c>
      <c r="G40" s="78">
        <f t="shared" si="1"/>
        <v>4921.8999999999996</v>
      </c>
      <c r="H40" s="78">
        <f t="shared" si="1"/>
        <v>5109</v>
      </c>
      <c r="I40" s="78">
        <f t="shared" si="1"/>
        <v>5248.5999999999995</v>
      </c>
      <c r="J40" s="75">
        <v>8.5</v>
      </c>
      <c r="K40" s="78">
        <f t="shared" si="1"/>
        <v>24</v>
      </c>
      <c r="L40" s="78">
        <f t="shared" si="1"/>
        <v>237</v>
      </c>
      <c r="M40" s="78">
        <f t="shared" si="1"/>
        <v>936</v>
      </c>
      <c r="N40" s="78">
        <f>N18*$Q$25</f>
        <v>0</v>
      </c>
    </row>
    <row r="41" spans="3:14" x14ac:dyDescent="0.3">
      <c r="C41" s="75">
        <v>9</v>
      </c>
      <c r="D41" s="78">
        <f t="shared" si="1"/>
        <v>0</v>
      </c>
      <c r="E41" s="78">
        <f t="shared" si="1"/>
        <v>3041.7999999999997</v>
      </c>
      <c r="F41" s="78">
        <f t="shared" si="1"/>
        <v>3760.5</v>
      </c>
      <c r="G41" s="78">
        <f t="shared" si="1"/>
        <v>4070.6</v>
      </c>
      <c r="H41" s="78">
        <f t="shared" si="1"/>
        <v>4303.7</v>
      </c>
      <c r="I41" s="78">
        <f t="shared" si="1"/>
        <v>4555.9000000000005</v>
      </c>
      <c r="J41" s="75">
        <v>9</v>
      </c>
      <c r="K41" s="78">
        <f t="shared" si="1"/>
        <v>250.5</v>
      </c>
      <c r="L41" s="78">
        <f t="shared" si="1"/>
        <v>701</v>
      </c>
      <c r="M41" s="78">
        <f t="shared" si="1"/>
        <v>2718</v>
      </c>
      <c r="N41" s="78">
        <f t="shared" si="1"/>
        <v>0</v>
      </c>
    </row>
    <row r="42" spans="3:14" x14ac:dyDescent="0.3">
      <c r="C42" s="75">
        <v>9.5</v>
      </c>
      <c r="D42" s="78">
        <f t="shared" si="1"/>
        <v>0</v>
      </c>
      <c r="E42" s="78">
        <f t="shared" si="1"/>
        <v>1465</v>
      </c>
      <c r="F42" s="78">
        <f t="shared" si="1"/>
        <v>2161</v>
      </c>
      <c r="G42" s="78">
        <f t="shared" si="1"/>
        <v>2522.9</v>
      </c>
      <c r="H42" s="78">
        <f t="shared" si="1"/>
        <v>2801.8999999999996</v>
      </c>
      <c r="I42" s="78">
        <f t="shared" si="1"/>
        <v>3148</v>
      </c>
      <c r="J42" s="75">
        <v>9.5</v>
      </c>
      <c r="K42" s="78">
        <f t="shared" si="1"/>
        <v>850</v>
      </c>
      <c r="L42" s="78">
        <f t="shared" si="1"/>
        <v>3411</v>
      </c>
      <c r="M42" s="78" t="s">
        <v>81</v>
      </c>
      <c r="N42" s="78">
        <f t="shared" si="1"/>
        <v>28</v>
      </c>
    </row>
    <row r="43" spans="3:14" x14ac:dyDescent="0.3">
      <c r="C43" s="75">
        <v>10</v>
      </c>
      <c r="D43" s="78">
        <f t="shared" si="1"/>
        <v>0</v>
      </c>
      <c r="E43" s="78">
        <f t="shared" si="1"/>
        <v>0</v>
      </c>
      <c r="F43" s="78">
        <f t="shared" si="1"/>
        <v>0</v>
      </c>
      <c r="G43" s="78">
        <f t="shared" si="1"/>
        <v>0</v>
      </c>
      <c r="H43" s="78">
        <f t="shared" si="1"/>
        <v>0</v>
      </c>
      <c r="I43" s="78">
        <f t="shared" si="1"/>
        <v>588.9</v>
      </c>
      <c r="J43" s="75">
        <v>10</v>
      </c>
      <c r="K43" s="78" t="s">
        <v>81</v>
      </c>
      <c r="L43" s="78" t="s">
        <v>81</v>
      </c>
      <c r="M43" s="78" t="s">
        <v>81</v>
      </c>
      <c r="N43" s="78">
        <f t="shared" si="1"/>
        <v>3685.2999999999997</v>
      </c>
    </row>
  </sheetData>
  <mergeCells count="6">
    <mergeCell ref="K5:N5"/>
    <mergeCell ref="C2:N4"/>
    <mergeCell ref="D5:I5"/>
    <mergeCell ref="C24:N26"/>
    <mergeCell ref="D27:I27"/>
    <mergeCell ref="K27:N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1265D-89D2-453B-94AD-C7D1BE4051FE}">
  <dimension ref="B1:AK26"/>
  <sheetViews>
    <sheetView tabSelected="1" zoomScale="70" zoomScaleNormal="70" workbookViewId="0">
      <selection activeCell="P6" sqref="P6"/>
    </sheetView>
  </sheetViews>
  <sheetFormatPr defaultColWidth="8.88671875" defaultRowHeight="14.4" x14ac:dyDescent="0.3"/>
  <cols>
    <col min="1" max="3" width="8.88671875" style="10"/>
    <col min="4" max="4" width="13.33203125" style="10" customWidth="1"/>
    <col min="5" max="7" width="8.88671875" style="10"/>
    <col min="8" max="8" width="13.33203125" style="10" customWidth="1"/>
    <col min="9" max="15" width="8.88671875" style="10"/>
    <col min="16" max="16" width="8.88671875" style="88"/>
    <col min="17" max="32" width="8.88671875" style="10"/>
    <col min="33" max="33" width="8.88671875" style="10" customWidth="1"/>
    <col min="34" max="16384" width="8.88671875" style="10"/>
  </cols>
  <sheetData>
    <row r="1" spans="2:37" x14ac:dyDescent="0.3">
      <c r="N1" s="11"/>
    </row>
    <row r="2" spans="2:37" ht="14.4" customHeight="1" x14ac:dyDescent="0.3">
      <c r="B2" s="119" t="s">
        <v>62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90"/>
    </row>
    <row r="3" spans="2:37" ht="21.6" customHeight="1" x14ac:dyDescent="0.3"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90" t="s">
        <v>1</v>
      </c>
      <c r="AJ3" s="120" t="s">
        <v>90</v>
      </c>
      <c r="AK3" s="94"/>
    </row>
    <row r="4" spans="2:37" ht="14.4" customHeight="1" x14ac:dyDescent="0.3"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90" t="s">
        <v>1</v>
      </c>
      <c r="AJ4" s="120"/>
      <c r="AK4" s="94"/>
    </row>
    <row r="5" spans="2:37" ht="15.6" x14ac:dyDescent="0.35">
      <c r="B5" s="40" t="s">
        <v>63</v>
      </c>
      <c r="C5" s="40" t="s">
        <v>64</v>
      </c>
      <c r="D5" s="40" t="s">
        <v>20</v>
      </c>
      <c r="E5" s="40" t="s">
        <v>65</v>
      </c>
      <c r="F5" s="40" t="s">
        <v>66</v>
      </c>
      <c r="G5" s="40" t="s">
        <v>67</v>
      </c>
      <c r="H5" s="40" t="s">
        <v>88</v>
      </c>
      <c r="I5" s="40" t="s">
        <v>47</v>
      </c>
      <c r="J5" s="40" t="s">
        <v>68</v>
      </c>
      <c r="K5" s="40" t="s">
        <v>48</v>
      </c>
      <c r="L5" s="85" t="s">
        <v>23</v>
      </c>
      <c r="M5" s="85" t="s">
        <v>24</v>
      </c>
      <c r="N5" s="85" t="s">
        <v>25</v>
      </c>
      <c r="O5" s="85" t="s">
        <v>27</v>
      </c>
      <c r="Y5" s="3" t="s">
        <v>69</v>
      </c>
      <c r="Z5" s="3" t="s">
        <v>89</v>
      </c>
      <c r="AA5" s="3" t="s">
        <v>70</v>
      </c>
      <c r="AB5" s="12" t="s">
        <v>71</v>
      </c>
      <c r="AC5" s="3" t="s">
        <v>72</v>
      </c>
      <c r="AD5" s="3" t="s">
        <v>73</v>
      </c>
      <c r="AE5" s="9" t="s">
        <v>74</v>
      </c>
      <c r="AF5" s="9" t="s">
        <v>75</v>
      </c>
      <c r="AG5" s="9" t="s">
        <v>76</v>
      </c>
      <c r="AH5" s="9" t="s">
        <v>77</v>
      </c>
      <c r="AI5" s="95" t="s">
        <v>64</v>
      </c>
      <c r="AJ5" s="93">
        <v>32.274999999999999</v>
      </c>
    </row>
    <row r="6" spans="2:37" x14ac:dyDescent="0.3">
      <c r="B6" s="71">
        <v>4</v>
      </c>
      <c r="C6" s="71">
        <f>C9*4</f>
        <v>3.8</v>
      </c>
      <c r="D6" s="71">
        <f>'WL 4 Displacement'!T27</f>
        <v>2127.2493164374869</v>
      </c>
      <c r="E6" s="71">
        <f>'WL 4 Displacement'!F33</f>
        <v>2.0446179580949435</v>
      </c>
      <c r="F6" s="71">
        <f>'WL 4 Displacement'!T28</f>
        <v>-0.13435038428261217</v>
      </c>
      <c r="G6" s="71">
        <f>'WL 4 Metacenter'!E23</f>
        <v>2.6794403010344476</v>
      </c>
      <c r="H6" s="71">
        <f>'WL 4 Metacenter'!E25</f>
        <v>-0.95882401845989451</v>
      </c>
      <c r="I6" s="71">
        <f>'WL 4 Metacenter'!E26</f>
        <v>6.3445162190172253</v>
      </c>
      <c r="J6" s="71">
        <f>'WL 4 Metacenter'!J25</f>
        <v>88.004642033209493</v>
      </c>
      <c r="K6" s="71">
        <f>'WL 4 Metacenter'!J26</f>
        <v>28.47700252638738</v>
      </c>
      <c r="L6" s="84">
        <f>'WL 4 Displacement'!T29</f>
        <v>0.80523537596412498</v>
      </c>
      <c r="M6" s="73">
        <f>'WL 4 Displacement'!T30</f>
        <v>0.91261281322910859</v>
      </c>
      <c r="N6" s="72">
        <f>'WL 4 Displacement'!T31</f>
        <v>0.96629835949961318</v>
      </c>
      <c r="O6" s="72">
        <f>'WL 4 Displacement'!T32</f>
        <v>0.83331961401766963</v>
      </c>
      <c r="Y6" s="13">
        <f>AJ6+F6</f>
        <v>32.140649615717386</v>
      </c>
      <c r="Z6" s="13">
        <f>AJ6+H6</f>
        <v>31.316175981540106</v>
      </c>
      <c r="AA6" s="13">
        <f>G6*2</f>
        <v>5.3588806020688953</v>
      </c>
      <c r="AB6" s="14">
        <f>D6/100</f>
        <v>21.272493164374868</v>
      </c>
      <c r="AC6" s="14">
        <f>2*I6</f>
        <v>12.689032438034451</v>
      </c>
      <c r="AD6" s="14">
        <f>J6/10</f>
        <v>8.8004642033209493</v>
      </c>
      <c r="AE6" s="14">
        <f t="shared" ref="AE6:AH9" si="0">10*L6</f>
        <v>8.0523537596412496</v>
      </c>
      <c r="AF6" s="14">
        <f t="shared" si="0"/>
        <v>9.1261281322910861</v>
      </c>
      <c r="AG6" s="14">
        <f t="shared" si="0"/>
        <v>9.6629835949961311</v>
      </c>
      <c r="AH6" s="14">
        <f t="shared" si="0"/>
        <v>8.3331961401766961</v>
      </c>
      <c r="AI6" s="13">
        <f>AI9*4</f>
        <v>3.8</v>
      </c>
      <c r="AJ6" s="4">
        <v>32.274999999999999</v>
      </c>
    </row>
    <row r="7" spans="2:37" x14ac:dyDescent="0.3">
      <c r="B7" s="71">
        <v>3</v>
      </c>
      <c r="C7" s="71">
        <f>C9*3</f>
        <v>2.8499999999999996</v>
      </c>
      <c r="D7" s="71">
        <f>'WL 3 Displacement'!R27</f>
        <v>1523.798356487707</v>
      </c>
      <c r="E7" s="71">
        <f>'WL 3 Displacement'!F33</f>
        <v>1.5530585499602034</v>
      </c>
      <c r="F7" s="71">
        <f>'WL 3 Displacement'!R28</f>
        <v>0.1760368762927029</v>
      </c>
      <c r="G7" s="71">
        <f>'WL 3 Metacenter'!F23</f>
        <v>3.5687986966481078</v>
      </c>
      <c r="H7" s="71">
        <f>'WL 3 Metacenter'!F25</f>
        <v>-0.71073748124332226</v>
      </c>
      <c r="I7" s="71">
        <f>'WL 3 Metacenter'!F26</f>
        <v>6.1812305390172266</v>
      </c>
      <c r="J7" s="71">
        <f>'WL 3 Metacenter'!K25</f>
        <v>114.74760090248159</v>
      </c>
      <c r="K7" s="71">
        <f>'WL 3 Metacenter'!K26</f>
        <v>26.597536608778341</v>
      </c>
      <c r="L7" s="72">
        <f>'WL 3 Displacement'!R29</f>
        <v>0.76907853599080955</v>
      </c>
      <c r="M7" s="73">
        <f>'WL 3 Displacement'!R30</f>
        <v>0.88912534804805021</v>
      </c>
      <c r="N7" s="72">
        <f>'WL 3 Displacement'!R31</f>
        <v>0.95127437313788299</v>
      </c>
      <c r="O7" s="72">
        <f>'WL 3 Displacement'!R32</f>
        <v>0.80847183284662605</v>
      </c>
      <c r="Y7" s="13">
        <f>AJ7+F7</f>
        <v>32.451036876292704</v>
      </c>
      <c r="Z7" s="13">
        <f>AJ7+H7</f>
        <v>31.564262518756678</v>
      </c>
      <c r="AA7" s="13">
        <f>G7*2</f>
        <v>7.1375973932962156</v>
      </c>
      <c r="AB7" s="14">
        <f>D7/100</f>
        <v>15.237983564877069</v>
      </c>
      <c r="AC7" s="14">
        <f>2*I7</f>
        <v>12.362461078034453</v>
      </c>
      <c r="AD7" s="14">
        <f>J7/10</f>
        <v>11.474760090248159</v>
      </c>
      <c r="AE7" s="14">
        <f t="shared" si="0"/>
        <v>7.6907853599080953</v>
      </c>
      <c r="AF7" s="14">
        <f t="shared" si="0"/>
        <v>8.8912534804805023</v>
      </c>
      <c r="AG7" s="14">
        <f t="shared" si="0"/>
        <v>9.5127437313788299</v>
      </c>
      <c r="AH7" s="14">
        <f t="shared" si="0"/>
        <v>8.0847183284662609</v>
      </c>
      <c r="AI7" s="13">
        <f>AI9*3</f>
        <v>2.8499999999999996</v>
      </c>
      <c r="AJ7" s="4">
        <v>32.274999999999999</v>
      </c>
    </row>
    <row r="8" spans="2:37" x14ac:dyDescent="0.3">
      <c r="B8" s="71">
        <v>2</v>
      </c>
      <c r="C8" s="71">
        <f>C9*2</f>
        <v>1.9</v>
      </c>
      <c r="D8" s="71">
        <f>'WL 2 Displacement'!O27</f>
        <v>957.4736392576574</v>
      </c>
      <c r="E8" s="71">
        <f>'WL 2 Displacement'!E33</f>
        <v>1.0457749003881891</v>
      </c>
      <c r="F8" s="71">
        <f>'WL 2 Displacement'!O28</f>
        <v>0.47413382636519497</v>
      </c>
      <c r="G8" s="71">
        <f>'WL 2 Metacenter'!F23</f>
        <v>5.3117948587509085</v>
      </c>
      <c r="H8" s="71">
        <f>'WL 2 Metacenter'!F25</f>
        <v>5.0270017244201985E-2</v>
      </c>
      <c r="I8" s="71">
        <f>'WL 2 Metacenter'!F26</f>
        <v>5.8708461674347987</v>
      </c>
      <c r="J8" s="71">
        <f>'WL 2 Metacenter'!K25</f>
        <v>158.39278548869208</v>
      </c>
      <c r="K8" s="71">
        <f>'WL 2 Metacenter'!K26</f>
        <v>23.069199384547538</v>
      </c>
      <c r="L8" s="72">
        <f>'WL 2 Displacement'!O29</f>
        <v>0.72487191785734029</v>
      </c>
      <c r="M8" s="73">
        <f>'WL 2 Displacement'!O30</f>
        <v>0.84447879900414757</v>
      </c>
      <c r="N8" s="72">
        <f>'WL 2 Displacement'!O31</f>
        <v>0.93259671924156629</v>
      </c>
      <c r="O8" s="72">
        <f>'WL 2 Displacement'!O32</f>
        <v>0.77726192136601335</v>
      </c>
      <c r="Y8" s="13">
        <f>AJ8+F8</f>
        <v>32.749133826365195</v>
      </c>
      <c r="Z8" s="13">
        <f>AJ8+H8</f>
        <v>32.3252700172442</v>
      </c>
      <c r="AA8" s="13">
        <f>G8*2</f>
        <v>10.623589717501817</v>
      </c>
      <c r="AB8" s="14">
        <f>D8/100</f>
        <v>9.5747363925765736</v>
      </c>
      <c r="AC8" s="14">
        <f>2*I8</f>
        <v>11.741692334869597</v>
      </c>
      <c r="AD8" s="14">
        <f>J8/10</f>
        <v>15.839278548869208</v>
      </c>
      <c r="AE8" s="14">
        <f t="shared" si="0"/>
        <v>7.2487191785734026</v>
      </c>
      <c r="AF8" s="14">
        <f t="shared" si="0"/>
        <v>8.4447879900414762</v>
      </c>
      <c r="AG8" s="14">
        <f t="shared" si="0"/>
        <v>9.3259671924156624</v>
      </c>
      <c r="AH8" s="14">
        <f t="shared" si="0"/>
        <v>7.7726192136601338</v>
      </c>
      <c r="AI8" s="13">
        <f>AI9*2</f>
        <v>1.9</v>
      </c>
      <c r="AJ8" s="4">
        <v>32.274999999999999</v>
      </c>
    </row>
    <row r="9" spans="2:37" x14ac:dyDescent="0.3">
      <c r="B9" s="71">
        <v>1</v>
      </c>
      <c r="C9" s="71">
        <v>0.95</v>
      </c>
      <c r="D9" s="71">
        <f>'WL 1 Displacement'!O27</f>
        <v>406.34054929391903</v>
      </c>
      <c r="E9" s="71">
        <f>'WL 1 Displacement'!E33</f>
        <v>0.58012673596966413</v>
      </c>
      <c r="F9" s="71">
        <f>'WL 1 Displacement'!O28</f>
        <v>0.65987718550168772</v>
      </c>
      <c r="G9" s="71">
        <f>'WL 1 Metacenter'!E23</f>
        <v>10.921209468914533</v>
      </c>
      <c r="H9" s="71">
        <f>'WL 1 Metacenter'!E25</f>
        <v>0.55764198199688275</v>
      </c>
      <c r="I9" s="71">
        <f>'WL 1 Metacenter'!E26</f>
        <v>5.3856453349999995</v>
      </c>
      <c r="J9" s="71">
        <f>'WL 1 Metacenter'!J25</f>
        <v>300.55597433287693</v>
      </c>
      <c r="K9" s="71">
        <f>'WL 1 Metacenter'!J26</f>
        <v>18.577438348644701</v>
      </c>
      <c r="L9" s="72">
        <f>'WL 1 Displacement'!O29</f>
        <v>0.61525422986736833</v>
      </c>
      <c r="M9" s="73">
        <f>'WL 1 Displacement'!O30</f>
        <v>0.77468616527390899</v>
      </c>
      <c r="N9" s="72">
        <f>'WL 1 Displacement'!O31</f>
        <v>0.84610646860577232</v>
      </c>
      <c r="O9" s="72">
        <f>'WL 1 Displacement'!O32</f>
        <v>0.7271593501479714</v>
      </c>
      <c r="Y9" s="13">
        <f>AJ9+F9</f>
        <v>32.934877185501684</v>
      </c>
      <c r="Z9" s="13">
        <f>AJ9+H9</f>
        <v>32.832641981996879</v>
      </c>
      <c r="AA9" s="13">
        <f>G9*2</f>
        <v>21.842418937829066</v>
      </c>
      <c r="AB9" s="14">
        <f>D9/100</f>
        <v>4.0634054929391903</v>
      </c>
      <c r="AC9" s="14">
        <f>2*I9</f>
        <v>10.771290669999999</v>
      </c>
      <c r="AD9" s="14">
        <f>J9/10</f>
        <v>30.055597433287694</v>
      </c>
      <c r="AE9" s="14">
        <f t="shared" si="0"/>
        <v>6.1525422986736835</v>
      </c>
      <c r="AF9" s="14">
        <f t="shared" si="0"/>
        <v>7.7468616527390903</v>
      </c>
      <c r="AG9" s="14">
        <f t="shared" si="0"/>
        <v>8.461064686057723</v>
      </c>
      <c r="AH9" s="14">
        <f t="shared" si="0"/>
        <v>7.271593501479714</v>
      </c>
      <c r="AI9" s="13">
        <v>0.95</v>
      </c>
      <c r="AJ9" s="4">
        <v>32.274999999999999</v>
      </c>
    </row>
    <row r="10" spans="2:37" x14ac:dyDescent="0.3">
      <c r="B10" s="5"/>
      <c r="C10" s="5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5"/>
    </row>
    <row r="13" spans="2:37" x14ac:dyDescent="0.3">
      <c r="E13" s="5"/>
      <c r="F13" s="5"/>
      <c r="G13" s="5"/>
      <c r="H13" s="5"/>
      <c r="I13" s="5"/>
      <c r="J13" s="5"/>
      <c r="K13" s="5"/>
      <c r="L13" s="5"/>
      <c r="M13" s="5"/>
    </row>
    <row r="14" spans="2:37" x14ac:dyDescent="0.3">
      <c r="E14" s="5"/>
      <c r="F14" s="5"/>
      <c r="G14" s="5"/>
      <c r="H14" s="5"/>
      <c r="I14" s="5"/>
      <c r="J14" s="5"/>
      <c r="K14" s="5"/>
      <c r="L14" s="5"/>
      <c r="M14" s="5"/>
    </row>
    <row r="15" spans="2:37" x14ac:dyDescent="0.3">
      <c r="E15" s="5"/>
      <c r="F15" s="5"/>
      <c r="G15" s="5"/>
      <c r="H15" s="5"/>
      <c r="I15" s="5"/>
      <c r="J15" s="5"/>
      <c r="K15" s="5"/>
      <c r="L15" s="5"/>
      <c r="M15" s="5"/>
    </row>
    <row r="16" spans="2:37" x14ac:dyDescent="0.3">
      <c r="E16" s="5"/>
      <c r="F16" s="5"/>
      <c r="H16" s="5"/>
      <c r="J16" s="5"/>
      <c r="K16" s="5"/>
      <c r="L16" s="5"/>
      <c r="M16" s="5"/>
      <c r="N16" s="5"/>
      <c r="O16" s="5"/>
      <c r="P16" s="89"/>
      <c r="Q16" s="5"/>
      <c r="R16" s="5"/>
    </row>
    <row r="26" spans="27:27" x14ac:dyDescent="0.3">
      <c r="AA26" s="6"/>
    </row>
  </sheetData>
  <mergeCells count="2">
    <mergeCell ref="B2:O4"/>
    <mergeCell ref="AJ3:AJ4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D8FA-9F00-4E80-8913-0CED597804B3}">
  <dimension ref="A1"/>
  <sheetViews>
    <sheetView topLeftCell="A4" zoomScale="55" zoomScaleNormal="55" workbookViewId="0">
      <selection activeCell="AD19" activeCellId="1" sqref="A1 AD1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D704-39F1-4D96-A3C8-EBA5BE04A85E}">
  <sheetPr>
    <pageSetUpPr fitToPage="1"/>
  </sheetPr>
  <dimension ref="A1:AA38"/>
  <sheetViews>
    <sheetView zoomScale="85" zoomScaleNormal="85" workbookViewId="0">
      <selection activeCell="C24" sqref="C24:E24"/>
    </sheetView>
  </sheetViews>
  <sheetFormatPr defaultRowHeight="14.4" x14ac:dyDescent="0.3"/>
  <cols>
    <col min="6" max="6" width="11.6640625" customWidth="1"/>
  </cols>
  <sheetData>
    <row r="1" spans="1:27" ht="14.4" customHeight="1" x14ac:dyDescent="0.3">
      <c r="C1" s="100" t="s">
        <v>0</v>
      </c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</row>
    <row r="2" spans="1:27" ht="23.4" customHeight="1" x14ac:dyDescent="0.3">
      <c r="B2" s="24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</row>
    <row r="3" spans="1:27" ht="14.4" customHeight="1" x14ac:dyDescent="0.3">
      <c r="B3" s="24" t="s">
        <v>1</v>
      </c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</row>
    <row r="4" spans="1:27" x14ac:dyDescent="0.3">
      <c r="B4" s="24"/>
      <c r="C4" s="102" t="s">
        <v>2</v>
      </c>
      <c r="D4" s="102"/>
      <c r="E4" s="102" t="s">
        <v>3</v>
      </c>
      <c r="F4" s="102" t="s">
        <v>4</v>
      </c>
      <c r="G4" s="102"/>
      <c r="H4" s="102" t="s">
        <v>5</v>
      </c>
      <c r="I4" s="102"/>
      <c r="J4" s="102" t="s">
        <v>6</v>
      </c>
      <c r="K4" s="102"/>
      <c r="L4" s="102" t="s">
        <v>7</v>
      </c>
      <c r="M4" s="102"/>
      <c r="N4" s="102" t="s">
        <v>8</v>
      </c>
      <c r="O4" s="102"/>
      <c r="P4" s="102" t="s">
        <v>9</v>
      </c>
      <c r="Q4" s="102" t="s">
        <v>10</v>
      </c>
      <c r="R4" s="102" t="s">
        <v>3</v>
      </c>
      <c r="S4" s="102" t="s">
        <v>11</v>
      </c>
      <c r="T4" s="102"/>
      <c r="U4" s="102" t="s">
        <v>12</v>
      </c>
      <c r="V4" s="102" t="s">
        <v>13</v>
      </c>
      <c r="W4" s="102"/>
    </row>
    <row r="5" spans="1:27" x14ac:dyDescent="0.3">
      <c r="A5" s="2"/>
      <c r="B5" s="24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</row>
    <row r="6" spans="1:27" x14ac:dyDescent="0.3">
      <c r="A6" s="2"/>
      <c r="B6" s="24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</row>
    <row r="7" spans="1:27" x14ac:dyDescent="0.3">
      <c r="A7" s="2"/>
      <c r="B7" s="24" t="s">
        <v>1</v>
      </c>
      <c r="C7" s="102"/>
      <c r="D7" s="102"/>
      <c r="E7" s="102"/>
      <c r="F7" s="102">
        <v>1</v>
      </c>
      <c r="G7" s="102"/>
      <c r="H7" s="102">
        <v>4</v>
      </c>
      <c r="I7" s="102"/>
      <c r="J7" s="102">
        <v>2</v>
      </c>
      <c r="K7" s="102"/>
      <c r="L7" s="102">
        <v>4</v>
      </c>
      <c r="M7" s="102"/>
      <c r="N7" s="102">
        <v>1</v>
      </c>
      <c r="O7" s="102"/>
      <c r="P7" s="102"/>
      <c r="Q7" s="102"/>
      <c r="R7" s="102"/>
      <c r="S7" s="102"/>
      <c r="T7" s="102"/>
      <c r="U7" s="102"/>
      <c r="V7" s="102"/>
      <c r="W7" s="102"/>
    </row>
    <row r="8" spans="1:27" x14ac:dyDescent="0.3">
      <c r="A8" s="2"/>
      <c r="B8" s="24"/>
      <c r="C8" s="102"/>
      <c r="D8" s="102"/>
      <c r="E8" s="102"/>
      <c r="F8" s="40" t="s">
        <v>14</v>
      </c>
      <c r="G8" s="40" t="s">
        <v>15</v>
      </c>
      <c r="H8" s="40" t="s">
        <v>14</v>
      </c>
      <c r="I8" s="40" t="s">
        <v>15</v>
      </c>
      <c r="J8" s="40" t="s">
        <v>14</v>
      </c>
      <c r="K8" s="40" t="s">
        <v>15</v>
      </c>
      <c r="L8" s="40" t="s">
        <v>14</v>
      </c>
      <c r="M8" s="40" t="s">
        <v>15</v>
      </c>
      <c r="N8" s="40" t="s">
        <v>14</v>
      </c>
      <c r="O8" s="40" t="s">
        <v>15</v>
      </c>
      <c r="P8" s="102"/>
      <c r="Q8" s="102"/>
      <c r="R8" s="102"/>
      <c r="S8" s="102"/>
      <c r="T8" s="102"/>
      <c r="U8" s="102"/>
      <c r="V8" s="102"/>
      <c r="W8" s="102"/>
    </row>
    <row r="9" spans="1:27" x14ac:dyDescent="0.3">
      <c r="A9" s="2"/>
      <c r="B9" s="24"/>
      <c r="C9" s="101">
        <v>0</v>
      </c>
      <c r="D9" s="101">
        <v>0</v>
      </c>
      <c r="E9" s="52">
        <v>0.5</v>
      </c>
      <c r="F9" s="55">
        <v>0</v>
      </c>
      <c r="G9" s="56">
        <f>E9*F9</f>
        <v>0</v>
      </c>
      <c r="H9" s="57">
        <v>0</v>
      </c>
      <c r="I9" s="42">
        <f>E9*H9</f>
        <v>0</v>
      </c>
      <c r="J9" s="57">
        <v>0</v>
      </c>
      <c r="K9" s="42">
        <f>E9*J9</f>
        <v>0</v>
      </c>
      <c r="L9" s="58">
        <v>0</v>
      </c>
      <c r="M9" s="42">
        <f>E9*L9</f>
        <v>0</v>
      </c>
      <c r="N9" s="54">
        <v>0.61719999999999997</v>
      </c>
      <c r="O9" s="42">
        <f>E9*N9</f>
        <v>0.30859999999999999</v>
      </c>
      <c r="P9" s="59">
        <f>1*F9+4*H9+2*J9+4*L9+1*N9</f>
        <v>0.61719999999999997</v>
      </c>
      <c r="Q9" s="59">
        <f>(0.95/3)*P9*2</f>
        <v>0.39089333333333331</v>
      </c>
      <c r="R9" s="42">
        <v>0.5</v>
      </c>
      <c r="S9" s="105">
        <f>Q9*R9</f>
        <v>0.19544666666666666</v>
      </c>
      <c r="T9" s="105"/>
      <c r="U9" s="60">
        <v>-5</v>
      </c>
      <c r="V9" s="105">
        <f>U9*S9</f>
        <v>-0.97723333333333329</v>
      </c>
      <c r="W9" s="105"/>
    </row>
    <row r="10" spans="1:27" x14ac:dyDescent="0.3">
      <c r="A10" s="2"/>
      <c r="B10" s="24"/>
      <c r="C10" s="101">
        <v>0.5</v>
      </c>
      <c r="D10" s="101">
        <v>0.5</v>
      </c>
      <c r="E10" s="52">
        <v>2</v>
      </c>
      <c r="F10" s="55">
        <v>0</v>
      </c>
      <c r="G10" s="56">
        <f t="shared" ref="G10:G23" si="0">E10*F10</f>
        <v>0</v>
      </c>
      <c r="H10" s="57">
        <v>0</v>
      </c>
      <c r="I10" s="42">
        <f t="shared" ref="I10:I23" si="1">E10*H10</f>
        <v>0</v>
      </c>
      <c r="J10" s="58">
        <v>1.3892</v>
      </c>
      <c r="K10" s="42">
        <f t="shared" ref="K10:K23" si="2">E10*J10</f>
        <v>2.7784</v>
      </c>
      <c r="L10" s="58">
        <v>3.5283000000000002</v>
      </c>
      <c r="M10" s="42">
        <f t="shared" ref="M10:M23" si="3">E10*L10</f>
        <v>7.0566000000000004</v>
      </c>
      <c r="N10" s="54">
        <v>4.3902999999999999</v>
      </c>
      <c r="O10" s="42">
        <f t="shared" ref="O10:O23" si="4">E10*N10</f>
        <v>8.7805999999999997</v>
      </c>
      <c r="P10" s="59">
        <f t="shared" ref="P10:P23" si="5">1*F10+4*H10+2*J10+4*L10+1*N10</f>
        <v>21.2819</v>
      </c>
      <c r="Q10" s="59">
        <f t="shared" ref="Q10:Q23" si="6">(0.95/3)*P10*2</f>
        <v>13.478536666666667</v>
      </c>
      <c r="R10" s="42">
        <v>2</v>
      </c>
      <c r="S10" s="105">
        <f t="shared" ref="S10:S23" si="7">Q10*R10</f>
        <v>26.957073333333334</v>
      </c>
      <c r="T10" s="105"/>
      <c r="U10" s="60">
        <v>-4.5</v>
      </c>
      <c r="V10" s="105">
        <f t="shared" ref="V10:V23" si="8">U10*S10</f>
        <v>-121.30683000000001</v>
      </c>
      <c r="W10" s="105"/>
    </row>
    <row r="11" spans="1:27" x14ac:dyDescent="0.3">
      <c r="A11" s="2"/>
      <c r="B11" s="24"/>
      <c r="C11" s="101">
        <v>1</v>
      </c>
      <c r="D11" s="101">
        <v>1</v>
      </c>
      <c r="E11" s="52">
        <v>1</v>
      </c>
      <c r="F11" s="55">
        <v>0</v>
      </c>
      <c r="G11" s="56">
        <f t="shared" si="0"/>
        <v>0</v>
      </c>
      <c r="H11" s="58">
        <v>2.9177</v>
      </c>
      <c r="I11" s="42">
        <f t="shared" si="1"/>
        <v>2.9177</v>
      </c>
      <c r="J11" s="58">
        <v>4.2988</v>
      </c>
      <c r="K11" s="42">
        <f t="shared" si="2"/>
        <v>4.2988</v>
      </c>
      <c r="L11" s="58">
        <v>4.9665999999999997</v>
      </c>
      <c r="M11" s="42">
        <f t="shared" si="3"/>
        <v>4.9665999999999997</v>
      </c>
      <c r="N11" s="54">
        <v>5.2948000000000004</v>
      </c>
      <c r="O11" s="42">
        <f t="shared" si="4"/>
        <v>5.2948000000000004</v>
      </c>
      <c r="P11" s="59">
        <f t="shared" si="5"/>
        <v>45.429600000000001</v>
      </c>
      <c r="Q11" s="59">
        <f t="shared" si="6"/>
        <v>28.772079999999999</v>
      </c>
      <c r="R11" s="42">
        <v>1</v>
      </c>
      <c r="S11" s="105">
        <f t="shared" si="7"/>
        <v>28.772079999999999</v>
      </c>
      <c r="T11" s="105"/>
      <c r="U11" s="60">
        <v>-4</v>
      </c>
      <c r="V11" s="105">
        <f t="shared" si="8"/>
        <v>-115.08832</v>
      </c>
      <c r="W11" s="105"/>
    </row>
    <row r="12" spans="1:27" x14ac:dyDescent="0.3">
      <c r="A12" s="2"/>
      <c r="B12" s="24"/>
      <c r="C12" s="101">
        <v>1.5</v>
      </c>
      <c r="D12" s="101">
        <v>1.5</v>
      </c>
      <c r="E12" s="52">
        <v>2</v>
      </c>
      <c r="F12" s="55">
        <v>0</v>
      </c>
      <c r="G12" s="56">
        <f t="shared" si="0"/>
        <v>0</v>
      </c>
      <c r="H12" s="58">
        <v>4.2690999999999999</v>
      </c>
      <c r="I12" s="42">
        <f t="shared" si="1"/>
        <v>8.5381999999999998</v>
      </c>
      <c r="J12" s="58">
        <v>5.0622999999999996</v>
      </c>
      <c r="K12" s="42">
        <f t="shared" si="2"/>
        <v>10.124599999999999</v>
      </c>
      <c r="L12" s="58">
        <v>5.2812000000000001</v>
      </c>
      <c r="M12" s="42">
        <f t="shared" si="3"/>
        <v>10.5624</v>
      </c>
      <c r="N12" s="54">
        <v>5.3602999999999996</v>
      </c>
      <c r="O12" s="42">
        <f t="shared" si="4"/>
        <v>10.720599999999999</v>
      </c>
      <c r="P12" s="59">
        <f t="shared" si="5"/>
        <v>53.686100000000003</v>
      </c>
      <c r="Q12" s="59">
        <f t="shared" si="6"/>
        <v>34.001196666666665</v>
      </c>
      <c r="R12" s="42">
        <v>2</v>
      </c>
      <c r="S12" s="105">
        <f t="shared" si="7"/>
        <v>68.00239333333333</v>
      </c>
      <c r="T12" s="105"/>
      <c r="U12" s="60">
        <v>-3.5</v>
      </c>
      <c r="V12" s="105">
        <f t="shared" si="8"/>
        <v>-238.00837666666666</v>
      </c>
      <c r="W12" s="105"/>
    </row>
    <row r="13" spans="1:27" x14ac:dyDescent="0.3">
      <c r="A13" s="2"/>
      <c r="B13" s="24"/>
      <c r="C13" s="101">
        <v>2</v>
      </c>
      <c r="D13" s="101">
        <v>2</v>
      </c>
      <c r="E13" s="52">
        <v>1.5</v>
      </c>
      <c r="F13" s="55">
        <v>2.3809999999999998</v>
      </c>
      <c r="G13" s="56">
        <f t="shared" si="0"/>
        <v>3.5714999999999995</v>
      </c>
      <c r="H13" s="58">
        <v>5.0560999999999998</v>
      </c>
      <c r="I13" s="42">
        <f t="shared" si="1"/>
        <v>7.5841499999999993</v>
      </c>
      <c r="J13" s="58">
        <v>5.3231000000000002</v>
      </c>
      <c r="K13" s="42">
        <f t="shared" si="2"/>
        <v>7.9846500000000002</v>
      </c>
      <c r="L13" s="58">
        <v>5.3849999986950001</v>
      </c>
      <c r="M13" s="42">
        <f t="shared" si="3"/>
        <v>8.0774999980424997</v>
      </c>
      <c r="N13" s="54">
        <v>5.3849999986950001</v>
      </c>
      <c r="O13" s="42">
        <f t="shared" si="4"/>
        <v>8.0774999980424997</v>
      </c>
      <c r="P13" s="59">
        <f t="shared" si="5"/>
        <v>60.176599993475001</v>
      </c>
      <c r="Q13" s="59">
        <f t="shared" si="6"/>
        <v>38.111846662534163</v>
      </c>
      <c r="R13" s="42">
        <v>1.5</v>
      </c>
      <c r="S13" s="105">
        <f t="shared" si="7"/>
        <v>57.167769993801244</v>
      </c>
      <c r="T13" s="105"/>
      <c r="U13" s="60">
        <v>-3</v>
      </c>
      <c r="V13" s="105">
        <f t="shared" si="8"/>
        <v>-171.50330998140373</v>
      </c>
      <c r="W13" s="105"/>
    </row>
    <row r="14" spans="1:27" x14ac:dyDescent="0.3">
      <c r="A14" s="2"/>
      <c r="B14" s="24"/>
      <c r="C14" s="101">
        <v>3</v>
      </c>
      <c r="D14" s="101">
        <v>3</v>
      </c>
      <c r="E14" s="52">
        <v>4</v>
      </c>
      <c r="F14" s="55">
        <v>3.5219999999999998</v>
      </c>
      <c r="G14" s="56">
        <f t="shared" si="0"/>
        <v>14.087999999999999</v>
      </c>
      <c r="H14" s="58">
        <v>5.3063000000000002</v>
      </c>
      <c r="I14" s="42">
        <f t="shared" si="1"/>
        <v>21.225200000000001</v>
      </c>
      <c r="J14" s="58">
        <v>5.3849999986950001</v>
      </c>
      <c r="K14" s="42">
        <f t="shared" si="2"/>
        <v>21.53999999478</v>
      </c>
      <c r="L14" s="58">
        <v>5.3849999986950001</v>
      </c>
      <c r="M14" s="42">
        <f t="shared" si="3"/>
        <v>21.53999999478</v>
      </c>
      <c r="N14" s="54">
        <v>5.3849999986950001</v>
      </c>
      <c r="O14" s="42">
        <f t="shared" si="4"/>
        <v>21.53999999478</v>
      </c>
      <c r="P14" s="59">
        <f>1*F14+4*H14+2*J14+4*L14+1*N14</f>
        <v>62.442199990864999</v>
      </c>
      <c r="Q14" s="59">
        <f t="shared" si="6"/>
        <v>39.546726660881163</v>
      </c>
      <c r="R14" s="42">
        <v>4</v>
      </c>
      <c r="S14" s="105">
        <f t="shared" si="7"/>
        <v>158.18690664352465</v>
      </c>
      <c r="T14" s="105"/>
      <c r="U14" s="60">
        <v>-2</v>
      </c>
      <c r="V14" s="105">
        <f t="shared" si="8"/>
        <v>-316.3738132870493</v>
      </c>
      <c r="W14" s="105"/>
    </row>
    <row r="15" spans="1:27" x14ac:dyDescent="0.3">
      <c r="A15" s="2"/>
      <c r="B15" s="24"/>
      <c r="C15" s="101">
        <v>4</v>
      </c>
      <c r="D15" s="101">
        <v>4</v>
      </c>
      <c r="E15" s="52">
        <v>2</v>
      </c>
      <c r="F15" s="55">
        <v>3.5219999999999998</v>
      </c>
      <c r="G15" s="56">
        <f t="shared" si="0"/>
        <v>7.0439999999999996</v>
      </c>
      <c r="H15" s="58">
        <v>5.3063000000000002</v>
      </c>
      <c r="I15" s="42">
        <f t="shared" si="1"/>
        <v>10.6126</v>
      </c>
      <c r="J15" s="58">
        <v>5.3849999986950001</v>
      </c>
      <c r="K15" s="42">
        <f t="shared" si="2"/>
        <v>10.76999999739</v>
      </c>
      <c r="L15" s="58">
        <v>5.3849999986950001</v>
      </c>
      <c r="M15" s="42">
        <f t="shared" si="3"/>
        <v>10.76999999739</v>
      </c>
      <c r="N15" s="54">
        <v>5.3849999986950001</v>
      </c>
      <c r="O15" s="42">
        <f t="shared" si="4"/>
        <v>10.76999999739</v>
      </c>
      <c r="P15" s="59">
        <f t="shared" si="5"/>
        <v>62.442199990864999</v>
      </c>
      <c r="Q15" s="59">
        <f t="shared" si="6"/>
        <v>39.546726660881163</v>
      </c>
      <c r="R15" s="42">
        <v>2</v>
      </c>
      <c r="S15" s="105">
        <f t="shared" si="7"/>
        <v>79.093453321762325</v>
      </c>
      <c r="T15" s="105"/>
      <c r="U15" s="60">
        <v>-1</v>
      </c>
      <c r="V15" s="105">
        <f t="shared" si="8"/>
        <v>-79.093453321762325</v>
      </c>
      <c r="W15" s="105"/>
    </row>
    <row r="16" spans="1:27" x14ac:dyDescent="0.3">
      <c r="A16" s="2"/>
      <c r="B16" s="24"/>
      <c r="C16" s="101">
        <v>5</v>
      </c>
      <c r="D16" s="101">
        <v>5</v>
      </c>
      <c r="E16" s="52">
        <v>4</v>
      </c>
      <c r="F16" s="55">
        <v>3.5219999999999998</v>
      </c>
      <c r="G16" s="59">
        <f t="shared" si="0"/>
        <v>14.087999999999999</v>
      </c>
      <c r="H16" s="58">
        <v>5.3063000000000002</v>
      </c>
      <c r="I16" s="42">
        <f t="shared" si="1"/>
        <v>21.225200000000001</v>
      </c>
      <c r="J16" s="58">
        <v>5.3849999986950001</v>
      </c>
      <c r="K16" s="42">
        <f t="shared" si="2"/>
        <v>21.53999999478</v>
      </c>
      <c r="L16" s="58">
        <v>5.3849999986950001</v>
      </c>
      <c r="M16" s="42">
        <f t="shared" si="3"/>
        <v>21.53999999478</v>
      </c>
      <c r="N16" s="54">
        <v>5.3849999986950001</v>
      </c>
      <c r="O16" s="42">
        <f t="shared" si="4"/>
        <v>21.53999999478</v>
      </c>
      <c r="P16" s="59">
        <f t="shared" si="5"/>
        <v>62.442199990864999</v>
      </c>
      <c r="Q16" s="59">
        <f t="shared" si="6"/>
        <v>39.546726660881163</v>
      </c>
      <c r="R16" s="42">
        <v>4</v>
      </c>
      <c r="S16" s="105">
        <f t="shared" si="7"/>
        <v>158.18690664352465</v>
      </c>
      <c r="T16" s="105"/>
      <c r="U16" s="60">
        <v>0</v>
      </c>
      <c r="V16" s="105">
        <f t="shared" si="8"/>
        <v>0</v>
      </c>
      <c r="W16" s="105"/>
      <c r="AA16" s="1"/>
    </row>
    <row r="17" spans="1:27" x14ac:dyDescent="0.3">
      <c r="A17" s="2"/>
      <c r="B17" s="24"/>
      <c r="C17" s="101">
        <v>6</v>
      </c>
      <c r="D17" s="101">
        <v>6</v>
      </c>
      <c r="E17" s="52">
        <v>2</v>
      </c>
      <c r="F17" s="55">
        <v>3.5219999999999998</v>
      </c>
      <c r="G17" s="59">
        <f t="shared" si="0"/>
        <v>7.0439999999999996</v>
      </c>
      <c r="H17" s="58">
        <v>5.3063000000000002</v>
      </c>
      <c r="I17" s="42">
        <f t="shared" si="1"/>
        <v>10.6126</v>
      </c>
      <c r="J17" s="58">
        <v>5.3849999986950001</v>
      </c>
      <c r="K17" s="42">
        <f t="shared" si="2"/>
        <v>10.76999999739</v>
      </c>
      <c r="L17" s="58">
        <v>5.3849999986950001</v>
      </c>
      <c r="M17" s="42">
        <f t="shared" si="3"/>
        <v>10.76999999739</v>
      </c>
      <c r="N17" s="54">
        <v>5.3849999986950001</v>
      </c>
      <c r="O17" s="42">
        <f t="shared" si="4"/>
        <v>10.76999999739</v>
      </c>
      <c r="P17" s="59">
        <f t="shared" si="5"/>
        <v>62.442199990864999</v>
      </c>
      <c r="Q17" s="59">
        <f t="shared" si="6"/>
        <v>39.546726660881163</v>
      </c>
      <c r="R17" s="42">
        <v>2</v>
      </c>
      <c r="S17" s="105">
        <f t="shared" si="7"/>
        <v>79.093453321762325</v>
      </c>
      <c r="T17" s="105"/>
      <c r="U17" s="60">
        <v>1</v>
      </c>
      <c r="V17" s="105">
        <f t="shared" si="8"/>
        <v>79.093453321762325</v>
      </c>
      <c r="W17" s="105"/>
      <c r="AA17" s="1"/>
    </row>
    <row r="18" spans="1:27" x14ac:dyDescent="0.3">
      <c r="A18" s="2"/>
      <c r="B18" s="24"/>
      <c r="C18" s="101">
        <v>7</v>
      </c>
      <c r="D18" s="101">
        <v>7</v>
      </c>
      <c r="E18" s="52">
        <v>4</v>
      </c>
      <c r="F18" s="55">
        <v>3.5219999999999998</v>
      </c>
      <c r="G18" s="59">
        <f t="shared" si="0"/>
        <v>14.087999999999999</v>
      </c>
      <c r="H18" s="58">
        <v>5.3063000000000002</v>
      </c>
      <c r="I18" s="42">
        <f t="shared" si="1"/>
        <v>21.225200000000001</v>
      </c>
      <c r="J18" s="58">
        <v>5.3849999986950001</v>
      </c>
      <c r="K18" s="42">
        <f t="shared" si="2"/>
        <v>21.53999999478</v>
      </c>
      <c r="L18" s="58">
        <v>5.3849999986950001</v>
      </c>
      <c r="M18" s="42">
        <f t="shared" si="3"/>
        <v>21.53999999478</v>
      </c>
      <c r="N18" s="54">
        <v>5.3849999986950001</v>
      </c>
      <c r="O18" s="42">
        <f t="shared" si="4"/>
        <v>21.53999999478</v>
      </c>
      <c r="P18" s="59">
        <f t="shared" si="5"/>
        <v>62.442199990864999</v>
      </c>
      <c r="Q18" s="59">
        <f t="shared" si="6"/>
        <v>39.546726660881163</v>
      </c>
      <c r="R18" s="42">
        <v>4</v>
      </c>
      <c r="S18" s="105">
        <f t="shared" si="7"/>
        <v>158.18690664352465</v>
      </c>
      <c r="T18" s="105"/>
      <c r="U18" s="60">
        <v>2</v>
      </c>
      <c r="V18" s="105">
        <f t="shared" si="8"/>
        <v>316.3738132870493</v>
      </c>
      <c r="W18" s="105"/>
    </row>
    <row r="19" spans="1:27" x14ac:dyDescent="0.3">
      <c r="A19" s="2"/>
      <c r="B19" s="24"/>
      <c r="C19" s="101">
        <v>8</v>
      </c>
      <c r="D19" s="101">
        <v>8</v>
      </c>
      <c r="E19" s="52">
        <v>1.5</v>
      </c>
      <c r="F19" s="55">
        <v>2.4274</v>
      </c>
      <c r="G19" s="59">
        <f t="shared" si="0"/>
        <v>3.6410999999999998</v>
      </c>
      <c r="H19" s="58">
        <v>4.7549999999999999</v>
      </c>
      <c r="I19" s="42">
        <f t="shared" si="1"/>
        <v>7.1325000000000003</v>
      </c>
      <c r="J19" s="58">
        <v>5.1048</v>
      </c>
      <c r="K19" s="42">
        <f t="shared" si="2"/>
        <v>7.6571999999999996</v>
      </c>
      <c r="L19" s="58">
        <v>5.2366000000000001</v>
      </c>
      <c r="M19" s="42">
        <f t="shared" si="3"/>
        <v>7.8549000000000007</v>
      </c>
      <c r="N19" s="54">
        <v>5.31</v>
      </c>
      <c r="O19" s="42">
        <f t="shared" si="4"/>
        <v>7.9649999999999999</v>
      </c>
      <c r="P19" s="59">
        <f t="shared" si="5"/>
        <v>57.913399999999996</v>
      </c>
      <c r="Q19" s="59">
        <f t="shared" si="6"/>
        <v>36.678486666666664</v>
      </c>
      <c r="R19" s="42">
        <v>1.5</v>
      </c>
      <c r="S19" s="105">
        <f t="shared" si="7"/>
        <v>55.01773</v>
      </c>
      <c r="T19" s="105"/>
      <c r="U19" s="60">
        <v>3</v>
      </c>
      <c r="V19" s="105">
        <f t="shared" si="8"/>
        <v>165.05319</v>
      </c>
      <c r="W19" s="105"/>
    </row>
    <row r="20" spans="1:27" x14ac:dyDescent="0.3">
      <c r="A20" s="2"/>
      <c r="B20" s="24"/>
      <c r="C20" s="101">
        <v>8.5</v>
      </c>
      <c r="D20" s="101">
        <v>8.5</v>
      </c>
      <c r="E20" s="52">
        <v>2</v>
      </c>
      <c r="F20" s="55">
        <v>1.0129999999999999</v>
      </c>
      <c r="G20" s="59">
        <f t="shared" si="0"/>
        <v>2.0259999999999998</v>
      </c>
      <c r="H20" s="58">
        <v>4.0526999999999997</v>
      </c>
      <c r="I20" s="42">
        <f t="shared" si="1"/>
        <v>8.1053999999999995</v>
      </c>
      <c r="J20" s="58">
        <v>4.6696999999999997</v>
      </c>
      <c r="K20" s="42">
        <f t="shared" si="2"/>
        <v>9.3393999999999995</v>
      </c>
      <c r="L20" s="58">
        <v>4.9218999999999999</v>
      </c>
      <c r="M20" s="42">
        <f t="shared" si="3"/>
        <v>9.8437999999999999</v>
      </c>
      <c r="N20" s="54">
        <v>5.109</v>
      </c>
      <c r="O20" s="42">
        <f t="shared" si="4"/>
        <v>10.218</v>
      </c>
      <c r="P20" s="59">
        <f t="shared" si="5"/>
        <v>51.3598</v>
      </c>
      <c r="Q20" s="59">
        <f t="shared" si="6"/>
        <v>32.527873333333332</v>
      </c>
      <c r="R20" s="42">
        <v>2</v>
      </c>
      <c r="S20" s="105">
        <f t="shared" si="7"/>
        <v>65.055746666666664</v>
      </c>
      <c r="T20" s="105"/>
      <c r="U20" s="60">
        <v>3.5</v>
      </c>
      <c r="V20" s="105">
        <f t="shared" si="8"/>
        <v>227.69511333333332</v>
      </c>
      <c r="W20" s="105"/>
    </row>
    <row r="21" spans="1:27" x14ac:dyDescent="0.3">
      <c r="A21" s="2"/>
      <c r="B21" s="24"/>
      <c r="C21" s="101">
        <v>9</v>
      </c>
      <c r="D21" s="101">
        <v>9</v>
      </c>
      <c r="E21" s="52">
        <v>1</v>
      </c>
      <c r="F21" s="55">
        <v>0</v>
      </c>
      <c r="G21" s="59">
        <f t="shared" si="0"/>
        <v>0</v>
      </c>
      <c r="H21" s="58">
        <v>3.0417999999999998</v>
      </c>
      <c r="I21" s="42">
        <f t="shared" si="1"/>
        <v>3.0417999999999998</v>
      </c>
      <c r="J21" s="58">
        <v>3.7605</v>
      </c>
      <c r="K21" s="42">
        <f t="shared" si="2"/>
        <v>3.7605</v>
      </c>
      <c r="L21" s="58">
        <v>4.0705999999999998</v>
      </c>
      <c r="M21" s="42">
        <f t="shared" si="3"/>
        <v>4.0705999999999998</v>
      </c>
      <c r="N21" s="54">
        <v>4.3037000000000001</v>
      </c>
      <c r="O21" s="42">
        <f t="shared" si="4"/>
        <v>4.3037000000000001</v>
      </c>
      <c r="P21" s="59">
        <f t="shared" si="5"/>
        <v>40.274299999999997</v>
      </c>
      <c r="Q21" s="59">
        <f t="shared" si="6"/>
        <v>25.507056666666664</v>
      </c>
      <c r="R21" s="42">
        <v>1</v>
      </c>
      <c r="S21" s="105">
        <f t="shared" si="7"/>
        <v>25.507056666666664</v>
      </c>
      <c r="T21" s="105"/>
      <c r="U21" s="60">
        <v>4</v>
      </c>
      <c r="V21" s="105">
        <f t="shared" si="8"/>
        <v>102.02822666666665</v>
      </c>
      <c r="W21" s="105"/>
    </row>
    <row r="22" spans="1:27" x14ac:dyDescent="0.3">
      <c r="A22" s="2"/>
      <c r="B22" s="24"/>
      <c r="C22" s="101">
        <v>9.5</v>
      </c>
      <c r="D22" s="101">
        <v>9.5</v>
      </c>
      <c r="E22" s="53">
        <v>2</v>
      </c>
      <c r="F22" s="61">
        <v>0</v>
      </c>
      <c r="G22" s="62">
        <f t="shared" si="0"/>
        <v>0</v>
      </c>
      <c r="H22" s="63">
        <v>1.4650000000000001</v>
      </c>
      <c r="I22" s="51">
        <f t="shared" si="1"/>
        <v>2.93</v>
      </c>
      <c r="J22" s="63">
        <v>2.161</v>
      </c>
      <c r="K22" s="51">
        <f t="shared" si="2"/>
        <v>4.3220000000000001</v>
      </c>
      <c r="L22" s="63">
        <v>2.5228999999999999</v>
      </c>
      <c r="M22" s="51">
        <f t="shared" si="3"/>
        <v>5.0457999999999998</v>
      </c>
      <c r="N22" s="66">
        <v>2.8018999999999998</v>
      </c>
      <c r="O22" s="51">
        <f t="shared" si="4"/>
        <v>5.6037999999999997</v>
      </c>
      <c r="P22" s="62">
        <f t="shared" si="5"/>
        <v>23.075500000000002</v>
      </c>
      <c r="Q22" s="62">
        <f t="shared" si="6"/>
        <v>14.614483333333334</v>
      </c>
      <c r="R22" s="51">
        <v>2</v>
      </c>
      <c r="S22" s="106">
        <f t="shared" si="7"/>
        <v>29.228966666666668</v>
      </c>
      <c r="T22" s="106"/>
      <c r="U22" s="64">
        <v>4.5</v>
      </c>
      <c r="V22" s="106">
        <f t="shared" si="8"/>
        <v>131.53035</v>
      </c>
      <c r="W22" s="106"/>
    </row>
    <row r="23" spans="1:27" x14ac:dyDescent="0.3">
      <c r="A23" s="2"/>
      <c r="B23" s="24"/>
      <c r="C23" s="101">
        <v>10</v>
      </c>
      <c r="D23" s="101">
        <v>10</v>
      </c>
      <c r="E23" s="52">
        <v>0.5</v>
      </c>
      <c r="F23" s="55">
        <v>0</v>
      </c>
      <c r="G23" s="59">
        <f t="shared" si="0"/>
        <v>0</v>
      </c>
      <c r="H23" s="54">
        <v>0</v>
      </c>
      <c r="I23" s="42">
        <f t="shared" si="1"/>
        <v>0</v>
      </c>
      <c r="J23" s="54">
        <v>0</v>
      </c>
      <c r="K23" s="42">
        <f t="shared" si="2"/>
        <v>0</v>
      </c>
      <c r="L23" s="54">
        <v>0</v>
      </c>
      <c r="M23" s="42">
        <f t="shared" si="3"/>
        <v>0</v>
      </c>
      <c r="N23" s="54">
        <v>0</v>
      </c>
      <c r="O23" s="65">
        <f t="shared" si="4"/>
        <v>0</v>
      </c>
      <c r="P23" s="59">
        <f t="shared" si="5"/>
        <v>0</v>
      </c>
      <c r="Q23" s="59">
        <f t="shared" si="6"/>
        <v>0</v>
      </c>
      <c r="R23" s="42">
        <v>0.5</v>
      </c>
      <c r="S23" s="105">
        <f t="shared" si="7"/>
        <v>0</v>
      </c>
      <c r="T23" s="105"/>
      <c r="U23" s="60">
        <v>5</v>
      </c>
      <c r="V23" s="105">
        <f t="shared" si="8"/>
        <v>0</v>
      </c>
      <c r="W23" s="105"/>
    </row>
    <row r="24" spans="1:27" x14ac:dyDescent="0.3">
      <c r="A24" s="2"/>
      <c r="B24" s="24"/>
      <c r="C24" s="103" t="s">
        <v>16</v>
      </c>
      <c r="D24" s="103"/>
      <c r="E24" s="104"/>
      <c r="F24" s="107">
        <f>SUM(G9:G23)</f>
        <v>65.590599999999995</v>
      </c>
      <c r="G24" s="107"/>
      <c r="H24" s="107">
        <f>SUM(I9:I23)</f>
        <v>125.15055000000001</v>
      </c>
      <c r="I24" s="107"/>
      <c r="J24" s="107">
        <f>SUM(K9:K23)</f>
        <v>136.42554997912004</v>
      </c>
      <c r="K24" s="107"/>
      <c r="L24" s="107">
        <f>SUM(M9:M23)</f>
        <v>143.63819997716251</v>
      </c>
      <c r="M24" s="107"/>
      <c r="N24" s="107">
        <f>SUM(O9:O23)</f>
        <v>147.43259997716251</v>
      </c>
      <c r="O24" s="107"/>
      <c r="P24" s="74"/>
      <c r="Q24" s="50">
        <f>SUM(Q9:Q23)</f>
        <v>421.81608663360669</v>
      </c>
      <c r="R24" s="47"/>
      <c r="S24" s="107">
        <f>SUM(S9:T23)</f>
        <v>988.65188990123329</v>
      </c>
      <c r="T24" s="107"/>
      <c r="U24" s="47"/>
      <c r="V24" s="107">
        <f>SUM(V9:W23)</f>
        <v>-20.577189981403791</v>
      </c>
      <c r="W24" s="107"/>
    </row>
    <row r="25" spans="1:27" x14ac:dyDescent="0.3">
      <c r="A25" s="2"/>
      <c r="B25" s="24"/>
      <c r="C25" s="103" t="s">
        <v>17</v>
      </c>
      <c r="D25" s="103"/>
      <c r="E25" s="103"/>
      <c r="F25" s="108">
        <f>(1/3)*W33*F24*2</f>
        <v>282.25821533333328</v>
      </c>
      <c r="G25" s="108"/>
      <c r="H25" s="108">
        <f>(1/3)*W33*H24*2</f>
        <v>538.56453349999992</v>
      </c>
      <c r="I25" s="108"/>
      <c r="J25" s="108">
        <f>(1/3)*W33*J24*2</f>
        <v>587.08461674347984</v>
      </c>
      <c r="K25" s="108"/>
      <c r="L25" s="108">
        <f>(1/3)*W33*L24*2</f>
        <v>618.12305390172264</v>
      </c>
      <c r="M25" s="108"/>
      <c r="N25" s="108">
        <f>(1/3)*W33*N24*2</f>
        <v>634.45162190172255</v>
      </c>
      <c r="O25" s="108"/>
      <c r="P25" s="19"/>
      <c r="Q25" s="19"/>
      <c r="R25" s="19"/>
      <c r="S25" s="15"/>
      <c r="T25" s="15"/>
      <c r="U25" s="15"/>
      <c r="V25" s="15"/>
      <c r="W25" s="15"/>
    </row>
    <row r="26" spans="1:27" x14ac:dyDescent="0.3">
      <c r="A26" s="2"/>
      <c r="B26" s="24"/>
      <c r="C26" s="103" t="s">
        <v>18</v>
      </c>
      <c r="D26" s="103"/>
      <c r="E26" s="103"/>
      <c r="F26" s="108">
        <f>F25*F7</f>
        <v>282.25821533333328</v>
      </c>
      <c r="G26" s="108"/>
      <c r="H26" s="108">
        <f>H25*H7</f>
        <v>2154.2581339999997</v>
      </c>
      <c r="I26" s="108"/>
      <c r="J26" s="108">
        <f>J25*J7</f>
        <v>1174.1692334869597</v>
      </c>
      <c r="K26" s="108"/>
      <c r="L26" s="108">
        <f>L25*L7</f>
        <v>2472.4922156068906</v>
      </c>
      <c r="M26" s="108"/>
      <c r="N26" s="108">
        <f>N25*N7</f>
        <v>634.45162190172255</v>
      </c>
      <c r="O26" s="108"/>
      <c r="P26" s="19"/>
      <c r="Q26" s="19"/>
      <c r="R26" s="103" t="s">
        <v>19</v>
      </c>
      <c r="S26" s="103"/>
      <c r="T26" s="38">
        <f>(1/3)*W33*S24</f>
        <v>2127.2493164374869</v>
      </c>
      <c r="U26" s="15"/>
      <c r="V26" s="15"/>
      <c r="W26" s="15"/>
    </row>
    <row r="27" spans="1:27" x14ac:dyDescent="0.3">
      <c r="A27" s="2"/>
      <c r="B27" s="24"/>
      <c r="C27" s="103" t="s">
        <v>12</v>
      </c>
      <c r="D27" s="103"/>
      <c r="E27" s="103"/>
      <c r="F27" s="108">
        <v>0</v>
      </c>
      <c r="G27" s="108"/>
      <c r="H27" s="108">
        <v>1</v>
      </c>
      <c r="I27" s="108"/>
      <c r="J27" s="108">
        <v>2</v>
      </c>
      <c r="K27" s="108"/>
      <c r="L27" s="108">
        <v>3</v>
      </c>
      <c r="M27" s="108"/>
      <c r="N27" s="108">
        <v>4</v>
      </c>
      <c r="O27" s="108"/>
      <c r="P27" s="19"/>
      <c r="Q27" s="19"/>
      <c r="R27" s="103" t="s">
        <v>20</v>
      </c>
      <c r="S27" s="103"/>
      <c r="T27" s="38">
        <f>1*T26</f>
        <v>2127.2493164374869</v>
      </c>
      <c r="U27" s="15"/>
      <c r="V27" s="15"/>
      <c r="W27" s="15"/>
    </row>
    <row r="28" spans="1:27" x14ac:dyDescent="0.3">
      <c r="A28" s="2"/>
      <c r="B28" s="24"/>
      <c r="C28" s="103" t="s">
        <v>13</v>
      </c>
      <c r="D28" s="103"/>
      <c r="E28" s="103"/>
      <c r="F28" s="108">
        <f>F27*F26</f>
        <v>0</v>
      </c>
      <c r="G28" s="108"/>
      <c r="H28" s="108">
        <f>H27*H26</f>
        <v>2154.2581339999997</v>
      </c>
      <c r="I28" s="108"/>
      <c r="J28" s="108">
        <f>J27*J26</f>
        <v>2348.3384669739194</v>
      </c>
      <c r="K28" s="108"/>
      <c r="L28" s="108">
        <f>L27*L26</f>
        <v>7417.4766468206717</v>
      </c>
      <c r="M28" s="108"/>
      <c r="N28" s="108">
        <f>N27*N26</f>
        <v>2537.8064876068902</v>
      </c>
      <c r="O28" s="108"/>
      <c r="P28" s="19"/>
      <c r="Q28" s="19"/>
      <c r="R28" s="103" t="s">
        <v>21</v>
      </c>
      <c r="S28" s="103"/>
      <c r="T28" s="38">
        <f>(W33*V24)/S24</f>
        <v>-0.13435038428261217</v>
      </c>
      <c r="U28" s="15"/>
      <c r="V28" s="15"/>
      <c r="W28" s="15"/>
    </row>
    <row r="29" spans="1:27" ht="15.6" x14ac:dyDescent="0.35">
      <c r="A29" s="2"/>
      <c r="B29" s="24"/>
      <c r="C29" s="103" t="s">
        <v>22</v>
      </c>
      <c r="D29" s="103"/>
      <c r="E29" s="103"/>
      <c r="F29" s="38">
        <f>F26+H26+J26+L26+N26</f>
        <v>6717.6294203289053</v>
      </c>
      <c r="G29" s="20"/>
      <c r="H29" s="19"/>
      <c r="I29" s="19"/>
      <c r="J29" s="19"/>
      <c r="K29" s="19"/>
      <c r="L29" s="19"/>
      <c r="M29" s="19"/>
      <c r="N29" s="19"/>
      <c r="O29" s="19"/>
      <c r="P29" s="17"/>
      <c r="Q29" s="17"/>
      <c r="R29" s="103" t="s">
        <v>23</v>
      </c>
      <c r="S29" s="103"/>
      <c r="T29" s="83">
        <f>T26/(64.55*10.77*(4*W34))</f>
        <v>0.80523537596412498</v>
      </c>
      <c r="U29" s="15"/>
      <c r="V29" s="19"/>
      <c r="W29" s="19"/>
    </row>
    <row r="30" spans="1:27" ht="15.6" x14ac:dyDescent="0.35">
      <c r="A30" s="2"/>
      <c r="B30" s="24"/>
      <c r="C30" s="103" t="s">
        <v>19</v>
      </c>
      <c r="D30" s="103"/>
      <c r="E30" s="103"/>
      <c r="F30" s="38">
        <f>(F29*W34)/3</f>
        <v>2127.2493164374869</v>
      </c>
      <c r="G30" s="20"/>
      <c r="H30" s="16"/>
      <c r="I30" s="16"/>
      <c r="J30" s="16"/>
      <c r="K30" s="19"/>
      <c r="L30" s="19"/>
      <c r="M30" s="19"/>
      <c r="N30" s="19"/>
      <c r="O30" s="19"/>
      <c r="P30" s="19"/>
      <c r="Q30" s="17"/>
      <c r="R30" s="103" t="s">
        <v>24</v>
      </c>
      <c r="S30" s="103"/>
      <c r="T30" s="39">
        <f>N25/(64.55*10.77)</f>
        <v>0.91261281322910859</v>
      </c>
      <c r="U30" s="19"/>
      <c r="V30" s="19"/>
      <c r="W30" s="19"/>
    </row>
    <row r="31" spans="1:27" ht="15.6" x14ac:dyDescent="0.35">
      <c r="B31" s="24"/>
      <c r="C31" s="103" t="s">
        <v>20</v>
      </c>
      <c r="D31" s="103"/>
      <c r="E31" s="103"/>
      <c r="F31" s="38">
        <f>1*F30</f>
        <v>2127.2493164374869</v>
      </c>
      <c r="G31" s="20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03" t="s">
        <v>25</v>
      </c>
      <c r="S31" s="103"/>
      <c r="T31" s="39">
        <f>Q16/(10.77*(4*W34))</f>
        <v>0.96629835949961318</v>
      </c>
      <c r="U31" s="19"/>
      <c r="V31" s="19"/>
      <c r="W31" s="19"/>
    </row>
    <row r="32" spans="1:27" ht="15.6" x14ac:dyDescent="0.35">
      <c r="B32" s="24"/>
      <c r="C32" s="103" t="s">
        <v>26</v>
      </c>
      <c r="D32" s="103"/>
      <c r="E32" s="103"/>
      <c r="F32" s="38">
        <f>F28+H28+J28+L28+N28</f>
        <v>14457.879735401479</v>
      </c>
      <c r="G32" s="20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03" t="s">
        <v>27</v>
      </c>
      <c r="S32" s="103"/>
      <c r="T32" s="39">
        <f>T29/T31</f>
        <v>0.83331961401766963</v>
      </c>
      <c r="U32" s="19"/>
      <c r="V32" s="19"/>
      <c r="W32" s="19"/>
    </row>
    <row r="33" spans="2:23" x14ac:dyDescent="0.3">
      <c r="B33" s="24"/>
      <c r="C33" s="103" t="s">
        <v>28</v>
      </c>
      <c r="D33" s="103"/>
      <c r="E33" s="103"/>
      <c r="F33" s="38">
        <f>(F32*W34)/F29</f>
        <v>2.0446179580949435</v>
      </c>
      <c r="G33" s="20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5"/>
      <c r="S33" s="15"/>
      <c r="T33" s="15"/>
      <c r="U33" s="109" t="s">
        <v>29</v>
      </c>
      <c r="V33" s="109"/>
      <c r="W33" s="22">
        <v>6.4550000000000001</v>
      </c>
    </row>
    <row r="34" spans="2:23" x14ac:dyDescent="0.3">
      <c r="B34" s="24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15"/>
      <c r="S34" s="15"/>
      <c r="T34" s="15"/>
      <c r="U34" s="109" t="s">
        <v>30</v>
      </c>
      <c r="V34" s="109"/>
      <c r="W34" s="22">
        <v>0.95</v>
      </c>
    </row>
    <row r="38" spans="2:23" x14ac:dyDescent="0.3">
      <c r="C38" s="7"/>
      <c r="D38" s="8"/>
      <c r="E38" s="8"/>
      <c r="F38" s="8"/>
      <c r="G38" s="8"/>
      <c r="H38" s="8"/>
      <c r="I38" s="8"/>
      <c r="J38" s="8"/>
    </row>
  </sheetData>
  <mergeCells count="110">
    <mergeCell ref="C32:E32"/>
    <mergeCell ref="R32:S32"/>
    <mergeCell ref="C33:E33"/>
    <mergeCell ref="U33:V33"/>
    <mergeCell ref="U34:V34"/>
    <mergeCell ref="C31:E31"/>
    <mergeCell ref="R31:S31"/>
    <mergeCell ref="C28:E28"/>
    <mergeCell ref="F28:G28"/>
    <mergeCell ref="H28:I28"/>
    <mergeCell ref="J28:K28"/>
    <mergeCell ref="L28:M28"/>
    <mergeCell ref="N28:O28"/>
    <mergeCell ref="R28:S28"/>
    <mergeCell ref="C29:E29"/>
    <mergeCell ref="R29:S29"/>
    <mergeCell ref="C30:E30"/>
    <mergeCell ref="R30:S30"/>
    <mergeCell ref="R26:S26"/>
    <mergeCell ref="F27:G27"/>
    <mergeCell ref="H27:I27"/>
    <mergeCell ref="J27:K27"/>
    <mergeCell ref="L27:M27"/>
    <mergeCell ref="N27:O27"/>
    <mergeCell ref="R27:S27"/>
    <mergeCell ref="F26:G26"/>
    <mergeCell ref="H26:I26"/>
    <mergeCell ref="J26:K26"/>
    <mergeCell ref="L26:M26"/>
    <mergeCell ref="N26:O26"/>
    <mergeCell ref="S24:T24"/>
    <mergeCell ref="V24:W24"/>
    <mergeCell ref="F25:G25"/>
    <mergeCell ref="H25:I25"/>
    <mergeCell ref="J25:K25"/>
    <mergeCell ref="L25:M25"/>
    <mergeCell ref="N25:O25"/>
    <mergeCell ref="F24:G24"/>
    <mergeCell ref="H24:I24"/>
    <mergeCell ref="J24:K24"/>
    <mergeCell ref="L24:M24"/>
    <mergeCell ref="N24:O24"/>
    <mergeCell ref="S19:T19"/>
    <mergeCell ref="V19:W19"/>
    <mergeCell ref="S20:T20"/>
    <mergeCell ref="V20:W20"/>
    <mergeCell ref="S21:T21"/>
    <mergeCell ref="V21:W21"/>
    <mergeCell ref="S22:T22"/>
    <mergeCell ref="V22:W22"/>
    <mergeCell ref="S23:T23"/>
    <mergeCell ref="V23:W23"/>
    <mergeCell ref="S14:T14"/>
    <mergeCell ref="V14:W14"/>
    <mergeCell ref="S15:T15"/>
    <mergeCell ref="V15:W15"/>
    <mergeCell ref="S16:T16"/>
    <mergeCell ref="V16:W16"/>
    <mergeCell ref="S17:T17"/>
    <mergeCell ref="V17:W17"/>
    <mergeCell ref="S18:T18"/>
    <mergeCell ref="V18:W18"/>
    <mergeCell ref="S9:T9"/>
    <mergeCell ref="V9:W9"/>
    <mergeCell ref="S10:T10"/>
    <mergeCell ref="V10:W10"/>
    <mergeCell ref="S11:T11"/>
    <mergeCell ref="V11:W11"/>
    <mergeCell ref="S12:T12"/>
    <mergeCell ref="V12:W12"/>
    <mergeCell ref="S13:T13"/>
    <mergeCell ref="V13:W13"/>
    <mergeCell ref="C26:E26"/>
    <mergeCell ref="C27:E27"/>
    <mergeCell ref="C24:E24"/>
    <mergeCell ref="C25:E25"/>
    <mergeCell ref="E4:E8"/>
    <mergeCell ref="F4:G6"/>
    <mergeCell ref="H4:I6"/>
    <mergeCell ref="J4:K6"/>
    <mergeCell ref="L4:M6"/>
    <mergeCell ref="F7:G7"/>
    <mergeCell ref="H7:I7"/>
    <mergeCell ref="J7:K7"/>
    <mergeCell ref="L7:M7"/>
    <mergeCell ref="C23:D23"/>
    <mergeCell ref="C1:W3"/>
    <mergeCell ref="C18:D18"/>
    <mergeCell ref="C19:D19"/>
    <mergeCell ref="C20:D20"/>
    <mergeCell ref="C21:D21"/>
    <mergeCell ref="C22:D22"/>
    <mergeCell ref="C13:D13"/>
    <mergeCell ref="C14:D14"/>
    <mergeCell ref="C15:D15"/>
    <mergeCell ref="C16:D16"/>
    <mergeCell ref="C17:D17"/>
    <mergeCell ref="C4:D8"/>
    <mergeCell ref="C9:D9"/>
    <mergeCell ref="C10:D10"/>
    <mergeCell ref="C11:D11"/>
    <mergeCell ref="C12:D12"/>
    <mergeCell ref="N4:O6"/>
    <mergeCell ref="P4:P8"/>
    <mergeCell ref="N7:O7"/>
    <mergeCell ref="Q4:Q8"/>
    <mergeCell ref="R4:R8"/>
    <mergeCell ref="S4:T8"/>
    <mergeCell ref="U4:U8"/>
    <mergeCell ref="V4:W8"/>
  </mergeCells>
  <pageMargins left="0.7" right="0.7" top="0.75" bottom="0.75" header="0.3" footer="0.3"/>
  <pageSetup scale="58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A547B-70C0-4B00-9069-4E3F7C753AC4}">
  <dimension ref="B1:M27"/>
  <sheetViews>
    <sheetView zoomScale="85" zoomScaleNormal="85" workbookViewId="0">
      <selection activeCell="F30" sqref="F30"/>
    </sheetView>
  </sheetViews>
  <sheetFormatPr defaultColWidth="8.88671875" defaultRowHeight="14.4" x14ac:dyDescent="0.3"/>
  <cols>
    <col min="1" max="4" width="8.88671875" style="1"/>
    <col min="5" max="5" width="12" style="1" bestFit="1" customWidth="1"/>
    <col min="6" max="6" width="10.109375" style="1" customWidth="1"/>
    <col min="7" max="7" width="11.21875" style="1" customWidth="1"/>
    <col min="8" max="10" width="11.6640625" style="1" customWidth="1"/>
    <col min="11" max="16384" width="8.88671875" style="1"/>
  </cols>
  <sheetData>
    <row r="1" spans="2:13" x14ac:dyDescent="0.3"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2:13" ht="23.4" customHeight="1" x14ac:dyDescent="0.3">
      <c r="B2" s="100" t="s">
        <v>31</v>
      </c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25"/>
    </row>
    <row r="3" spans="2:13" x14ac:dyDescent="0.3"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25"/>
    </row>
    <row r="4" spans="2:13" x14ac:dyDescent="0.3">
      <c r="B4" s="112" t="s">
        <v>2</v>
      </c>
      <c r="C4" s="112"/>
      <c r="D4" s="112" t="s">
        <v>3</v>
      </c>
      <c r="E4" s="112" t="s">
        <v>32</v>
      </c>
      <c r="F4" s="113" t="s">
        <v>33</v>
      </c>
      <c r="G4" s="113"/>
      <c r="H4" s="113" t="s">
        <v>34</v>
      </c>
      <c r="I4" s="113"/>
      <c r="J4" s="113"/>
      <c r="K4" s="113"/>
      <c r="L4" s="113"/>
      <c r="M4" s="25"/>
    </row>
    <row r="5" spans="2:13" x14ac:dyDescent="0.3">
      <c r="B5" s="112"/>
      <c r="C5" s="112"/>
      <c r="D5" s="112"/>
      <c r="E5" s="112"/>
      <c r="F5" s="70" t="s">
        <v>35</v>
      </c>
      <c r="G5" s="70" t="s">
        <v>36</v>
      </c>
      <c r="H5" s="70" t="s">
        <v>37</v>
      </c>
      <c r="I5" s="70" t="s">
        <v>12</v>
      </c>
      <c r="J5" s="70" t="s">
        <v>38</v>
      </c>
      <c r="K5" s="70" t="s">
        <v>12</v>
      </c>
      <c r="L5" s="70" t="s">
        <v>39</v>
      </c>
      <c r="M5" s="25"/>
    </row>
    <row r="6" spans="2:13" x14ac:dyDescent="0.3">
      <c r="B6" s="111">
        <v>0</v>
      </c>
      <c r="C6" s="111"/>
      <c r="D6" s="42">
        <v>0.5</v>
      </c>
      <c r="E6" s="49">
        <v>0.61719999999999997</v>
      </c>
      <c r="F6" s="45">
        <f>E6*E6*E6</f>
        <v>0.23511360044799998</v>
      </c>
      <c r="G6" s="45">
        <f>D6*F6</f>
        <v>0.11755680022399999</v>
      </c>
      <c r="H6" s="45">
        <f>D6*E6</f>
        <v>0.30859999999999999</v>
      </c>
      <c r="I6" s="48">
        <v>-5</v>
      </c>
      <c r="J6" s="45">
        <f>H6*I6</f>
        <v>-1.5429999999999999</v>
      </c>
      <c r="K6" s="48">
        <v>-5</v>
      </c>
      <c r="L6" s="45">
        <f>J6*K6</f>
        <v>7.7149999999999999</v>
      </c>
      <c r="M6" s="25"/>
    </row>
    <row r="7" spans="2:13" x14ac:dyDescent="0.3">
      <c r="B7" s="111">
        <v>0.5</v>
      </c>
      <c r="C7" s="111"/>
      <c r="D7" s="42">
        <v>2</v>
      </c>
      <c r="E7" s="49">
        <v>4.3902999999999999</v>
      </c>
      <c r="F7" s="45">
        <f t="shared" ref="F7:F20" si="0">E7*E7*E7</f>
        <v>84.621865075326994</v>
      </c>
      <c r="G7" s="45">
        <f t="shared" ref="G7:G20" si="1">D7*F7</f>
        <v>169.24373015065399</v>
      </c>
      <c r="H7" s="45">
        <f t="shared" ref="H7:H20" si="2">D7*E7</f>
        <v>8.7805999999999997</v>
      </c>
      <c r="I7" s="48">
        <v>-4.5</v>
      </c>
      <c r="J7" s="45">
        <f t="shared" ref="J7:J20" si="3">H7*I7</f>
        <v>-39.512699999999995</v>
      </c>
      <c r="K7" s="48">
        <v>-4.5</v>
      </c>
      <c r="L7" s="45">
        <f t="shared" ref="L7:L20" si="4">J7*K7</f>
        <v>177.80714999999998</v>
      </c>
      <c r="M7" s="25"/>
    </row>
    <row r="8" spans="2:13" x14ac:dyDescent="0.3">
      <c r="B8" s="111">
        <v>1</v>
      </c>
      <c r="C8" s="111"/>
      <c r="D8" s="42">
        <v>1</v>
      </c>
      <c r="E8" s="49">
        <v>5.2948000000000004</v>
      </c>
      <c r="F8" s="45">
        <f t="shared" si="0"/>
        <v>148.43922579539202</v>
      </c>
      <c r="G8" s="45">
        <f t="shared" si="1"/>
        <v>148.43922579539202</v>
      </c>
      <c r="H8" s="45">
        <f t="shared" si="2"/>
        <v>5.2948000000000004</v>
      </c>
      <c r="I8" s="48">
        <v>-4</v>
      </c>
      <c r="J8" s="45">
        <f t="shared" si="3"/>
        <v>-21.179200000000002</v>
      </c>
      <c r="K8" s="48">
        <v>-4</v>
      </c>
      <c r="L8" s="45">
        <f t="shared" si="4"/>
        <v>84.716800000000006</v>
      </c>
      <c r="M8" s="25"/>
    </row>
    <row r="9" spans="2:13" x14ac:dyDescent="0.3">
      <c r="B9" s="111">
        <v>1.5</v>
      </c>
      <c r="C9" s="111"/>
      <c r="D9" s="42">
        <v>2</v>
      </c>
      <c r="E9" s="49">
        <v>5.3602999999999996</v>
      </c>
      <c r="F9" s="45">
        <f t="shared" si="0"/>
        <v>154.01651408722697</v>
      </c>
      <c r="G9" s="45">
        <f>D9*F9</f>
        <v>308.03302817445393</v>
      </c>
      <c r="H9" s="45">
        <f>D9*E9</f>
        <v>10.720599999999999</v>
      </c>
      <c r="I9" s="48">
        <v>-3.5</v>
      </c>
      <c r="J9" s="45">
        <f>H9*I9</f>
        <v>-37.522099999999995</v>
      </c>
      <c r="K9" s="48">
        <v>-3.5</v>
      </c>
      <c r="L9" s="45">
        <f t="shared" si="4"/>
        <v>131.32734999999997</v>
      </c>
      <c r="M9" s="25"/>
    </row>
    <row r="10" spans="2:13" x14ac:dyDescent="0.3">
      <c r="B10" s="111">
        <v>2</v>
      </c>
      <c r="C10" s="111"/>
      <c r="D10" s="42">
        <v>1.5</v>
      </c>
      <c r="E10" s="49">
        <v>5.3849999986950001</v>
      </c>
      <c r="F10" s="45">
        <f t="shared" si="0"/>
        <v>156.15544151147196</v>
      </c>
      <c r="G10" s="45">
        <f t="shared" si="1"/>
        <v>234.23316226720794</v>
      </c>
      <c r="H10" s="45">
        <f t="shared" si="2"/>
        <v>8.0774999980424997</v>
      </c>
      <c r="I10" s="48">
        <v>-3</v>
      </c>
      <c r="J10" s="45">
        <f t="shared" si="3"/>
        <v>-24.232499994127501</v>
      </c>
      <c r="K10" s="48">
        <v>-3</v>
      </c>
      <c r="L10" s="45">
        <f t="shared" si="4"/>
        <v>72.69749998238251</v>
      </c>
      <c r="M10" s="25"/>
    </row>
    <row r="11" spans="2:13" x14ac:dyDescent="0.3">
      <c r="B11" s="111">
        <v>3</v>
      </c>
      <c r="C11" s="111"/>
      <c r="D11" s="42">
        <v>4</v>
      </c>
      <c r="E11" s="49">
        <v>5.3849999986950001</v>
      </c>
      <c r="F11" s="45">
        <f t="shared" si="0"/>
        <v>156.15544151147196</v>
      </c>
      <c r="G11" s="45">
        <f t="shared" si="1"/>
        <v>624.62176604588785</v>
      </c>
      <c r="H11" s="45">
        <f t="shared" si="2"/>
        <v>21.53999999478</v>
      </c>
      <c r="I11" s="48">
        <v>-2</v>
      </c>
      <c r="J11" s="45">
        <f t="shared" si="3"/>
        <v>-43.079999989560001</v>
      </c>
      <c r="K11" s="48">
        <v>-2</v>
      </c>
      <c r="L11" s="45">
        <f t="shared" si="4"/>
        <v>86.159999979120002</v>
      </c>
      <c r="M11" s="25"/>
    </row>
    <row r="12" spans="2:13" x14ac:dyDescent="0.3">
      <c r="B12" s="111">
        <v>4</v>
      </c>
      <c r="C12" s="111"/>
      <c r="D12" s="42">
        <v>2</v>
      </c>
      <c r="E12" s="49">
        <v>5.3849999986950001</v>
      </c>
      <c r="F12" s="45">
        <f t="shared" si="0"/>
        <v>156.15544151147196</v>
      </c>
      <c r="G12" s="45">
        <f t="shared" si="1"/>
        <v>312.31088302294393</v>
      </c>
      <c r="H12" s="45">
        <f t="shared" si="2"/>
        <v>10.76999999739</v>
      </c>
      <c r="I12" s="48">
        <v>-1</v>
      </c>
      <c r="J12" s="45">
        <f t="shared" si="3"/>
        <v>-10.76999999739</v>
      </c>
      <c r="K12" s="48">
        <v>-1</v>
      </c>
      <c r="L12" s="45">
        <f t="shared" si="4"/>
        <v>10.76999999739</v>
      </c>
      <c r="M12" s="25"/>
    </row>
    <row r="13" spans="2:13" x14ac:dyDescent="0.3">
      <c r="B13" s="111">
        <v>5</v>
      </c>
      <c r="C13" s="111"/>
      <c r="D13" s="42">
        <v>4</v>
      </c>
      <c r="E13" s="49">
        <v>5.3849999986950001</v>
      </c>
      <c r="F13" s="45">
        <f t="shared" si="0"/>
        <v>156.15544151147196</v>
      </c>
      <c r="G13" s="45">
        <f t="shared" si="1"/>
        <v>624.62176604588785</v>
      </c>
      <c r="H13" s="45">
        <f t="shared" si="2"/>
        <v>21.53999999478</v>
      </c>
      <c r="I13" s="48">
        <v>0</v>
      </c>
      <c r="J13" s="45">
        <f t="shared" si="3"/>
        <v>0</v>
      </c>
      <c r="K13" s="48">
        <v>0</v>
      </c>
      <c r="L13" s="45">
        <f t="shared" si="4"/>
        <v>0</v>
      </c>
      <c r="M13" s="25"/>
    </row>
    <row r="14" spans="2:13" x14ac:dyDescent="0.3">
      <c r="B14" s="111">
        <v>6</v>
      </c>
      <c r="C14" s="111"/>
      <c r="D14" s="42">
        <v>2</v>
      </c>
      <c r="E14" s="49">
        <v>5.3849999986950001</v>
      </c>
      <c r="F14" s="45">
        <f t="shared" si="0"/>
        <v>156.15544151147196</v>
      </c>
      <c r="G14" s="45">
        <f t="shared" si="1"/>
        <v>312.31088302294393</v>
      </c>
      <c r="H14" s="45">
        <f t="shared" si="2"/>
        <v>10.76999999739</v>
      </c>
      <c r="I14" s="48">
        <v>1</v>
      </c>
      <c r="J14" s="45">
        <f t="shared" si="3"/>
        <v>10.76999999739</v>
      </c>
      <c r="K14" s="48">
        <v>1</v>
      </c>
      <c r="L14" s="45">
        <f t="shared" si="4"/>
        <v>10.76999999739</v>
      </c>
      <c r="M14" s="25"/>
    </row>
    <row r="15" spans="2:13" x14ac:dyDescent="0.3">
      <c r="B15" s="111">
        <v>7</v>
      </c>
      <c r="C15" s="111"/>
      <c r="D15" s="42">
        <v>4</v>
      </c>
      <c r="E15" s="49">
        <v>5.3849999986950001</v>
      </c>
      <c r="F15" s="45">
        <f t="shared" si="0"/>
        <v>156.15544151147196</v>
      </c>
      <c r="G15" s="45">
        <f t="shared" si="1"/>
        <v>624.62176604588785</v>
      </c>
      <c r="H15" s="45">
        <f t="shared" si="2"/>
        <v>21.53999999478</v>
      </c>
      <c r="I15" s="48">
        <v>2</v>
      </c>
      <c r="J15" s="45">
        <f t="shared" si="3"/>
        <v>43.079999989560001</v>
      </c>
      <c r="K15" s="48">
        <v>2</v>
      </c>
      <c r="L15" s="45">
        <f t="shared" si="4"/>
        <v>86.159999979120002</v>
      </c>
      <c r="M15" s="25"/>
    </row>
    <row r="16" spans="2:13" x14ac:dyDescent="0.3">
      <c r="B16" s="111">
        <v>8</v>
      </c>
      <c r="C16" s="111"/>
      <c r="D16" s="42">
        <v>1.5</v>
      </c>
      <c r="E16" s="49">
        <v>5.31</v>
      </c>
      <c r="F16" s="45">
        <f t="shared" si="0"/>
        <v>149.72129099999995</v>
      </c>
      <c r="G16" s="45">
        <f t="shared" si="1"/>
        <v>224.58193649999993</v>
      </c>
      <c r="H16" s="45">
        <f t="shared" si="2"/>
        <v>7.9649999999999999</v>
      </c>
      <c r="I16" s="48">
        <v>3</v>
      </c>
      <c r="J16" s="45">
        <f t="shared" si="3"/>
        <v>23.895</v>
      </c>
      <c r="K16" s="48">
        <v>3</v>
      </c>
      <c r="L16" s="45">
        <f t="shared" si="4"/>
        <v>71.685000000000002</v>
      </c>
      <c r="M16" s="25"/>
    </row>
    <row r="17" spans="2:13" x14ac:dyDescent="0.3">
      <c r="B17" s="111">
        <v>8.5</v>
      </c>
      <c r="C17" s="111"/>
      <c r="D17" s="42">
        <v>2</v>
      </c>
      <c r="E17" s="49">
        <v>5.109</v>
      </c>
      <c r="F17" s="45">
        <f t="shared" si="0"/>
        <v>133.35451002899998</v>
      </c>
      <c r="G17" s="45">
        <f t="shared" si="1"/>
        <v>266.70902005799996</v>
      </c>
      <c r="H17" s="45">
        <f t="shared" si="2"/>
        <v>10.218</v>
      </c>
      <c r="I17" s="48">
        <v>3.5</v>
      </c>
      <c r="J17" s="45">
        <f t="shared" si="3"/>
        <v>35.762999999999998</v>
      </c>
      <c r="K17" s="48">
        <v>3.5</v>
      </c>
      <c r="L17" s="45">
        <f t="shared" si="4"/>
        <v>125.17049999999999</v>
      </c>
      <c r="M17" s="25"/>
    </row>
    <row r="18" spans="2:13" x14ac:dyDescent="0.3">
      <c r="B18" s="111">
        <v>9</v>
      </c>
      <c r="C18" s="111"/>
      <c r="D18" s="42">
        <v>1</v>
      </c>
      <c r="E18" s="49">
        <v>4.3037000000000001</v>
      </c>
      <c r="F18" s="45">
        <f t="shared" si="0"/>
        <v>79.712415651653004</v>
      </c>
      <c r="G18" s="45">
        <f t="shared" si="1"/>
        <v>79.712415651653004</v>
      </c>
      <c r="H18" s="45">
        <f t="shared" si="2"/>
        <v>4.3037000000000001</v>
      </c>
      <c r="I18" s="48">
        <v>4</v>
      </c>
      <c r="J18" s="45">
        <f t="shared" si="3"/>
        <v>17.2148</v>
      </c>
      <c r="K18" s="48">
        <v>4</v>
      </c>
      <c r="L18" s="45">
        <f t="shared" si="4"/>
        <v>68.859200000000001</v>
      </c>
      <c r="M18" s="25"/>
    </row>
    <row r="19" spans="2:13" x14ac:dyDescent="0.3">
      <c r="B19" s="111">
        <v>9.5</v>
      </c>
      <c r="C19" s="111"/>
      <c r="D19" s="42">
        <v>2</v>
      </c>
      <c r="E19" s="49">
        <v>2.8018999999999998</v>
      </c>
      <c r="F19" s="45">
        <f t="shared" si="0"/>
        <v>21.996718330858997</v>
      </c>
      <c r="G19" s="45">
        <f t="shared" si="1"/>
        <v>43.993436661717993</v>
      </c>
      <c r="H19" s="45">
        <f t="shared" si="2"/>
        <v>5.6037999999999997</v>
      </c>
      <c r="I19" s="48">
        <v>4.5</v>
      </c>
      <c r="J19" s="45">
        <f t="shared" si="3"/>
        <v>25.217099999999999</v>
      </c>
      <c r="K19" s="48">
        <v>4.5</v>
      </c>
      <c r="L19" s="45">
        <f t="shared" si="4"/>
        <v>113.47694999999999</v>
      </c>
      <c r="M19" s="25"/>
    </row>
    <row r="20" spans="2:13" x14ac:dyDescent="0.3">
      <c r="B20" s="111">
        <v>10</v>
      </c>
      <c r="C20" s="111"/>
      <c r="D20" s="42">
        <v>0.5</v>
      </c>
      <c r="E20" s="49">
        <v>0</v>
      </c>
      <c r="F20" s="45">
        <f t="shared" si="0"/>
        <v>0</v>
      </c>
      <c r="G20" s="45">
        <f t="shared" si="1"/>
        <v>0</v>
      </c>
      <c r="H20" s="45">
        <f t="shared" si="2"/>
        <v>0</v>
      </c>
      <c r="I20" s="48">
        <v>5</v>
      </c>
      <c r="J20" s="45">
        <f t="shared" si="3"/>
        <v>0</v>
      </c>
      <c r="K20" s="48">
        <v>5</v>
      </c>
      <c r="L20" s="45">
        <f t="shared" si="4"/>
        <v>0</v>
      </c>
      <c r="M20" s="25"/>
    </row>
    <row r="21" spans="2:13" x14ac:dyDescent="0.3">
      <c r="B21" s="115"/>
      <c r="C21" s="115"/>
      <c r="D21" s="115"/>
      <c r="E21" s="115"/>
      <c r="F21" s="115"/>
      <c r="G21" s="67">
        <f>SUM(G6:G20)</f>
        <v>3973.5505762428543</v>
      </c>
      <c r="H21" s="67">
        <f>SUM(H6:H20)</f>
        <v>147.43259997716251</v>
      </c>
      <c r="I21" s="67"/>
      <c r="J21" s="67">
        <f>SUM(J6:J20)</f>
        <v>-21.899599994127517</v>
      </c>
      <c r="K21" s="67"/>
      <c r="L21" s="67">
        <f>SUM(L6:L20)</f>
        <v>1047.3154499354023</v>
      </c>
      <c r="M21" s="25"/>
    </row>
    <row r="22" spans="2:13" x14ac:dyDescent="0.3">
      <c r="B22" s="37"/>
      <c r="C22" s="37"/>
      <c r="D22" s="37"/>
      <c r="E22" s="37"/>
      <c r="F22" s="37"/>
      <c r="G22" s="36"/>
      <c r="H22" s="36"/>
      <c r="I22" s="36"/>
      <c r="J22" s="36"/>
      <c r="K22" s="36"/>
      <c r="L22" s="36"/>
      <c r="M22" s="25"/>
    </row>
    <row r="23" spans="2:13" x14ac:dyDescent="0.3">
      <c r="B23" s="114" t="s">
        <v>40</v>
      </c>
      <c r="C23" s="114"/>
      <c r="D23" s="114"/>
      <c r="E23" s="39">
        <f>(1/3)*(1/3)*2*'WL 4 Displacement'!W33*(G21/'WL 4 Displacement'!T27)</f>
        <v>2.6794403010344476</v>
      </c>
      <c r="F23" s="27"/>
      <c r="G23" s="114" t="s">
        <v>41</v>
      </c>
      <c r="H23" s="114"/>
      <c r="I23" s="114"/>
      <c r="J23" s="39">
        <f>(1/3)*2*L21*('WL 4 Displacement'!W33)^3</f>
        <v>187791.09358209983</v>
      </c>
      <c r="K23" s="18" t="s">
        <v>42</v>
      </c>
      <c r="L23" s="37"/>
      <c r="M23" s="25"/>
    </row>
    <row r="24" spans="2:13" x14ac:dyDescent="0.3">
      <c r="B24" s="114" t="s">
        <v>43</v>
      </c>
      <c r="C24" s="114"/>
      <c r="D24" s="114"/>
      <c r="E24" s="39">
        <f>(1/3)*'WL 4 Displacement'!W33*2*H21</f>
        <v>634.45162190172255</v>
      </c>
      <c r="F24" s="27"/>
      <c r="G24" s="114" t="s">
        <v>44</v>
      </c>
      <c r="H24" s="114"/>
      <c r="I24" s="114"/>
      <c r="J24" s="39">
        <f>J23-(E24*(E25)^2)</f>
        <v>187207.81460847062</v>
      </c>
      <c r="K24" s="18" t="s">
        <v>42</v>
      </c>
      <c r="L24" s="37"/>
      <c r="M24" s="25"/>
    </row>
    <row r="25" spans="2:13" x14ac:dyDescent="0.3">
      <c r="B25" s="114" t="s">
        <v>45</v>
      </c>
      <c r="C25" s="114"/>
      <c r="D25" s="114"/>
      <c r="E25" s="39">
        <f>('WL 4 Displacement'!W33*J21)/H21</f>
        <v>-0.95882401845989451</v>
      </c>
      <c r="F25" s="27"/>
      <c r="G25" s="114" t="s">
        <v>46</v>
      </c>
      <c r="H25" s="114"/>
      <c r="I25" s="114"/>
      <c r="J25" s="39">
        <f>J24/'WL 4 Displacement'!T27</f>
        <v>88.004642033209493</v>
      </c>
      <c r="K25" s="27"/>
      <c r="L25" s="37"/>
      <c r="M25" s="25"/>
    </row>
    <row r="26" spans="2:13" x14ac:dyDescent="0.3">
      <c r="B26" s="114" t="s">
        <v>47</v>
      </c>
      <c r="C26" s="114"/>
      <c r="D26" s="114"/>
      <c r="E26" s="39">
        <f>E24/100</f>
        <v>6.3445162190172253</v>
      </c>
      <c r="F26" s="27"/>
      <c r="G26" s="114" t="s">
        <v>48</v>
      </c>
      <c r="H26" s="114"/>
      <c r="I26" s="114"/>
      <c r="J26" s="39">
        <f>('WL 4 Displacement'!T27*J25)/(100*65.74)</f>
        <v>28.47700252638738</v>
      </c>
      <c r="K26" s="27"/>
      <c r="L26" s="37"/>
      <c r="M26" s="25"/>
    </row>
    <row r="27" spans="2:13" x14ac:dyDescent="0.3">
      <c r="B27" s="37"/>
      <c r="C27" s="37"/>
      <c r="D27" s="37"/>
      <c r="E27" s="37"/>
      <c r="F27" s="27"/>
      <c r="G27" s="91"/>
      <c r="H27" s="91"/>
      <c r="I27" s="91"/>
      <c r="J27" s="91"/>
      <c r="K27" s="27"/>
      <c r="L27" s="37"/>
      <c r="M27" s="25"/>
    </row>
  </sheetData>
  <mergeCells count="30">
    <mergeCell ref="G26:I26"/>
    <mergeCell ref="B24:D24"/>
    <mergeCell ref="G24:I24"/>
    <mergeCell ref="B25:D25"/>
    <mergeCell ref="G25:I25"/>
    <mergeCell ref="B26:D26"/>
    <mergeCell ref="G23:I23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F21"/>
    <mergeCell ref="B23:D23"/>
    <mergeCell ref="B2:L3"/>
    <mergeCell ref="B11:C11"/>
    <mergeCell ref="B4:C5"/>
    <mergeCell ref="D4:D5"/>
    <mergeCell ref="E4:E5"/>
    <mergeCell ref="F4:G4"/>
    <mergeCell ref="H4:L4"/>
    <mergeCell ref="B6:C6"/>
    <mergeCell ref="B7:C7"/>
    <mergeCell ref="B8:C8"/>
    <mergeCell ref="B9:C9"/>
    <mergeCell ref="B10:C1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BD6C7-646A-499B-9C25-D52C5371566F}">
  <dimension ref="C2:U34"/>
  <sheetViews>
    <sheetView topLeftCell="A10" zoomScale="85" zoomScaleNormal="85" workbookViewId="0">
      <selection activeCell="F20" sqref="F20"/>
    </sheetView>
  </sheetViews>
  <sheetFormatPr defaultRowHeight="14.4" x14ac:dyDescent="0.3"/>
  <cols>
    <col min="6" max="6" width="10.44140625" customWidth="1"/>
  </cols>
  <sheetData>
    <row r="2" spans="3:21" ht="23.4" customHeight="1" x14ac:dyDescent="0.3">
      <c r="C2" s="100" t="s">
        <v>49</v>
      </c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</row>
    <row r="3" spans="3:21" x14ac:dyDescent="0.3"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</row>
    <row r="4" spans="3:21" x14ac:dyDescent="0.3">
      <c r="C4" s="102" t="s">
        <v>2</v>
      </c>
      <c r="D4" s="102"/>
      <c r="E4" s="102" t="s">
        <v>3</v>
      </c>
      <c r="F4" s="102" t="s">
        <v>4</v>
      </c>
      <c r="G4" s="102"/>
      <c r="H4" s="102" t="s">
        <v>5</v>
      </c>
      <c r="I4" s="102"/>
      <c r="J4" s="102" t="s">
        <v>6</v>
      </c>
      <c r="K4" s="102"/>
      <c r="L4" s="102" t="s">
        <v>7</v>
      </c>
      <c r="M4" s="102"/>
      <c r="N4" s="102" t="s">
        <v>9</v>
      </c>
      <c r="O4" s="102" t="s">
        <v>10</v>
      </c>
      <c r="P4" s="102" t="s">
        <v>3</v>
      </c>
      <c r="Q4" s="102" t="s">
        <v>11</v>
      </c>
      <c r="R4" s="102"/>
      <c r="S4" s="102" t="s">
        <v>12</v>
      </c>
      <c r="T4" s="102" t="s">
        <v>13</v>
      </c>
      <c r="U4" s="102"/>
    </row>
    <row r="5" spans="3:21" x14ac:dyDescent="0.3"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</row>
    <row r="6" spans="3:21" x14ac:dyDescent="0.3"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</row>
    <row r="7" spans="3:21" x14ac:dyDescent="0.3">
      <c r="C7" s="102"/>
      <c r="D7" s="102"/>
      <c r="E7" s="102"/>
      <c r="F7" s="102">
        <v>1</v>
      </c>
      <c r="G7" s="102"/>
      <c r="H7" s="102">
        <v>3</v>
      </c>
      <c r="I7" s="102"/>
      <c r="J7" s="102">
        <v>3</v>
      </c>
      <c r="K7" s="102"/>
      <c r="L7" s="102">
        <v>1</v>
      </c>
      <c r="M7" s="102"/>
      <c r="N7" s="102"/>
      <c r="O7" s="102"/>
      <c r="P7" s="102"/>
      <c r="Q7" s="102"/>
      <c r="R7" s="102"/>
      <c r="S7" s="102"/>
      <c r="T7" s="102"/>
      <c r="U7" s="102"/>
    </row>
    <row r="8" spans="3:21" x14ac:dyDescent="0.3">
      <c r="C8" s="102"/>
      <c r="D8" s="102"/>
      <c r="E8" s="102"/>
      <c r="F8" s="40" t="s">
        <v>14</v>
      </c>
      <c r="G8" s="40" t="s">
        <v>15</v>
      </c>
      <c r="H8" s="40" t="s">
        <v>14</v>
      </c>
      <c r="I8" s="40" t="s">
        <v>15</v>
      </c>
      <c r="J8" s="40" t="s">
        <v>14</v>
      </c>
      <c r="K8" s="40" t="s">
        <v>15</v>
      </c>
      <c r="L8" s="40" t="s">
        <v>14</v>
      </c>
      <c r="M8" s="40" t="s">
        <v>15</v>
      </c>
      <c r="N8" s="102"/>
      <c r="O8" s="102"/>
      <c r="P8" s="102"/>
      <c r="Q8" s="102"/>
      <c r="R8" s="102"/>
      <c r="S8" s="102"/>
      <c r="T8" s="102"/>
      <c r="U8" s="102"/>
    </row>
    <row r="9" spans="3:21" x14ac:dyDescent="0.3">
      <c r="C9" s="101">
        <v>0</v>
      </c>
      <c r="D9" s="101">
        <v>0</v>
      </c>
      <c r="E9" s="42">
        <v>0.5</v>
      </c>
      <c r="F9" s="43">
        <v>0</v>
      </c>
      <c r="G9" s="41">
        <f>E9*F9</f>
        <v>0</v>
      </c>
      <c r="H9" s="44">
        <v>0</v>
      </c>
      <c r="I9" s="45">
        <f>E9*H9</f>
        <v>0</v>
      </c>
      <c r="J9" s="44">
        <v>0</v>
      </c>
      <c r="K9" s="45">
        <f>E9*J9</f>
        <v>0</v>
      </c>
      <c r="L9" s="46">
        <v>0</v>
      </c>
      <c r="M9" s="45">
        <f>E9*L9</f>
        <v>0</v>
      </c>
      <c r="N9" s="41">
        <f>1*F9+3*H9+3*J9+1*L9</f>
        <v>0</v>
      </c>
      <c r="O9" s="41">
        <f>(3/8)*0.95*N9*2</f>
        <v>0</v>
      </c>
      <c r="P9" s="42">
        <v>0.5</v>
      </c>
      <c r="Q9" s="116">
        <f>O9*P9</f>
        <v>0</v>
      </c>
      <c r="R9" s="116"/>
      <c r="S9" s="48">
        <v>-5</v>
      </c>
      <c r="T9" s="116">
        <f>S9*Q9</f>
        <v>0</v>
      </c>
      <c r="U9" s="116"/>
    </row>
    <row r="10" spans="3:21" x14ac:dyDescent="0.3">
      <c r="C10" s="101">
        <v>0.5</v>
      </c>
      <c r="D10" s="101">
        <v>0.5</v>
      </c>
      <c r="E10" s="42">
        <v>2</v>
      </c>
      <c r="F10" s="43">
        <v>0</v>
      </c>
      <c r="G10" s="41">
        <f t="shared" ref="G10:G23" si="0">E10*F10</f>
        <v>0</v>
      </c>
      <c r="H10" s="44">
        <v>0</v>
      </c>
      <c r="I10" s="45">
        <f t="shared" ref="I10:I23" si="1">E10*H10</f>
        <v>0</v>
      </c>
      <c r="J10" s="46">
        <v>1.3892</v>
      </c>
      <c r="K10" s="45">
        <f t="shared" ref="K10:K23" si="2">E10*J10</f>
        <v>2.7784</v>
      </c>
      <c r="L10" s="46">
        <v>3.5283000000000002</v>
      </c>
      <c r="M10" s="45">
        <f t="shared" ref="M10:M23" si="3">E10*L10</f>
        <v>7.0566000000000004</v>
      </c>
      <c r="N10" s="47">
        <f t="shared" ref="N10:N23" si="4">1*F10+3*H10+3*J10+1*L10</f>
        <v>7.6959</v>
      </c>
      <c r="O10" s="41">
        <f t="shared" ref="O10:O23" si="5">(3/8)*0.95*N10*2</f>
        <v>5.4833287499999992</v>
      </c>
      <c r="P10" s="42">
        <v>2</v>
      </c>
      <c r="Q10" s="117">
        <f t="shared" ref="Q10:Q23" si="6">O10*P10</f>
        <v>10.966657499999998</v>
      </c>
      <c r="R10" s="117"/>
      <c r="S10" s="48">
        <v>-4.5</v>
      </c>
      <c r="T10" s="117">
        <f t="shared" ref="T10:T23" si="7">S10*Q10</f>
        <v>-49.349958749999992</v>
      </c>
      <c r="U10" s="117"/>
    </row>
    <row r="11" spans="3:21" x14ac:dyDescent="0.3">
      <c r="C11" s="101">
        <v>1</v>
      </c>
      <c r="D11" s="101">
        <v>1</v>
      </c>
      <c r="E11" s="42">
        <v>1</v>
      </c>
      <c r="F11" s="43">
        <v>0</v>
      </c>
      <c r="G11" s="41">
        <f t="shared" si="0"/>
        <v>0</v>
      </c>
      <c r="H11" s="46">
        <v>2.9177</v>
      </c>
      <c r="I11" s="45">
        <f t="shared" si="1"/>
        <v>2.9177</v>
      </c>
      <c r="J11" s="46">
        <v>4.2988</v>
      </c>
      <c r="K11" s="45">
        <f t="shared" si="2"/>
        <v>4.2988</v>
      </c>
      <c r="L11" s="46">
        <v>4.9665999999999997</v>
      </c>
      <c r="M11" s="45">
        <f t="shared" si="3"/>
        <v>4.9665999999999997</v>
      </c>
      <c r="N11" s="47">
        <f t="shared" si="4"/>
        <v>26.616099999999999</v>
      </c>
      <c r="O11" s="41">
        <f t="shared" si="5"/>
        <v>18.963971249999997</v>
      </c>
      <c r="P11" s="42">
        <v>1</v>
      </c>
      <c r="Q11" s="117">
        <f t="shared" si="6"/>
        <v>18.963971249999997</v>
      </c>
      <c r="R11" s="117"/>
      <c r="S11" s="48">
        <v>-4</v>
      </c>
      <c r="T11" s="117">
        <f t="shared" si="7"/>
        <v>-75.855884999999986</v>
      </c>
      <c r="U11" s="117"/>
    </row>
    <row r="12" spans="3:21" x14ac:dyDescent="0.3">
      <c r="C12" s="101">
        <v>1.5</v>
      </c>
      <c r="D12" s="101">
        <v>1.5</v>
      </c>
      <c r="E12" s="42">
        <v>2</v>
      </c>
      <c r="F12" s="43">
        <v>0</v>
      </c>
      <c r="G12" s="41">
        <f t="shared" si="0"/>
        <v>0</v>
      </c>
      <c r="H12" s="46">
        <v>4.2690999999999999</v>
      </c>
      <c r="I12" s="45">
        <f t="shared" si="1"/>
        <v>8.5381999999999998</v>
      </c>
      <c r="J12" s="46">
        <v>5.0622999999999996</v>
      </c>
      <c r="K12" s="45">
        <f t="shared" si="2"/>
        <v>10.124599999999999</v>
      </c>
      <c r="L12" s="46">
        <v>5.2812000000000001</v>
      </c>
      <c r="M12" s="45">
        <f t="shared" si="3"/>
        <v>10.5624</v>
      </c>
      <c r="N12" s="47">
        <f t="shared" si="4"/>
        <v>33.275399999999998</v>
      </c>
      <c r="O12" s="41">
        <f t="shared" si="5"/>
        <v>23.708722499999997</v>
      </c>
      <c r="P12" s="42">
        <v>2</v>
      </c>
      <c r="Q12" s="117">
        <f t="shared" si="6"/>
        <v>47.417444999999994</v>
      </c>
      <c r="R12" s="117"/>
      <c r="S12" s="48">
        <v>-3.5</v>
      </c>
      <c r="T12" s="117">
        <f t="shared" si="7"/>
        <v>-165.96105749999998</v>
      </c>
      <c r="U12" s="117"/>
    </row>
    <row r="13" spans="3:21" x14ac:dyDescent="0.3">
      <c r="C13" s="101">
        <v>2</v>
      </c>
      <c r="D13" s="101">
        <v>2</v>
      </c>
      <c r="E13" s="42">
        <v>1.5</v>
      </c>
      <c r="F13" s="43">
        <v>2.3809999999999998</v>
      </c>
      <c r="G13" s="41">
        <f t="shared" si="0"/>
        <v>3.5714999999999995</v>
      </c>
      <c r="H13" s="46">
        <v>5.0560999999999998</v>
      </c>
      <c r="I13" s="45">
        <f t="shared" si="1"/>
        <v>7.5841499999999993</v>
      </c>
      <c r="J13" s="46">
        <v>5.3231000000000002</v>
      </c>
      <c r="K13" s="45">
        <f t="shared" si="2"/>
        <v>7.9846500000000002</v>
      </c>
      <c r="L13" s="46">
        <v>5.3849999986950001</v>
      </c>
      <c r="M13" s="45">
        <f t="shared" si="3"/>
        <v>8.0774999980424997</v>
      </c>
      <c r="N13" s="47">
        <f t="shared" si="4"/>
        <v>38.903599998695</v>
      </c>
      <c r="O13" s="41">
        <f t="shared" si="5"/>
        <v>27.718814999070183</v>
      </c>
      <c r="P13" s="42">
        <v>1.5</v>
      </c>
      <c r="Q13" s="117">
        <f t="shared" si="6"/>
        <v>41.578222498605271</v>
      </c>
      <c r="R13" s="117"/>
      <c r="S13" s="48">
        <v>-3</v>
      </c>
      <c r="T13" s="117">
        <f t="shared" si="7"/>
        <v>-124.73466749581581</v>
      </c>
      <c r="U13" s="117"/>
    </row>
    <row r="14" spans="3:21" x14ac:dyDescent="0.3">
      <c r="C14" s="101">
        <v>3</v>
      </c>
      <c r="D14" s="101">
        <v>3</v>
      </c>
      <c r="E14" s="42">
        <v>4</v>
      </c>
      <c r="F14" s="43">
        <v>3.5219999999999998</v>
      </c>
      <c r="G14" s="41">
        <f t="shared" si="0"/>
        <v>14.087999999999999</v>
      </c>
      <c r="H14" s="46">
        <v>5.3063000000000002</v>
      </c>
      <c r="I14" s="45">
        <f t="shared" si="1"/>
        <v>21.225200000000001</v>
      </c>
      <c r="J14" s="46">
        <v>5.3849999986950001</v>
      </c>
      <c r="K14" s="45">
        <f t="shared" si="2"/>
        <v>21.53999999478</v>
      </c>
      <c r="L14" s="46">
        <v>5.3849999986950001</v>
      </c>
      <c r="M14" s="45">
        <f t="shared" si="3"/>
        <v>21.53999999478</v>
      </c>
      <c r="N14" s="47">
        <f t="shared" si="4"/>
        <v>40.980899994779996</v>
      </c>
      <c r="O14" s="41">
        <f t="shared" si="5"/>
        <v>29.198891246280745</v>
      </c>
      <c r="P14" s="42">
        <v>4</v>
      </c>
      <c r="Q14" s="117">
        <f t="shared" si="6"/>
        <v>116.79556498512298</v>
      </c>
      <c r="R14" s="117"/>
      <c r="S14" s="48">
        <v>-2</v>
      </c>
      <c r="T14" s="117">
        <f t="shared" si="7"/>
        <v>-233.59112997024596</v>
      </c>
      <c r="U14" s="117"/>
    </row>
    <row r="15" spans="3:21" x14ac:dyDescent="0.3">
      <c r="C15" s="101">
        <v>4</v>
      </c>
      <c r="D15" s="101">
        <v>4</v>
      </c>
      <c r="E15" s="42">
        <v>2</v>
      </c>
      <c r="F15" s="43">
        <v>3.5219999999999998</v>
      </c>
      <c r="G15" s="41">
        <f t="shared" si="0"/>
        <v>7.0439999999999996</v>
      </c>
      <c r="H15" s="46">
        <v>5.3063000000000002</v>
      </c>
      <c r="I15" s="45">
        <f t="shared" si="1"/>
        <v>10.6126</v>
      </c>
      <c r="J15" s="46">
        <v>5.3849999986950001</v>
      </c>
      <c r="K15" s="45">
        <f t="shared" si="2"/>
        <v>10.76999999739</v>
      </c>
      <c r="L15" s="46">
        <v>5.3849999986950001</v>
      </c>
      <c r="M15" s="45">
        <f t="shared" si="3"/>
        <v>10.76999999739</v>
      </c>
      <c r="N15" s="47">
        <f t="shared" si="4"/>
        <v>40.980899994779996</v>
      </c>
      <c r="O15" s="41">
        <f t="shared" si="5"/>
        <v>29.198891246280745</v>
      </c>
      <c r="P15" s="42">
        <v>2</v>
      </c>
      <c r="Q15" s="117">
        <f t="shared" si="6"/>
        <v>58.39778249256149</v>
      </c>
      <c r="R15" s="117"/>
      <c r="S15" s="48">
        <v>-1</v>
      </c>
      <c r="T15" s="117">
        <f t="shared" si="7"/>
        <v>-58.39778249256149</v>
      </c>
      <c r="U15" s="117"/>
    </row>
    <row r="16" spans="3:21" x14ac:dyDescent="0.3">
      <c r="C16" s="101">
        <v>5</v>
      </c>
      <c r="D16" s="101">
        <v>5</v>
      </c>
      <c r="E16" s="42">
        <v>4</v>
      </c>
      <c r="F16" s="43">
        <v>3.5219999999999998</v>
      </c>
      <c r="G16" s="47">
        <f t="shared" si="0"/>
        <v>14.087999999999999</v>
      </c>
      <c r="H16" s="46">
        <v>5.3063000000000002</v>
      </c>
      <c r="I16" s="45">
        <f t="shared" si="1"/>
        <v>21.225200000000001</v>
      </c>
      <c r="J16" s="46">
        <v>5.3849999986950001</v>
      </c>
      <c r="K16" s="45">
        <f t="shared" si="2"/>
        <v>21.53999999478</v>
      </c>
      <c r="L16" s="46">
        <v>5.3849999986950001</v>
      </c>
      <c r="M16" s="45">
        <f t="shared" si="3"/>
        <v>21.53999999478</v>
      </c>
      <c r="N16" s="47">
        <f t="shared" si="4"/>
        <v>40.980899994779996</v>
      </c>
      <c r="O16" s="41">
        <f t="shared" si="5"/>
        <v>29.198891246280745</v>
      </c>
      <c r="P16" s="42">
        <v>4</v>
      </c>
      <c r="Q16" s="117">
        <f t="shared" si="6"/>
        <v>116.79556498512298</v>
      </c>
      <c r="R16" s="117"/>
      <c r="S16" s="48">
        <v>0</v>
      </c>
      <c r="T16" s="117">
        <f t="shared" si="7"/>
        <v>0</v>
      </c>
      <c r="U16" s="117"/>
    </row>
    <row r="17" spans="3:21" x14ac:dyDescent="0.3">
      <c r="C17" s="101">
        <v>6</v>
      </c>
      <c r="D17" s="101">
        <v>6</v>
      </c>
      <c r="E17" s="42">
        <v>2</v>
      </c>
      <c r="F17" s="43">
        <v>3.5219999999999998</v>
      </c>
      <c r="G17" s="47">
        <f t="shared" si="0"/>
        <v>7.0439999999999996</v>
      </c>
      <c r="H17" s="46">
        <v>5.3063000000000002</v>
      </c>
      <c r="I17" s="45">
        <f t="shared" si="1"/>
        <v>10.6126</v>
      </c>
      <c r="J17" s="46">
        <v>5.3849999986950001</v>
      </c>
      <c r="K17" s="45">
        <f t="shared" si="2"/>
        <v>10.76999999739</v>
      </c>
      <c r="L17" s="46">
        <v>5.3849999986950001</v>
      </c>
      <c r="M17" s="45">
        <f t="shared" si="3"/>
        <v>10.76999999739</v>
      </c>
      <c r="N17" s="47">
        <f t="shared" si="4"/>
        <v>40.980899994779996</v>
      </c>
      <c r="O17" s="41">
        <f t="shared" si="5"/>
        <v>29.198891246280745</v>
      </c>
      <c r="P17" s="42">
        <v>2</v>
      </c>
      <c r="Q17" s="117">
        <f t="shared" si="6"/>
        <v>58.39778249256149</v>
      </c>
      <c r="R17" s="117"/>
      <c r="S17" s="48">
        <v>1</v>
      </c>
      <c r="T17" s="117">
        <f t="shared" si="7"/>
        <v>58.39778249256149</v>
      </c>
      <c r="U17" s="117"/>
    </row>
    <row r="18" spans="3:21" x14ac:dyDescent="0.3">
      <c r="C18" s="101">
        <v>7</v>
      </c>
      <c r="D18" s="101">
        <v>7</v>
      </c>
      <c r="E18" s="42">
        <v>4</v>
      </c>
      <c r="F18" s="43">
        <v>3.5219999999999998</v>
      </c>
      <c r="G18" s="47">
        <f t="shared" si="0"/>
        <v>14.087999999999999</v>
      </c>
      <c r="H18" s="46">
        <v>5.3063000000000002</v>
      </c>
      <c r="I18" s="45">
        <f t="shared" si="1"/>
        <v>21.225200000000001</v>
      </c>
      <c r="J18" s="46">
        <v>5.3849999986950001</v>
      </c>
      <c r="K18" s="45">
        <f t="shared" si="2"/>
        <v>21.53999999478</v>
      </c>
      <c r="L18" s="46">
        <v>5.3849999986950001</v>
      </c>
      <c r="M18" s="45">
        <f t="shared" si="3"/>
        <v>21.53999999478</v>
      </c>
      <c r="N18" s="47">
        <f t="shared" si="4"/>
        <v>40.980899994779996</v>
      </c>
      <c r="O18" s="41">
        <f t="shared" si="5"/>
        <v>29.198891246280745</v>
      </c>
      <c r="P18" s="42">
        <v>4</v>
      </c>
      <c r="Q18" s="117">
        <f t="shared" si="6"/>
        <v>116.79556498512298</v>
      </c>
      <c r="R18" s="117"/>
      <c r="S18" s="48">
        <v>2</v>
      </c>
      <c r="T18" s="117">
        <f t="shared" si="7"/>
        <v>233.59112997024596</v>
      </c>
      <c r="U18" s="117"/>
    </row>
    <row r="19" spans="3:21" x14ac:dyDescent="0.3">
      <c r="C19" s="101">
        <v>8</v>
      </c>
      <c r="D19" s="101">
        <v>8</v>
      </c>
      <c r="E19" s="42">
        <v>1.5</v>
      </c>
      <c r="F19" s="43">
        <v>2.4274</v>
      </c>
      <c r="G19" s="47">
        <f t="shared" si="0"/>
        <v>3.6410999999999998</v>
      </c>
      <c r="H19" s="46">
        <v>4.7549999999999999</v>
      </c>
      <c r="I19" s="45">
        <f t="shared" si="1"/>
        <v>7.1325000000000003</v>
      </c>
      <c r="J19" s="46">
        <v>5.1048</v>
      </c>
      <c r="K19" s="45">
        <f t="shared" si="2"/>
        <v>7.6571999999999996</v>
      </c>
      <c r="L19" s="46">
        <v>5.2366000000000001</v>
      </c>
      <c r="M19" s="45">
        <f t="shared" si="3"/>
        <v>7.8549000000000007</v>
      </c>
      <c r="N19" s="47">
        <f t="shared" si="4"/>
        <v>37.243400000000001</v>
      </c>
      <c r="O19" s="41">
        <f t="shared" si="5"/>
        <v>26.535922499999998</v>
      </c>
      <c r="P19" s="42">
        <v>1.5</v>
      </c>
      <c r="Q19" s="117">
        <f t="shared" si="6"/>
        <v>39.803883749999997</v>
      </c>
      <c r="R19" s="117"/>
      <c r="S19" s="48">
        <v>3</v>
      </c>
      <c r="T19" s="117">
        <f t="shared" si="7"/>
        <v>119.41165124999999</v>
      </c>
      <c r="U19" s="117"/>
    </row>
    <row r="20" spans="3:21" x14ac:dyDescent="0.3">
      <c r="C20" s="101">
        <v>8.5</v>
      </c>
      <c r="D20" s="101">
        <v>8.5</v>
      </c>
      <c r="E20" s="42">
        <v>2</v>
      </c>
      <c r="F20" s="55">
        <v>1.0129999999999999</v>
      </c>
      <c r="G20" s="47">
        <f t="shared" si="0"/>
        <v>2.0259999999999998</v>
      </c>
      <c r="H20" s="46">
        <v>4.0526999999999997</v>
      </c>
      <c r="I20" s="45">
        <f t="shared" si="1"/>
        <v>8.1053999999999995</v>
      </c>
      <c r="J20" s="46">
        <v>4.6696999999999997</v>
      </c>
      <c r="K20" s="45">
        <f t="shared" si="2"/>
        <v>9.3393999999999995</v>
      </c>
      <c r="L20" s="46">
        <v>4.9218999999999999</v>
      </c>
      <c r="M20" s="45">
        <f t="shared" si="3"/>
        <v>9.8437999999999999</v>
      </c>
      <c r="N20" s="47">
        <f t="shared" si="4"/>
        <v>32.1021</v>
      </c>
      <c r="O20" s="41">
        <f t="shared" si="5"/>
        <v>22.872746249999999</v>
      </c>
      <c r="P20" s="42">
        <v>2</v>
      </c>
      <c r="Q20" s="117">
        <f t="shared" si="6"/>
        <v>45.745492499999997</v>
      </c>
      <c r="R20" s="117"/>
      <c r="S20" s="48">
        <v>3.5</v>
      </c>
      <c r="T20" s="117">
        <f t="shared" si="7"/>
        <v>160.10922374999998</v>
      </c>
      <c r="U20" s="117"/>
    </row>
    <row r="21" spans="3:21" x14ac:dyDescent="0.3">
      <c r="C21" s="101">
        <v>9</v>
      </c>
      <c r="D21" s="101">
        <v>9</v>
      </c>
      <c r="E21" s="42">
        <v>1</v>
      </c>
      <c r="F21" s="43">
        <v>0</v>
      </c>
      <c r="G21" s="47">
        <f t="shared" si="0"/>
        <v>0</v>
      </c>
      <c r="H21" s="46">
        <v>3.0417999999999998</v>
      </c>
      <c r="I21" s="45">
        <f t="shared" si="1"/>
        <v>3.0417999999999998</v>
      </c>
      <c r="J21" s="46">
        <v>3.7605</v>
      </c>
      <c r="K21" s="45">
        <f t="shared" si="2"/>
        <v>3.7605</v>
      </c>
      <c r="L21" s="46">
        <v>4.0705999999999998</v>
      </c>
      <c r="M21" s="45">
        <f t="shared" si="3"/>
        <v>4.0705999999999998</v>
      </c>
      <c r="N21" s="47">
        <f t="shared" si="4"/>
        <v>24.477499999999999</v>
      </c>
      <c r="O21" s="41">
        <f t="shared" si="5"/>
        <v>17.440218749999996</v>
      </c>
      <c r="P21" s="42">
        <v>1</v>
      </c>
      <c r="Q21" s="117">
        <f t="shared" si="6"/>
        <v>17.440218749999996</v>
      </c>
      <c r="R21" s="117"/>
      <c r="S21" s="48">
        <v>4</v>
      </c>
      <c r="T21" s="117">
        <f t="shared" si="7"/>
        <v>69.760874999999984</v>
      </c>
      <c r="U21" s="117"/>
    </row>
    <row r="22" spans="3:21" x14ac:dyDescent="0.3">
      <c r="C22" s="101">
        <v>9.5</v>
      </c>
      <c r="D22" s="101">
        <v>9.5</v>
      </c>
      <c r="E22" s="42">
        <v>2</v>
      </c>
      <c r="F22" s="43">
        <v>0</v>
      </c>
      <c r="G22" s="47">
        <f t="shared" si="0"/>
        <v>0</v>
      </c>
      <c r="H22" s="46">
        <v>1.4650000000000001</v>
      </c>
      <c r="I22" s="45">
        <f t="shared" si="1"/>
        <v>2.93</v>
      </c>
      <c r="J22" s="46">
        <v>2.161</v>
      </c>
      <c r="K22" s="45">
        <f t="shared" si="2"/>
        <v>4.3220000000000001</v>
      </c>
      <c r="L22" s="46">
        <v>2.5228999999999999</v>
      </c>
      <c r="M22" s="45">
        <f t="shared" si="3"/>
        <v>5.0457999999999998</v>
      </c>
      <c r="N22" s="47">
        <f t="shared" si="4"/>
        <v>13.4009</v>
      </c>
      <c r="O22" s="41">
        <f t="shared" si="5"/>
        <v>9.5481412499999987</v>
      </c>
      <c r="P22" s="42">
        <v>2</v>
      </c>
      <c r="Q22" s="117">
        <f t="shared" si="6"/>
        <v>19.096282499999997</v>
      </c>
      <c r="R22" s="117"/>
      <c r="S22" s="48">
        <v>4.5</v>
      </c>
      <c r="T22" s="117">
        <f t="shared" si="7"/>
        <v>85.93327124999999</v>
      </c>
      <c r="U22" s="117"/>
    </row>
    <row r="23" spans="3:21" x14ac:dyDescent="0.3">
      <c r="C23" s="101">
        <v>10</v>
      </c>
      <c r="D23" s="101">
        <v>10</v>
      </c>
      <c r="E23" s="42">
        <v>0.5</v>
      </c>
      <c r="F23" s="43">
        <v>0</v>
      </c>
      <c r="G23" s="47">
        <f t="shared" si="0"/>
        <v>0</v>
      </c>
      <c r="H23" s="49">
        <v>0</v>
      </c>
      <c r="I23" s="45">
        <f t="shared" si="1"/>
        <v>0</v>
      </c>
      <c r="J23" s="49">
        <v>0</v>
      </c>
      <c r="K23" s="45">
        <f t="shared" si="2"/>
        <v>0</v>
      </c>
      <c r="L23" s="49">
        <v>0</v>
      </c>
      <c r="M23" s="45">
        <f t="shared" si="3"/>
        <v>0</v>
      </c>
      <c r="N23" s="47">
        <f t="shared" si="4"/>
        <v>0</v>
      </c>
      <c r="O23" s="41">
        <f t="shared" si="5"/>
        <v>0</v>
      </c>
      <c r="P23" s="42">
        <v>0.5</v>
      </c>
      <c r="Q23" s="117">
        <f t="shared" si="6"/>
        <v>0</v>
      </c>
      <c r="R23" s="117"/>
      <c r="S23" s="48">
        <v>5</v>
      </c>
      <c r="T23" s="117">
        <f t="shared" si="7"/>
        <v>0</v>
      </c>
      <c r="U23" s="117"/>
    </row>
    <row r="24" spans="3:21" x14ac:dyDescent="0.3">
      <c r="C24" s="103" t="s">
        <v>16</v>
      </c>
      <c r="D24" s="103"/>
      <c r="E24" s="103"/>
      <c r="F24" s="107">
        <f>SUM(G10:G23)</f>
        <v>65.590599999999995</v>
      </c>
      <c r="G24" s="107"/>
      <c r="H24" s="107">
        <f>SUM(I9:I23)</f>
        <v>125.15055000000001</v>
      </c>
      <c r="I24" s="107"/>
      <c r="J24" s="107">
        <f>SUM(K9:K23)</f>
        <v>136.42554997912004</v>
      </c>
      <c r="K24" s="107"/>
      <c r="L24" s="107">
        <f>SUM(M9:M23)</f>
        <v>143.63819997716251</v>
      </c>
      <c r="M24" s="107"/>
      <c r="N24" s="47"/>
      <c r="O24" s="50">
        <f>SUM(O9:O23)</f>
        <v>298.26632248047383</v>
      </c>
      <c r="P24" s="47"/>
      <c r="Q24" s="107">
        <f>SUM(Q9:R23)</f>
        <v>708.19443368909708</v>
      </c>
      <c r="R24" s="107"/>
      <c r="S24" s="47"/>
      <c r="T24" s="107">
        <f>SUM(T9:U23)</f>
        <v>19.313452504184099</v>
      </c>
      <c r="U24" s="107"/>
    </row>
    <row r="25" spans="3:21" x14ac:dyDescent="0.3">
      <c r="C25" s="103" t="s">
        <v>17</v>
      </c>
      <c r="D25" s="103"/>
      <c r="E25" s="103"/>
      <c r="F25" s="108">
        <f>(1/3)*U33*F24*2</f>
        <v>282.25821533333328</v>
      </c>
      <c r="G25" s="108"/>
      <c r="H25" s="108">
        <f>(1/3)*U33*H24*2</f>
        <v>538.56453349999992</v>
      </c>
      <c r="I25" s="108"/>
      <c r="J25" s="108">
        <f>(1/3)*U33*J24*2</f>
        <v>587.08461674347984</v>
      </c>
      <c r="K25" s="108"/>
      <c r="L25" s="108">
        <f>(1/3)*U33*L24*2</f>
        <v>618.12305390172264</v>
      </c>
      <c r="M25" s="108"/>
      <c r="N25" s="32"/>
      <c r="O25" s="32"/>
      <c r="P25" s="32"/>
      <c r="Q25" s="15"/>
      <c r="R25" s="15"/>
      <c r="S25" s="15"/>
      <c r="T25" s="15"/>
      <c r="U25" s="15"/>
    </row>
    <row r="26" spans="3:21" x14ac:dyDescent="0.3">
      <c r="C26" s="103" t="s">
        <v>18</v>
      </c>
      <c r="D26" s="103"/>
      <c r="E26" s="103"/>
      <c r="F26" s="108">
        <f>F25*F7</f>
        <v>282.25821533333328</v>
      </c>
      <c r="G26" s="108"/>
      <c r="H26" s="108">
        <f>H25*H7</f>
        <v>1615.6936004999998</v>
      </c>
      <c r="I26" s="108"/>
      <c r="J26" s="108">
        <f>J25*J7</f>
        <v>1761.2538502304396</v>
      </c>
      <c r="K26" s="108"/>
      <c r="L26" s="108">
        <f>L25*L7</f>
        <v>618.12305390172264</v>
      </c>
      <c r="M26" s="108"/>
      <c r="N26" s="32"/>
      <c r="O26" s="32"/>
      <c r="P26" s="103" t="s">
        <v>19</v>
      </c>
      <c r="Q26" s="103"/>
      <c r="R26" s="38">
        <f>(1/3)*U33*Q24</f>
        <v>1523.798356487707</v>
      </c>
      <c r="S26" s="15"/>
      <c r="T26" s="15"/>
      <c r="U26" s="15"/>
    </row>
    <row r="27" spans="3:21" x14ac:dyDescent="0.3">
      <c r="C27" s="103" t="s">
        <v>12</v>
      </c>
      <c r="D27" s="103"/>
      <c r="E27" s="103"/>
      <c r="F27" s="108">
        <v>0</v>
      </c>
      <c r="G27" s="108"/>
      <c r="H27" s="108">
        <v>1</v>
      </c>
      <c r="I27" s="108"/>
      <c r="J27" s="108">
        <v>2</v>
      </c>
      <c r="K27" s="108"/>
      <c r="L27" s="108">
        <v>3</v>
      </c>
      <c r="M27" s="108"/>
      <c r="N27" s="32"/>
      <c r="O27" s="32"/>
      <c r="P27" s="103" t="s">
        <v>20</v>
      </c>
      <c r="Q27" s="103"/>
      <c r="R27" s="38">
        <f>1*R26</f>
        <v>1523.798356487707</v>
      </c>
      <c r="S27" s="15"/>
      <c r="T27" s="15"/>
      <c r="U27" s="15"/>
    </row>
    <row r="28" spans="3:21" x14ac:dyDescent="0.3">
      <c r="C28" s="103" t="s">
        <v>13</v>
      </c>
      <c r="D28" s="103"/>
      <c r="E28" s="103"/>
      <c r="F28" s="108">
        <f>F27*F26</f>
        <v>0</v>
      </c>
      <c r="G28" s="108"/>
      <c r="H28" s="108">
        <f>H27*H26</f>
        <v>1615.6936004999998</v>
      </c>
      <c r="I28" s="108"/>
      <c r="J28" s="108">
        <f>J27*J26</f>
        <v>3522.5077004608793</v>
      </c>
      <c r="K28" s="108"/>
      <c r="L28" s="108">
        <f>L27*L26</f>
        <v>1854.3691617051679</v>
      </c>
      <c r="M28" s="108"/>
      <c r="N28" s="32"/>
      <c r="O28" s="32"/>
      <c r="P28" s="103" t="s">
        <v>21</v>
      </c>
      <c r="Q28" s="103"/>
      <c r="R28" s="38">
        <f>(U33*T24)/Q24</f>
        <v>0.1760368762927029</v>
      </c>
      <c r="S28" s="15"/>
      <c r="T28" s="15"/>
      <c r="U28" s="15"/>
    </row>
    <row r="29" spans="3:21" ht="15.6" x14ac:dyDescent="0.35">
      <c r="C29" s="103" t="s">
        <v>22</v>
      </c>
      <c r="D29" s="103"/>
      <c r="E29" s="103"/>
      <c r="F29" s="33">
        <f>F26+H26+J26+L26</f>
        <v>4277.3287199654951</v>
      </c>
      <c r="G29" s="20"/>
      <c r="H29" s="32"/>
      <c r="I29" s="32"/>
      <c r="J29" s="32"/>
      <c r="K29" s="32"/>
      <c r="L29" s="32"/>
      <c r="M29" s="32"/>
      <c r="N29" s="30"/>
      <c r="O29" s="30"/>
      <c r="P29" s="103" t="s">
        <v>23</v>
      </c>
      <c r="Q29" s="103"/>
      <c r="R29" s="39">
        <f>R26/(64.55*10.77*(3*U34))</f>
        <v>0.76907853599080955</v>
      </c>
      <c r="S29" s="15"/>
      <c r="T29" s="32"/>
      <c r="U29" s="32"/>
    </row>
    <row r="30" spans="3:21" ht="15.6" x14ac:dyDescent="0.35">
      <c r="C30" s="103" t="s">
        <v>19</v>
      </c>
      <c r="D30" s="103"/>
      <c r="E30" s="103"/>
      <c r="F30" s="33">
        <f>(3/8)*F29*U34</f>
        <v>1523.7983564877075</v>
      </c>
      <c r="G30" s="20"/>
      <c r="H30" s="34"/>
      <c r="I30" s="34"/>
      <c r="J30" s="34"/>
      <c r="K30" s="32"/>
      <c r="L30" s="32"/>
      <c r="M30" s="32"/>
      <c r="N30" s="32"/>
      <c r="O30" s="30"/>
      <c r="P30" s="103" t="s">
        <v>24</v>
      </c>
      <c r="Q30" s="103"/>
      <c r="R30" s="39">
        <f>L25/(64.55*10.77)</f>
        <v>0.88912534804805021</v>
      </c>
      <c r="S30" s="32"/>
      <c r="T30" s="32"/>
      <c r="U30" s="32"/>
    </row>
    <row r="31" spans="3:21" ht="15.6" x14ac:dyDescent="0.35">
      <c r="C31" s="103" t="s">
        <v>20</v>
      </c>
      <c r="D31" s="103"/>
      <c r="E31" s="103"/>
      <c r="F31" s="33">
        <f>1*F30</f>
        <v>1523.7983564877075</v>
      </c>
      <c r="G31" s="20"/>
      <c r="H31" s="32"/>
      <c r="I31" s="32"/>
      <c r="J31" s="32"/>
      <c r="K31" s="32"/>
      <c r="L31" s="32"/>
      <c r="M31" s="32"/>
      <c r="N31" s="32"/>
      <c r="O31" s="32"/>
      <c r="P31" s="103" t="s">
        <v>25</v>
      </c>
      <c r="Q31" s="103"/>
      <c r="R31" s="39">
        <f>O15/(10.77*(U34*3))</f>
        <v>0.95127437313788299</v>
      </c>
      <c r="S31" s="32"/>
      <c r="T31" s="32"/>
      <c r="U31" s="32"/>
    </row>
    <row r="32" spans="3:21" ht="15.6" x14ac:dyDescent="0.35">
      <c r="C32" s="103" t="s">
        <v>26</v>
      </c>
      <c r="D32" s="103"/>
      <c r="E32" s="103"/>
      <c r="F32" s="33">
        <f>F28+H28+J28+L28</f>
        <v>6992.5704626660472</v>
      </c>
      <c r="G32" s="20"/>
      <c r="H32" s="32"/>
      <c r="I32" s="32"/>
      <c r="J32" s="32"/>
      <c r="K32" s="32"/>
      <c r="L32" s="32"/>
      <c r="M32" s="32"/>
      <c r="N32" s="32"/>
      <c r="O32" s="32"/>
      <c r="P32" s="103" t="s">
        <v>27</v>
      </c>
      <c r="Q32" s="103"/>
      <c r="R32" s="39">
        <f>R29/R31</f>
        <v>0.80847183284662605</v>
      </c>
      <c r="S32" s="32"/>
      <c r="T32" s="32"/>
      <c r="U32" s="32"/>
    </row>
    <row r="33" spans="3:21" x14ac:dyDescent="0.3">
      <c r="C33" s="103" t="s">
        <v>28</v>
      </c>
      <c r="D33" s="103"/>
      <c r="E33" s="103"/>
      <c r="F33" s="33">
        <f>(F32*U34)/F29</f>
        <v>1.5530585499602034</v>
      </c>
      <c r="G33" s="20"/>
      <c r="H33" s="32"/>
      <c r="I33" s="32"/>
      <c r="J33" s="32"/>
      <c r="K33" s="32"/>
      <c r="L33" s="32"/>
      <c r="M33" s="35"/>
      <c r="N33" s="32"/>
      <c r="O33" s="32"/>
      <c r="P33" s="15"/>
      <c r="Q33" s="15"/>
      <c r="R33" s="15"/>
      <c r="S33" s="118" t="s">
        <v>29</v>
      </c>
      <c r="T33" s="118"/>
      <c r="U33" s="31">
        <v>6.4550000000000001</v>
      </c>
    </row>
    <row r="34" spans="3:21" x14ac:dyDescent="0.3"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18" t="s">
        <v>30</v>
      </c>
      <c r="T34" s="118"/>
      <c r="U34" s="31">
        <v>0.95</v>
      </c>
    </row>
  </sheetData>
  <mergeCells count="103">
    <mergeCell ref="F26:G26"/>
    <mergeCell ref="H26:I26"/>
    <mergeCell ref="C26:E26"/>
    <mergeCell ref="S33:T33"/>
    <mergeCell ref="S34:T34"/>
    <mergeCell ref="C31:E31"/>
    <mergeCell ref="P31:Q31"/>
    <mergeCell ref="C32:E32"/>
    <mergeCell ref="P32:Q32"/>
    <mergeCell ref="C33:E33"/>
    <mergeCell ref="C29:E29"/>
    <mergeCell ref="P29:Q29"/>
    <mergeCell ref="C30:E30"/>
    <mergeCell ref="P30:Q30"/>
    <mergeCell ref="P28:Q28"/>
    <mergeCell ref="C27:E27"/>
    <mergeCell ref="F27:G27"/>
    <mergeCell ref="H27:I27"/>
    <mergeCell ref="J27:K27"/>
    <mergeCell ref="L27:M27"/>
    <mergeCell ref="P27:Q27"/>
    <mergeCell ref="C28:E28"/>
    <mergeCell ref="F28:G28"/>
    <mergeCell ref="H28:I28"/>
    <mergeCell ref="J28:K28"/>
    <mergeCell ref="L28:M28"/>
    <mergeCell ref="T20:U20"/>
    <mergeCell ref="T24:U24"/>
    <mergeCell ref="Q24:R24"/>
    <mergeCell ref="J26:K26"/>
    <mergeCell ref="L26:M26"/>
    <mergeCell ref="P26:Q26"/>
    <mergeCell ref="Q21:R21"/>
    <mergeCell ref="T21:U21"/>
    <mergeCell ref="Q22:R22"/>
    <mergeCell ref="T22:U22"/>
    <mergeCell ref="Q23:R23"/>
    <mergeCell ref="T23:U23"/>
    <mergeCell ref="J25:K25"/>
    <mergeCell ref="L25:M25"/>
    <mergeCell ref="C24:E24"/>
    <mergeCell ref="F24:G24"/>
    <mergeCell ref="H24:I24"/>
    <mergeCell ref="J24:K24"/>
    <mergeCell ref="L24:M24"/>
    <mergeCell ref="C25:E25"/>
    <mergeCell ref="F25:G25"/>
    <mergeCell ref="H25:I25"/>
    <mergeCell ref="Q15:R15"/>
    <mergeCell ref="Q20:R20"/>
    <mergeCell ref="T15:U15"/>
    <mergeCell ref="Q16:R16"/>
    <mergeCell ref="T16:U16"/>
    <mergeCell ref="Q17:R17"/>
    <mergeCell ref="T17:U17"/>
    <mergeCell ref="Q18:R18"/>
    <mergeCell ref="T18:U18"/>
    <mergeCell ref="Q19:R19"/>
    <mergeCell ref="T19:U19"/>
    <mergeCell ref="Q10:R10"/>
    <mergeCell ref="T10:U10"/>
    <mergeCell ref="Q11:R11"/>
    <mergeCell ref="T11:U11"/>
    <mergeCell ref="Q12:R12"/>
    <mergeCell ref="T12:U12"/>
    <mergeCell ref="Q13:R13"/>
    <mergeCell ref="T13:U13"/>
    <mergeCell ref="Q14:R14"/>
    <mergeCell ref="T14:U14"/>
    <mergeCell ref="J4:K6"/>
    <mergeCell ref="L4:M6"/>
    <mergeCell ref="N4:N8"/>
    <mergeCell ref="O4:O8"/>
    <mergeCell ref="P4:P8"/>
    <mergeCell ref="Q4:R8"/>
    <mergeCell ref="S4:S8"/>
    <mergeCell ref="T4:U8"/>
    <mergeCell ref="Q9:R9"/>
    <mergeCell ref="T9:U9"/>
    <mergeCell ref="C2:U3"/>
    <mergeCell ref="C19:D19"/>
    <mergeCell ref="C20:D20"/>
    <mergeCell ref="C21:D21"/>
    <mergeCell ref="C22:D22"/>
    <mergeCell ref="C23:D23"/>
    <mergeCell ref="C14:D14"/>
    <mergeCell ref="C15:D15"/>
    <mergeCell ref="C16:D16"/>
    <mergeCell ref="C17:D17"/>
    <mergeCell ref="C18:D18"/>
    <mergeCell ref="C9:D9"/>
    <mergeCell ref="C10:D10"/>
    <mergeCell ref="C11:D11"/>
    <mergeCell ref="C12:D12"/>
    <mergeCell ref="C13:D13"/>
    <mergeCell ref="E4:E8"/>
    <mergeCell ref="F4:G6"/>
    <mergeCell ref="H4:I6"/>
    <mergeCell ref="F7:G7"/>
    <mergeCell ref="H7:I7"/>
    <mergeCell ref="C4:D8"/>
    <mergeCell ref="J7:K7"/>
    <mergeCell ref="L7:M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F6483-30D0-4E7A-B2B5-2AB77F793BB7}">
  <dimension ref="C2:N27"/>
  <sheetViews>
    <sheetView workbookViewId="0">
      <selection activeCell="G31" sqref="G31"/>
    </sheetView>
  </sheetViews>
  <sheetFormatPr defaultRowHeight="14.4" x14ac:dyDescent="0.3"/>
  <cols>
    <col min="4" max="4" width="7.109375" customWidth="1"/>
    <col min="5" max="5" width="6.5546875" customWidth="1"/>
    <col min="6" max="6" width="11.6640625" customWidth="1"/>
    <col min="8" max="8" width="8.88671875" customWidth="1"/>
    <col min="10" max="10" width="15.5546875" customWidth="1"/>
    <col min="11" max="11" width="10.6640625" customWidth="1"/>
  </cols>
  <sheetData>
    <row r="2" spans="3:14" ht="23.4" customHeight="1" x14ac:dyDescent="0.3">
      <c r="C2" s="100" t="s">
        <v>50</v>
      </c>
      <c r="D2" s="100"/>
      <c r="E2" s="100"/>
      <c r="F2" s="100"/>
      <c r="G2" s="100"/>
      <c r="H2" s="100"/>
      <c r="I2" s="100"/>
      <c r="J2" s="100"/>
      <c r="K2" s="100"/>
      <c r="L2" s="100"/>
      <c r="M2" s="100"/>
    </row>
    <row r="3" spans="3:14" x14ac:dyDescent="0.3"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"/>
    </row>
    <row r="4" spans="3:14" x14ac:dyDescent="0.3">
      <c r="C4" s="112" t="s">
        <v>2</v>
      </c>
      <c r="D4" s="112"/>
      <c r="E4" s="112" t="s">
        <v>3</v>
      </c>
      <c r="F4" s="112" t="s">
        <v>51</v>
      </c>
      <c r="G4" s="113" t="s">
        <v>33</v>
      </c>
      <c r="H4" s="113"/>
      <c r="I4" s="113" t="s">
        <v>34</v>
      </c>
      <c r="J4" s="113"/>
      <c r="K4" s="113"/>
      <c r="L4" s="113"/>
      <c r="M4" s="113"/>
      <c r="N4" s="1"/>
    </row>
    <row r="5" spans="3:14" x14ac:dyDescent="0.3">
      <c r="C5" s="112"/>
      <c r="D5" s="112"/>
      <c r="E5" s="112"/>
      <c r="F5" s="112"/>
      <c r="G5" s="70" t="s">
        <v>35</v>
      </c>
      <c r="H5" s="70" t="s">
        <v>36</v>
      </c>
      <c r="I5" s="70" t="s">
        <v>37</v>
      </c>
      <c r="J5" s="70" t="s">
        <v>12</v>
      </c>
      <c r="K5" s="70" t="s">
        <v>38</v>
      </c>
      <c r="L5" s="70" t="s">
        <v>12</v>
      </c>
      <c r="M5" s="70" t="s">
        <v>39</v>
      </c>
      <c r="N5" s="1"/>
    </row>
    <row r="6" spans="3:14" x14ac:dyDescent="0.3">
      <c r="C6" s="111">
        <v>0</v>
      </c>
      <c r="D6" s="111"/>
      <c r="E6" s="42">
        <v>0.5</v>
      </c>
      <c r="F6" s="46">
        <v>0</v>
      </c>
      <c r="G6" s="45">
        <f>F6*F6*F6</f>
        <v>0</v>
      </c>
      <c r="H6" s="45">
        <f>E6*G6</f>
        <v>0</v>
      </c>
      <c r="I6" s="45">
        <f>E6*F6</f>
        <v>0</v>
      </c>
      <c r="J6" s="48">
        <v>-5</v>
      </c>
      <c r="K6" s="45">
        <f>I6*J6</f>
        <v>0</v>
      </c>
      <c r="L6" s="48">
        <v>-5</v>
      </c>
      <c r="M6" s="45">
        <f>K6*L6</f>
        <v>0</v>
      </c>
      <c r="N6" s="1"/>
    </row>
    <row r="7" spans="3:14" x14ac:dyDescent="0.3">
      <c r="C7" s="111">
        <v>0.5</v>
      </c>
      <c r="D7" s="111"/>
      <c r="E7" s="42">
        <v>2</v>
      </c>
      <c r="F7" s="46">
        <v>3.5283000000000002</v>
      </c>
      <c r="G7" s="45">
        <f t="shared" ref="G7:G20" si="0">F7*F7*F7</f>
        <v>43.923457010187008</v>
      </c>
      <c r="H7" s="45">
        <f t="shared" ref="H7:H20" si="1">E7*G7</f>
        <v>87.846914020374015</v>
      </c>
      <c r="I7" s="45">
        <f>E7*F7</f>
        <v>7.0566000000000004</v>
      </c>
      <c r="J7" s="48">
        <v>-4.5</v>
      </c>
      <c r="K7" s="45">
        <f>I7*J7</f>
        <v>-31.754700000000003</v>
      </c>
      <c r="L7" s="48">
        <v>-4.5</v>
      </c>
      <c r="M7" s="45">
        <f t="shared" ref="M7:M20" si="2">K7*L7</f>
        <v>142.89615000000001</v>
      </c>
      <c r="N7" s="1"/>
    </row>
    <row r="8" spans="3:14" x14ac:dyDescent="0.3">
      <c r="C8" s="111">
        <v>1</v>
      </c>
      <c r="D8" s="111"/>
      <c r="E8" s="42">
        <v>1</v>
      </c>
      <c r="F8" s="46">
        <v>4.9665999999999997</v>
      </c>
      <c r="G8" s="45">
        <f t="shared" si="0"/>
        <v>122.51169614029597</v>
      </c>
      <c r="H8" s="45">
        <f t="shared" si="1"/>
        <v>122.51169614029597</v>
      </c>
      <c r="I8" s="45">
        <f t="shared" ref="I8:I20" si="3">E8*F8</f>
        <v>4.9665999999999997</v>
      </c>
      <c r="J8" s="48">
        <v>-4</v>
      </c>
      <c r="K8" s="45">
        <f>I8*J8</f>
        <v>-19.866399999999999</v>
      </c>
      <c r="L8" s="48">
        <v>-4</v>
      </c>
      <c r="M8" s="45">
        <f t="shared" si="2"/>
        <v>79.465599999999995</v>
      </c>
      <c r="N8" s="1"/>
    </row>
    <row r="9" spans="3:14" x14ac:dyDescent="0.3">
      <c r="C9" s="111">
        <v>1.5</v>
      </c>
      <c r="D9" s="111"/>
      <c r="E9" s="42">
        <v>2</v>
      </c>
      <c r="F9" s="46">
        <v>5.2812000000000001</v>
      </c>
      <c r="G9" s="45">
        <f t="shared" si="0"/>
        <v>147.29833705132799</v>
      </c>
      <c r="H9" s="45">
        <f t="shared" si="1"/>
        <v>294.59667410265598</v>
      </c>
      <c r="I9" s="45">
        <f t="shared" si="3"/>
        <v>10.5624</v>
      </c>
      <c r="J9" s="48">
        <v>-3.5</v>
      </c>
      <c r="K9" s="45">
        <f t="shared" ref="K9:K20" si="4">I9*J9</f>
        <v>-36.968400000000003</v>
      </c>
      <c r="L9" s="48">
        <v>-3.5</v>
      </c>
      <c r="M9" s="45">
        <f t="shared" si="2"/>
        <v>129.38940000000002</v>
      </c>
      <c r="N9" s="1"/>
    </row>
    <row r="10" spans="3:14" x14ac:dyDescent="0.3">
      <c r="C10" s="111">
        <v>2</v>
      </c>
      <c r="D10" s="111"/>
      <c r="E10" s="42">
        <v>1.5</v>
      </c>
      <c r="F10" s="46">
        <v>5.3849999986950001</v>
      </c>
      <c r="G10" s="45">
        <f t="shared" si="0"/>
        <v>156.15544151147196</v>
      </c>
      <c r="H10" s="45">
        <f t="shared" si="1"/>
        <v>234.23316226720794</v>
      </c>
      <c r="I10" s="45">
        <f t="shared" si="3"/>
        <v>8.0774999980424997</v>
      </c>
      <c r="J10" s="48">
        <v>-3</v>
      </c>
      <c r="K10" s="45">
        <f t="shared" si="4"/>
        <v>-24.232499994127501</v>
      </c>
      <c r="L10" s="48">
        <v>-3</v>
      </c>
      <c r="M10" s="45">
        <f t="shared" si="2"/>
        <v>72.69749998238251</v>
      </c>
      <c r="N10" s="1"/>
    </row>
    <row r="11" spans="3:14" x14ac:dyDescent="0.3">
      <c r="C11" s="111">
        <v>3</v>
      </c>
      <c r="D11" s="111"/>
      <c r="E11" s="42">
        <v>4</v>
      </c>
      <c r="F11" s="46">
        <v>5.3849999986950001</v>
      </c>
      <c r="G11" s="45">
        <f t="shared" si="0"/>
        <v>156.15544151147196</v>
      </c>
      <c r="H11" s="45">
        <f t="shared" si="1"/>
        <v>624.62176604588785</v>
      </c>
      <c r="I11" s="45">
        <f t="shared" si="3"/>
        <v>21.53999999478</v>
      </c>
      <c r="J11" s="48">
        <v>-2</v>
      </c>
      <c r="K11" s="45">
        <f t="shared" si="4"/>
        <v>-43.079999989560001</v>
      </c>
      <c r="L11" s="48">
        <v>-2</v>
      </c>
      <c r="M11" s="45">
        <f t="shared" si="2"/>
        <v>86.159999979120002</v>
      </c>
      <c r="N11" s="1"/>
    </row>
    <row r="12" spans="3:14" x14ac:dyDescent="0.3">
      <c r="C12" s="111">
        <v>4</v>
      </c>
      <c r="D12" s="111"/>
      <c r="E12" s="42">
        <v>2</v>
      </c>
      <c r="F12" s="46">
        <v>5.3849999986950001</v>
      </c>
      <c r="G12" s="45">
        <f t="shared" si="0"/>
        <v>156.15544151147196</v>
      </c>
      <c r="H12" s="45">
        <f t="shared" si="1"/>
        <v>312.31088302294393</v>
      </c>
      <c r="I12" s="45">
        <f t="shared" si="3"/>
        <v>10.76999999739</v>
      </c>
      <c r="J12" s="48">
        <v>-1</v>
      </c>
      <c r="K12" s="45">
        <f t="shared" si="4"/>
        <v>-10.76999999739</v>
      </c>
      <c r="L12" s="48">
        <v>-1</v>
      </c>
      <c r="M12" s="45">
        <f t="shared" si="2"/>
        <v>10.76999999739</v>
      </c>
      <c r="N12" s="1"/>
    </row>
    <row r="13" spans="3:14" x14ac:dyDescent="0.3">
      <c r="C13" s="111">
        <v>5</v>
      </c>
      <c r="D13" s="111"/>
      <c r="E13" s="42">
        <v>4</v>
      </c>
      <c r="F13" s="46">
        <v>5.3849999986950001</v>
      </c>
      <c r="G13" s="45">
        <f t="shared" si="0"/>
        <v>156.15544151147196</v>
      </c>
      <c r="H13" s="45">
        <f t="shared" si="1"/>
        <v>624.62176604588785</v>
      </c>
      <c r="I13" s="45">
        <f t="shared" si="3"/>
        <v>21.53999999478</v>
      </c>
      <c r="J13" s="48">
        <v>0</v>
      </c>
      <c r="K13" s="45">
        <f t="shared" si="4"/>
        <v>0</v>
      </c>
      <c r="L13" s="48">
        <v>0</v>
      </c>
      <c r="M13" s="45">
        <f t="shared" si="2"/>
        <v>0</v>
      </c>
      <c r="N13" s="1"/>
    </row>
    <row r="14" spans="3:14" x14ac:dyDescent="0.3">
      <c r="C14" s="111">
        <v>6</v>
      </c>
      <c r="D14" s="111"/>
      <c r="E14" s="42">
        <v>2</v>
      </c>
      <c r="F14" s="46">
        <v>5.3849999986950001</v>
      </c>
      <c r="G14" s="45">
        <f t="shared" si="0"/>
        <v>156.15544151147196</v>
      </c>
      <c r="H14" s="45">
        <f t="shared" si="1"/>
        <v>312.31088302294393</v>
      </c>
      <c r="I14" s="45">
        <f t="shared" si="3"/>
        <v>10.76999999739</v>
      </c>
      <c r="J14" s="48">
        <v>1</v>
      </c>
      <c r="K14" s="45">
        <f t="shared" si="4"/>
        <v>10.76999999739</v>
      </c>
      <c r="L14" s="48">
        <v>1</v>
      </c>
      <c r="M14" s="45">
        <f t="shared" si="2"/>
        <v>10.76999999739</v>
      </c>
      <c r="N14" s="1"/>
    </row>
    <row r="15" spans="3:14" x14ac:dyDescent="0.3">
      <c r="C15" s="111">
        <v>7</v>
      </c>
      <c r="D15" s="111"/>
      <c r="E15" s="42">
        <v>4</v>
      </c>
      <c r="F15" s="46">
        <v>5.3849999986950001</v>
      </c>
      <c r="G15" s="45">
        <f t="shared" si="0"/>
        <v>156.15544151147196</v>
      </c>
      <c r="H15" s="45">
        <f t="shared" si="1"/>
        <v>624.62176604588785</v>
      </c>
      <c r="I15" s="45">
        <f t="shared" si="3"/>
        <v>21.53999999478</v>
      </c>
      <c r="J15" s="48">
        <v>2</v>
      </c>
      <c r="K15" s="45">
        <f t="shared" si="4"/>
        <v>43.079999989560001</v>
      </c>
      <c r="L15" s="48">
        <v>2</v>
      </c>
      <c r="M15" s="45">
        <f t="shared" si="2"/>
        <v>86.159999979120002</v>
      </c>
      <c r="N15" s="1"/>
    </row>
    <row r="16" spans="3:14" x14ac:dyDescent="0.3">
      <c r="C16" s="111">
        <v>8</v>
      </c>
      <c r="D16" s="111"/>
      <c r="E16" s="42">
        <v>1.5</v>
      </c>
      <c r="F16" s="46">
        <v>5.2366000000000001</v>
      </c>
      <c r="G16" s="45">
        <f t="shared" si="0"/>
        <v>143.597938163896</v>
      </c>
      <c r="H16" s="45">
        <f t="shared" si="1"/>
        <v>215.39690724584401</v>
      </c>
      <c r="I16" s="45">
        <f t="shared" si="3"/>
        <v>7.8549000000000007</v>
      </c>
      <c r="J16" s="48">
        <v>3</v>
      </c>
      <c r="K16" s="45">
        <f t="shared" si="4"/>
        <v>23.564700000000002</v>
      </c>
      <c r="L16" s="48">
        <v>3</v>
      </c>
      <c r="M16" s="45">
        <f t="shared" si="2"/>
        <v>70.694100000000006</v>
      </c>
      <c r="N16" s="1"/>
    </row>
    <row r="17" spans="3:14" x14ac:dyDescent="0.3">
      <c r="C17" s="111">
        <v>8.5</v>
      </c>
      <c r="D17" s="111"/>
      <c r="E17" s="42">
        <v>2</v>
      </c>
      <c r="F17" s="46">
        <v>4.9218999999999999</v>
      </c>
      <c r="G17" s="45">
        <f t="shared" si="0"/>
        <v>119.233517770459</v>
      </c>
      <c r="H17" s="45">
        <f t="shared" si="1"/>
        <v>238.467035540918</v>
      </c>
      <c r="I17" s="45">
        <f t="shared" si="3"/>
        <v>9.8437999999999999</v>
      </c>
      <c r="J17" s="48">
        <v>3.5</v>
      </c>
      <c r="K17" s="45">
        <f t="shared" si="4"/>
        <v>34.453299999999999</v>
      </c>
      <c r="L17" s="48">
        <v>3.5</v>
      </c>
      <c r="M17" s="45">
        <f t="shared" si="2"/>
        <v>120.58654999999999</v>
      </c>
      <c r="N17" s="1"/>
    </row>
    <row r="18" spans="3:14" x14ac:dyDescent="0.3">
      <c r="C18" s="111">
        <v>9</v>
      </c>
      <c r="D18" s="111"/>
      <c r="E18" s="42">
        <v>1</v>
      </c>
      <c r="F18" s="46">
        <v>4.0705999999999998</v>
      </c>
      <c r="G18" s="45">
        <f t="shared" si="0"/>
        <v>67.448964215815991</v>
      </c>
      <c r="H18" s="45">
        <f t="shared" si="1"/>
        <v>67.448964215815991</v>
      </c>
      <c r="I18" s="45">
        <f t="shared" si="3"/>
        <v>4.0705999999999998</v>
      </c>
      <c r="J18" s="48">
        <v>4</v>
      </c>
      <c r="K18" s="45">
        <f t="shared" si="4"/>
        <v>16.282399999999999</v>
      </c>
      <c r="L18" s="48">
        <v>4</v>
      </c>
      <c r="M18" s="45">
        <f t="shared" si="2"/>
        <v>65.129599999999996</v>
      </c>
      <c r="N18" s="1"/>
    </row>
    <row r="19" spans="3:14" x14ac:dyDescent="0.3">
      <c r="C19" s="111">
        <v>9.5</v>
      </c>
      <c r="D19" s="111"/>
      <c r="E19" s="42">
        <v>2</v>
      </c>
      <c r="F19" s="46">
        <v>2.5228999999999999</v>
      </c>
      <c r="G19" s="45">
        <f t="shared" si="0"/>
        <v>16.058320083988999</v>
      </c>
      <c r="H19" s="45">
        <f t="shared" si="1"/>
        <v>32.116640167977998</v>
      </c>
      <c r="I19" s="45">
        <f>E19*F19</f>
        <v>5.0457999999999998</v>
      </c>
      <c r="J19" s="48">
        <v>4.5</v>
      </c>
      <c r="K19" s="45">
        <f t="shared" si="4"/>
        <v>22.706099999999999</v>
      </c>
      <c r="L19" s="48">
        <v>4.5</v>
      </c>
      <c r="M19" s="45">
        <f t="shared" si="2"/>
        <v>102.17744999999999</v>
      </c>
      <c r="N19" s="1"/>
    </row>
    <row r="20" spans="3:14" x14ac:dyDescent="0.3">
      <c r="C20" s="111">
        <v>10</v>
      </c>
      <c r="D20" s="111"/>
      <c r="E20" s="42">
        <v>0.5</v>
      </c>
      <c r="F20" s="49">
        <v>0</v>
      </c>
      <c r="G20" s="45">
        <f t="shared" si="0"/>
        <v>0</v>
      </c>
      <c r="H20" s="45">
        <f t="shared" si="1"/>
        <v>0</v>
      </c>
      <c r="I20" s="45">
        <f t="shared" si="3"/>
        <v>0</v>
      </c>
      <c r="J20" s="48">
        <v>5</v>
      </c>
      <c r="K20" s="45">
        <f t="shared" si="4"/>
        <v>0</v>
      </c>
      <c r="L20" s="48">
        <v>5</v>
      </c>
      <c r="M20" s="45">
        <f t="shared" si="2"/>
        <v>0</v>
      </c>
      <c r="N20" s="1"/>
    </row>
    <row r="21" spans="3:14" x14ac:dyDescent="0.3">
      <c r="C21" s="115"/>
      <c r="D21" s="115"/>
      <c r="E21" s="115"/>
      <c r="F21" s="115"/>
      <c r="G21" s="115"/>
      <c r="H21" s="67">
        <f>SUM(H6:H20)</f>
        <v>3791.1050578846412</v>
      </c>
      <c r="I21" s="67">
        <f>SUM(I6:I20)</f>
        <v>143.63819997716251</v>
      </c>
      <c r="J21" s="67"/>
      <c r="K21" s="67">
        <f>SUM(K6:K20)</f>
        <v>-15.815499994127514</v>
      </c>
      <c r="L21" s="67"/>
      <c r="M21" s="67">
        <f>SUM(M6:M20)</f>
        <v>976.89634993540255</v>
      </c>
      <c r="N21" s="1"/>
    </row>
    <row r="22" spans="3:14" x14ac:dyDescent="0.3">
      <c r="C22" s="37"/>
      <c r="D22" s="37"/>
      <c r="E22" s="37"/>
      <c r="F22" s="37"/>
      <c r="G22" s="37"/>
      <c r="H22" s="36"/>
      <c r="I22" s="36"/>
      <c r="J22" s="36"/>
      <c r="K22" s="36"/>
      <c r="L22" s="36"/>
      <c r="M22" s="36"/>
      <c r="N22" s="1"/>
    </row>
    <row r="23" spans="3:14" x14ac:dyDescent="0.3">
      <c r="C23" s="114" t="s">
        <v>40</v>
      </c>
      <c r="D23" s="114"/>
      <c r="E23" s="114"/>
      <c r="F23" s="39">
        <f>(1/3)*(1/3)*2*'WL 3 Displacement'!U33*(H21/'WL 3 Displacement'!R27)</f>
        <v>3.5687986966481078</v>
      </c>
      <c r="G23" s="26"/>
      <c r="H23" s="114" t="s">
        <v>41</v>
      </c>
      <c r="I23" s="114"/>
      <c r="J23" s="114"/>
      <c r="K23" s="68">
        <f>(1/3)*2*M21*(6.455)^3</f>
        <v>175164.44914666936</v>
      </c>
      <c r="L23" s="16" t="s">
        <v>42</v>
      </c>
      <c r="M23" s="15"/>
      <c r="N23" s="1"/>
    </row>
    <row r="24" spans="3:14" x14ac:dyDescent="0.3">
      <c r="C24" s="114" t="s">
        <v>52</v>
      </c>
      <c r="D24" s="114"/>
      <c r="E24" s="114"/>
      <c r="F24" s="39">
        <f>(1/3)*6.455*2*I21</f>
        <v>618.12305390172264</v>
      </c>
      <c r="G24" s="26"/>
      <c r="H24" s="114" t="s">
        <v>44</v>
      </c>
      <c r="I24" s="114"/>
      <c r="J24" s="114"/>
      <c r="K24" s="68">
        <f>K23-(F24*(F25)^2)</f>
        <v>174852.20566610878</v>
      </c>
      <c r="L24" s="16" t="s">
        <v>42</v>
      </c>
      <c r="M24" s="15"/>
      <c r="N24" s="1"/>
    </row>
    <row r="25" spans="3:14" x14ac:dyDescent="0.3">
      <c r="C25" s="114" t="s">
        <v>53</v>
      </c>
      <c r="D25" s="114"/>
      <c r="E25" s="114"/>
      <c r="F25" s="39">
        <f>(6.455*K21)/I21</f>
        <v>-0.71073748124332226</v>
      </c>
      <c r="G25" s="26"/>
      <c r="H25" s="114" t="s">
        <v>46</v>
      </c>
      <c r="I25" s="114"/>
      <c r="J25" s="114"/>
      <c r="K25" s="68">
        <f>K24/'WL 3 Displacement'!R27</f>
        <v>114.74760090248159</v>
      </c>
      <c r="L25" s="26"/>
      <c r="M25" s="16"/>
      <c r="N25" s="1"/>
    </row>
    <row r="26" spans="3:14" x14ac:dyDescent="0.3">
      <c r="C26" s="114" t="s">
        <v>47</v>
      </c>
      <c r="D26" s="114"/>
      <c r="E26" s="114"/>
      <c r="F26" s="39">
        <f>F24/100</f>
        <v>6.1812305390172266</v>
      </c>
      <c r="G26" s="26"/>
      <c r="H26" s="114" t="s">
        <v>48</v>
      </c>
      <c r="I26" s="114"/>
      <c r="J26" s="114"/>
      <c r="K26" s="68">
        <f>('WL 3 Displacement'!R27*K25)/(100*65.74)</f>
        <v>26.597536608778341</v>
      </c>
      <c r="L26" s="26"/>
      <c r="M26" s="16"/>
      <c r="N26" s="1"/>
    </row>
    <row r="27" spans="3:14" x14ac:dyDescent="0.3">
      <c r="C27" s="15"/>
      <c r="D27" s="15"/>
      <c r="E27" s="15"/>
      <c r="F27" s="15"/>
      <c r="G27" s="26"/>
      <c r="H27" s="92"/>
      <c r="I27" s="92"/>
      <c r="J27" s="92"/>
      <c r="K27" s="92"/>
      <c r="L27" s="26"/>
      <c r="M27" s="16"/>
      <c r="N27" s="1"/>
    </row>
  </sheetData>
  <mergeCells count="30">
    <mergeCell ref="H26:J26"/>
    <mergeCell ref="C24:E24"/>
    <mergeCell ref="H24:J24"/>
    <mergeCell ref="C25:E25"/>
    <mergeCell ref="H25:J25"/>
    <mergeCell ref="C26:E26"/>
    <mergeCell ref="H23:J23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G21"/>
    <mergeCell ref="C23:E23"/>
    <mergeCell ref="C2:M3"/>
    <mergeCell ref="C11:D11"/>
    <mergeCell ref="C4:D5"/>
    <mergeCell ref="E4:E5"/>
    <mergeCell ref="F4:F5"/>
    <mergeCell ref="G4:H4"/>
    <mergeCell ref="I4:M4"/>
    <mergeCell ref="C6:D6"/>
    <mergeCell ref="C7:D7"/>
    <mergeCell ref="C8:D8"/>
    <mergeCell ref="C9:D9"/>
    <mergeCell ref="C10:D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97055-C369-4227-A765-507078CAA846}">
  <dimension ref="B2:R34"/>
  <sheetViews>
    <sheetView topLeftCell="A7" zoomScale="85" zoomScaleNormal="85" workbookViewId="0">
      <selection activeCell="E20" sqref="E20"/>
    </sheetView>
  </sheetViews>
  <sheetFormatPr defaultRowHeight="14.4" x14ac:dyDescent="0.3"/>
  <sheetData>
    <row r="2" spans="2:18" ht="23.4" customHeight="1" x14ac:dyDescent="0.3">
      <c r="B2" s="100" t="s">
        <v>54</v>
      </c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</row>
    <row r="3" spans="2:18" ht="14.4" customHeight="1" x14ac:dyDescent="0.3"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</row>
    <row r="4" spans="2:18" x14ac:dyDescent="0.3">
      <c r="B4" s="102" t="s">
        <v>2</v>
      </c>
      <c r="C4" s="102"/>
      <c r="D4" s="102" t="s">
        <v>3</v>
      </c>
      <c r="E4" s="102" t="s">
        <v>4</v>
      </c>
      <c r="F4" s="102"/>
      <c r="G4" s="102" t="s">
        <v>5</v>
      </c>
      <c r="H4" s="102"/>
      <c r="I4" s="102" t="s">
        <v>6</v>
      </c>
      <c r="J4" s="102"/>
      <c r="K4" s="102" t="s">
        <v>9</v>
      </c>
      <c r="L4" s="102" t="s">
        <v>10</v>
      </c>
      <c r="M4" s="102" t="s">
        <v>3</v>
      </c>
      <c r="N4" s="102" t="s">
        <v>11</v>
      </c>
      <c r="O4" s="102"/>
      <c r="P4" s="102" t="s">
        <v>12</v>
      </c>
      <c r="Q4" s="102" t="s">
        <v>13</v>
      </c>
      <c r="R4" s="102"/>
    </row>
    <row r="5" spans="2:18" x14ac:dyDescent="0.3"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</row>
    <row r="6" spans="2:18" x14ac:dyDescent="0.3"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</row>
    <row r="7" spans="2:18" x14ac:dyDescent="0.3">
      <c r="B7" s="102"/>
      <c r="C7" s="102"/>
      <c r="D7" s="102"/>
      <c r="E7" s="102">
        <v>1</v>
      </c>
      <c r="F7" s="102"/>
      <c r="G7" s="102">
        <v>4</v>
      </c>
      <c r="H7" s="102"/>
      <c r="I7" s="102">
        <v>1</v>
      </c>
      <c r="J7" s="102"/>
      <c r="K7" s="102"/>
      <c r="L7" s="102"/>
      <c r="M7" s="102"/>
      <c r="N7" s="102"/>
      <c r="O7" s="102"/>
      <c r="P7" s="102"/>
      <c r="Q7" s="102"/>
      <c r="R7" s="102"/>
    </row>
    <row r="8" spans="2:18" x14ac:dyDescent="0.3">
      <c r="B8" s="102"/>
      <c r="C8" s="102"/>
      <c r="D8" s="102"/>
      <c r="E8" s="40" t="s">
        <v>14</v>
      </c>
      <c r="F8" s="40" t="s">
        <v>15</v>
      </c>
      <c r="G8" s="40" t="s">
        <v>14</v>
      </c>
      <c r="H8" s="40" t="s">
        <v>15</v>
      </c>
      <c r="I8" s="40" t="s">
        <v>14</v>
      </c>
      <c r="J8" s="40" t="s">
        <v>15</v>
      </c>
      <c r="K8" s="102"/>
      <c r="L8" s="102"/>
      <c r="M8" s="102"/>
      <c r="N8" s="102"/>
      <c r="O8" s="102"/>
      <c r="P8" s="102"/>
      <c r="Q8" s="102"/>
      <c r="R8" s="102"/>
    </row>
    <row r="9" spans="2:18" x14ac:dyDescent="0.3">
      <c r="B9" s="101">
        <v>0</v>
      </c>
      <c r="C9" s="101">
        <v>0</v>
      </c>
      <c r="D9" s="42">
        <v>0.5</v>
      </c>
      <c r="E9" s="43">
        <v>0</v>
      </c>
      <c r="F9" s="41">
        <f>D9*E9</f>
        <v>0</v>
      </c>
      <c r="G9" s="44">
        <v>0</v>
      </c>
      <c r="H9" s="45">
        <f>D9*G9</f>
        <v>0</v>
      </c>
      <c r="I9" s="44">
        <v>0</v>
      </c>
      <c r="J9" s="45">
        <f>D9*I9</f>
        <v>0</v>
      </c>
      <c r="K9" s="41">
        <f>1*E9+4*G9+1*I9</f>
        <v>0</v>
      </c>
      <c r="L9" s="41">
        <f>(0.95/3)*K9*2</f>
        <v>0</v>
      </c>
      <c r="M9" s="42">
        <v>0.5</v>
      </c>
      <c r="N9" s="116">
        <f>L9*M9</f>
        <v>0</v>
      </c>
      <c r="O9" s="116"/>
      <c r="P9" s="48">
        <v>-5</v>
      </c>
      <c r="Q9" s="116">
        <f>P9*N9</f>
        <v>0</v>
      </c>
      <c r="R9" s="116"/>
    </row>
    <row r="10" spans="2:18" x14ac:dyDescent="0.3">
      <c r="B10" s="101">
        <v>0.5</v>
      </c>
      <c r="C10" s="101">
        <v>0.5</v>
      </c>
      <c r="D10" s="42">
        <v>2</v>
      </c>
      <c r="E10" s="43">
        <v>0</v>
      </c>
      <c r="F10" s="41">
        <f t="shared" ref="F10:F23" si="0">D10*E10</f>
        <v>0</v>
      </c>
      <c r="G10" s="44">
        <v>0</v>
      </c>
      <c r="H10" s="45">
        <f t="shared" ref="H10:H23" si="1">D10*G10</f>
        <v>0</v>
      </c>
      <c r="I10" s="46">
        <v>1.3892</v>
      </c>
      <c r="J10" s="45">
        <f t="shared" ref="J10:J23" si="2">D10*I10</f>
        <v>2.7784</v>
      </c>
      <c r="K10" s="41">
        <f t="shared" ref="K10:K23" si="3">1*E10+4*G10+1*I10</f>
        <v>1.3892</v>
      </c>
      <c r="L10" s="41">
        <f t="shared" ref="L10:L23" si="4">(0.95/3)*K10*2</f>
        <v>0.87982666666666665</v>
      </c>
      <c r="M10" s="42">
        <v>2</v>
      </c>
      <c r="N10" s="116">
        <f t="shared" ref="N10:N23" si="5">L10*M10</f>
        <v>1.7596533333333333</v>
      </c>
      <c r="O10" s="116"/>
      <c r="P10" s="48">
        <v>-4.5</v>
      </c>
      <c r="Q10" s="116">
        <f t="shared" ref="Q10:Q23" si="6">P10*N10</f>
        <v>-7.9184399999999995</v>
      </c>
      <c r="R10" s="116"/>
    </row>
    <row r="11" spans="2:18" x14ac:dyDescent="0.3">
      <c r="B11" s="101">
        <v>1</v>
      </c>
      <c r="C11" s="101">
        <v>1</v>
      </c>
      <c r="D11" s="42">
        <v>1</v>
      </c>
      <c r="E11" s="43">
        <v>0</v>
      </c>
      <c r="F11" s="41">
        <f t="shared" si="0"/>
        <v>0</v>
      </c>
      <c r="G11" s="46">
        <v>2.9177</v>
      </c>
      <c r="H11" s="45">
        <f t="shared" si="1"/>
        <v>2.9177</v>
      </c>
      <c r="I11" s="46">
        <v>4.2988</v>
      </c>
      <c r="J11" s="45">
        <f t="shared" si="2"/>
        <v>4.2988</v>
      </c>
      <c r="K11" s="41">
        <f t="shared" si="3"/>
        <v>15.9696</v>
      </c>
      <c r="L11" s="41">
        <f t="shared" si="4"/>
        <v>10.11408</v>
      </c>
      <c r="M11" s="42">
        <v>1</v>
      </c>
      <c r="N11" s="116">
        <f t="shared" si="5"/>
        <v>10.11408</v>
      </c>
      <c r="O11" s="116"/>
      <c r="P11" s="48">
        <v>-4</v>
      </c>
      <c r="Q11" s="116">
        <f t="shared" si="6"/>
        <v>-40.456319999999998</v>
      </c>
      <c r="R11" s="116"/>
    </row>
    <row r="12" spans="2:18" x14ac:dyDescent="0.3">
      <c r="B12" s="101">
        <v>1.5</v>
      </c>
      <c r="C12" s="101">
        <v>1.5</v>
      </c>
      <c r="D12" s="42">
        <v>2</v>
      </c>
      <c r="E12" s="43">
        <v>0</v>
      </c>
      <c r="F12" s="41">
        <f t="shared" si="0"/>
        <v>0</v>
      </c>
      <c r="G12" s="46">
        <v>4.2690999999999999</v>
      </c>
      <c r="H12" s="45">
        <f t="shared" si="1"/>
        <v>8.5381999999999998</v>
      </c>
      <c r="I12" s="46">
        <v>5.0622999999999996</v>
      </c>
      <c r="J12" s="45">
        <f t="shared" si="2"/>
        <v>10.124599999999999</v>
      </c>
      <c r="K12" s="47">
        <f t="shared" si="3"/>
        <v>22.1387</v>
      </c>
      <c r="L12" s="41">
        <f t="shared" si="4"/>
        <v>14.021176666666666</v>
      </c>
      <c r="M12" s="42">
        <v>2</v>
      </c>
      <c r="N12" s="117">
        <f t="shared" si="5"/>
        <v>28.042353333333331</v>
      </c>
      <c r="O12" s="117"/>
      <c r="P12" s="48">
        <v>-3.5</v>
      </c>
      <c r="Q12" s="117">
        <f t="shared" si="6"/>
        <v>-98.148236666666662</v>
      </c>
      <c r="R12" s="117"/>
    </row>
    <row r="13" spans="2:18" x14ac:dyDescent="0.3">
      <c r="B13" s="101">
        <v>2</v>
      </c>
      <c r="C13" s="101">
        <v>2</v>
      </c>
      <c r="D13" s="42">
        <v>1.5</v>
      </c>
      <c r="E13" s="43">
        <v>2.3809999999999998</v>
      </c>
      <c r="F13" s="41">
        <f t="shared" si="0"/>
        <v>3.5714999999999995</v>
      </c>
      <c r="G13" s="46">
        <v>5.0560999999999998</v>
      </c>
      <c r="H13" s="45">
        <f t="shared" si="1"/>
        <v>7.5841499999999993</v>
      </c>
      <c r="I13" s="46">
        <v>5.3231000000000002</v>
      </c>
      <c r="J13" s="45">
        <f t="shared" si="2"/>
        <v>7.9846500000000002</v>
      </c>
      <c r="K13" s="47">
        <f t="shared" si="3"/>
        <v>27.9285</v>
      </c>
      <c r="L13" s="41">
        <f t="shared" si="4"/>
        <v>17.68805</v>
      </c>
      <c r="M13" s="42">
        <v>1.5</v>
      </c>
      <c r="N13" s="117">
        <f t="shared" si="5"/>
        <v>26.532074999999999</v>
      </c>
      <c r="O13" s="117"/>
      <c r="P13" s="48">
        <v>-3</v>
      </c>
      <c r="Q13" s="117">
        <f t="shared" si="6"/>
        <v>-79.596225000000004</v>
      </c>
      <c r="R13" s="117"/>
    </row>
    <row r="14" spans="2:18" x14ac:dyDescent="0.3">
      <c r="B14" s="101">
        <v>3</v>
      </c>
      <c r="C14" s="101">
        <v>3</v>
      </c>
      <c r="D14" s="42">
        <v>4</v>
      </c>
      <c r="E14" s="43">
        <v>3.5219999999999998</v>
      </c>
      <c r="F14" s="41">
        <f t="shared" si="0"/>
        <v>14.087999999999999</v>
      </c>
      <c r="G14" s="46">
        <v>5.3063000000000002</v>
      </c>
      <c r="H14" s="45">
        <f t="shared" si="1"/>
        <v>21.225200000000001</v>
      </c>
      <c r="I14" s="46">
        <v>5.3849999986950001</v>
      </c>
      <c r="J14" s="45">
        <f t="shared" si="2"/>
        <v>21.53999999478</v>
      </c>
      <c r="K14" s="47">
        <f t="shared" si="3"/>
        <v>30.132199998695</v>
      </c>
      <c r="L14" s="41">
        <f t="shared" si="4"/>
        <v>19.083726665840167</v>
      </c>
      <c r="M14" s="42">
        <v>4</v>
      </c>
      <c r="N14" s="117">
        <f t="shared" si="5"/>
        <v>76.33490666336067</v>
      </c>
      <c r="O14" s="117"/>
      <c r="P14" s="48">
        <v>-2</v>
      </c>
      <c r="Q14" s="117">
        <f t="shared" si="6"/>
        <v>-152.66981332672134</v>
      </c>
      <c r="R14" s="117"/>
    </row>
    <row r="15" spans="2:18" x14ac:dyDescent="0.3">
      <c r="B15" s="101">
        <v>4</v>
      </c>
      <c r="C15" s="101">
        <v>4</v>
      </c>
      <c r="D15" s="42">
        <v>2</v>
      </c>
      <c r="E15" s="43">
        <v>3.5219999999999998</v>
      </c>
      <c r="F15" s="41">
        <f t="shared" si="0"/>
        <v>7.0439999999999996</v>
      </c>
      <c r="G15" s="46">
        <v>5.3063000000000002</v>
      </c>
      <c r="H15" s="45">
        <f t="shared" si="1"/>
        <v>10.6126</v>
      </c>
      <c r="I15" s="46">
        <v>5.3849999986950001</v>
      </c>
      <c r="J15" s="45">
        <f t="shared" si="2"/>
        <v>10.76999999739</v>
      </c>
      <c r="K15" s="47">
        <f t="shared" si="3"/>
        <v>30.132199998695</v>
      </c>
      <c r="L15" s="41">
        <f t="shared" si="4"/>
        <v>19.083726665840167</v>
      </c>
      <c r="M15" s="42">
        <v>2</v>
      </c>
      <c r="N15" s="117">
        <f t="shared" si="5"/>
        <v>38.167453331680335</v>
      </c>
      <c r="O15" s="117"/>
      <c r="P15" s="48">
        <v>-1</v>
      </c>
      <c r="Q15" s="117">
        <f t="shared" si="6"/>
        <v>-38.167453331680335</v>
      </c>
      <c r="R15" s="117"/>
    </row>
    <row r="16" spans="2:18" x14ac:dyDescent="0.3">
      <c r="B16" s="101">
        <v>5</v>
      </c>
      <c r="C16" s="101">
        <v>5</v>
      </c>
      <c r="D16" s="42">
        <v>4</v>
      </c>
      <c r="E16" s="43">
        <v>3.5219999999999998</v>
      </c>
      <c r="F16" s="47">
        <f t="shared" si="0"/>
        <v>14.087999999999999</v>
      </c>
      <c r="G16" s="46">
        <v>5.3063000000000002</v>
      </c>
      <c r="H16" s="45">
        <f t="shared" si="1"/>
        <v>21.225200000000001</v>
      </c>
      <c r="I16" s="46">
        <v>5.3849999986950001</v>
      </c>
      <c r="J16" s="45">
        <f t="shared" si="2"/>
        <v>21.53999999478</v>
      </c>
      <c r="K16" s="47">
        <f t="shared" si="3"/>
        <v>30.132199998695</v>
      </c>
      <c r="L16" s="41">
        <f t="shared" si="4"/>
        <v>19.083726665840167</v>
      </c>
      <c r="M16" s="42">
        <v>4</v>
      </c>
      <c r="N16" s="117">
        <f t="shared" si="5"/>
        <v>76.33490666336067</v>
      </c>
      <c r="O16" s="117"/>
      <c r="P16" s="48">
        <v>0</v>
      </c>
      <c r="Q16" s="117">
        <f t="shared" si="6"/>
        <v>0</v>
      </c>
      <c r="R16" s="117"/>
    </row>
    <row r="17" spans="2:18" x14ac:dyDescent="0.3">
      <c r="B17" s="101">
        <v>6</v>
      </c>
      <c r="C17" s="101">
        <v>6</v>
      </c>
      <c r="D17" s="42">
        <v>2</v>
      </c>
      <c r="E17" s="43">
        <v>3.5219999999999998</v>
      </c>
      <c r="F17" s="47">
        <f t="shared" si="0"/>
        <v>7.0439999999999996</v>
      </c>
      <c r="G17" s="46">
        <v>5.3063000000000002</v>
      </c>
      <c r="H17" s="45">
        <f t="shared" si="1"/>
        <v>10.6126</v>
      </c>
      <c r="I17" s="46">
        <v>5.3849999986950001</v>
      </c>
      <c r="J17" s="45">
        <f t="shared" si="2"/>
        <v>10.76999999739</v>
      </c>
      <c r="K17" s="47">
        <f t="shared" si="3"/>
        <v>30.132199998695</v>
      </c>
      <c r="L17" s="41">
        <f t="shared" si="4"/>
        <v>19.083726665840167</v>
      </c>
      <c r="M17" s="42">
        <v>2</v>
      </c>
      <c r="N17" s="117">
        <f t="shared" si="5"/>
        <v>38.167453331680335</v>
      </c>
      <c r="O17" s="117"/>
      <c r="P17" s="48">
        <v>1</v>
      </c>
      <c r="Q17" s="117">
        <f t="shared" si="6"/>
        <v>38.167453331680335</v>
      </c>
      <c r="R17" s="117"/>
    </row>
    <row r="18" spans="2:18" x14ac:dyDescent="0.3">
      <c r="B18" s="101">
        <v>7</v>
      </c>
      <c r="C18" s="101">
        <v>7</v>
      </c>
      <c r="D18" s="42">
        <v>4</v>
      </c>
      <c r="E18" s="43">
        <v>3.5219999999999998</v>
      </c>
      <c r="F18" s="47">
        <f t="shared" si="0"/>
        <v>14.087999999999999</v>
      </c>
      <c r="G18" s="46">
        <v>5.3063000000000002</v>
      </c>
      <c r="H18" s="45">
        <f t="shared" si="1"/>
        <v>21.225200000000001</v>
      </c>
      <c r="I18" s="46">
        <v>5.3849999986950001</v>
      </c>
      <c r="J18" s="45">
        <f t="shared" si="2"/>
        <v>21.53999999478</v>
      </c>
      <c r="K18" s="47">
        <f t="shared" si="3"/>
        <v>30.132199998695</v>
      </c>
      <c r="L18" s="41">
        <f t="shared" si="4"/>
        <v>19.083726665840167</v>
      </c>
      <c r="M18" s="42">
        <v>4</v>
      </c>
      <c r="N18" s="117">
        <f t="shared" si="5"/>
        <v>76.33490666336067</v>
      </c>
      <c r="O18" s="117"/>
      <c r="P18" s="48">
        <v>2</v>
      </c>
      <c r="Q18" s="117">
        <f t="shared" si="6"/>
        <v>152.66981332672134</v>
      </c>
      <c r="R18" s="117"/>
    </row>
    <row r="19" spans="2:18" x14ac:dyDescent="0.3">
      <c r="B19" s="101">
        <v>8</v>
      </c>
      <c r="C19" s="101">
        <v>8</v>
      </c>
      <c r="D19" s="42">
        <v>1.5</v>
      </c>
      <c r="E19" s="43">
        <v>2.4274</v>
      </c>
      <c r="F19" s="47">
        <f t="shared" si="0"/>
        <v>3.6410999999999998</v>
      </c>
      <c r="G19" s="46">
        <v>4.7549999999999999</v>
      </c>
      <c r="H19" s="45">
        <f t="shared" si="1"/>
        <v>7.1325000000000003</v>
      </c>
      <c r="I19" s="46">
        <v>5.1048</v>
      </c>
      <c r="J19" s="45">
        <f t="shared" si="2"/>
        <v>7.6571999999999996</v>
      </c>
      <c r="K19" s="47">
        <f t="shared" si="3"/>
        <v>26.552199999999999</v>
      </c>
      <c r="L19" s="41">
        <f t="shared" si="4"/>
        <v>16.81639333333333</v>
      </c>
      <c r="M19" s="42">
        <v>1.5</v>
      </c>
      <c r="N19" s="117">
        <f t="shared" si="5"/>
        <v>25.224589999999996</v>
      </c>
      <c r="O19" s="117"/>
      <c r="P19" s="48">
        <v>3</v>
      </c>
      <c r="Q19" s="117">
        <f t="shared" si="6"/>
        <v>75.67376999999999</v>
      </c>
      <c r="R19" s="117"/>
    </row>
    <row r="20" spans="2:18" x14ac:dyDescent="0.3">
      <c r="B20" s="101">
        <v>8.5</v>
      </c>
      <c r="C20" s="101">
        <v>8.5</v>
      </c>
      <c r="D20" s="42">
        <v>2</v>
      </c>
      <c r="E20" s="55">
        <v>1.0129999999999999</v>
      </c>
      <c r="F20" s="47">
        <f t="shared" si="0"/>
        <v>2.0259999999999998</v>
      </c>
      <c r="G20" s="46">
        <v>4.0526999999999997</v>
      </c>
      <c r="H20" s="45">
        <f t="shared" si="1"/>
        <v>8.1053999999999995</v>
      </c>
      <c r="I20" s="46">
        <v>4.6696999999999997</v>
      </c>
      <c r="J20" s="45">
        <f t="shared" si="2"/>
        <v>9.3393999999999995</v>
      </c>
      <c r="K20" s="47">
        <f t="shared" si="3"/>
        <v>21.893499999999996</v>
      </c>
      <c r="L20" s="41">
        <f t="shared" si="4"/>
        <v>13.865883333333331</v>
      </c>
      <c r="M20" s="42">
        <v>2</v>
      </c>
      <c r="N20" s="117">
        <f t="shared" si="5"/>
        <v>27.731766666666662</v>
      </c>
      <c r="O20" s="117"/>
      <c r="P20" s="48">
        <v>3.5</v>
      </c>
      <c r="Q20" s="117">
        <f t="shared" si="6"/>
        <v>97.061183333333318</v>
      </c>
      <c r="R20" s="117"/>
    </row>
    <row r="21" spans="2:18" x14ac:dyDescent="0.3">
      <c r="B21" s="101">
        <v>9</v>
      </c>
      <c r="C21" s="101">
        <v>9</v>
      </c>
      <c r="D21" s="42">
        <v>1</v>
      </c>
      <c r="E21" s="43">
        <v>0</v>
      </c>
      <c r="F21" s="47">
        <f t="shared" si="0"/>
        <v>0</v>
      </c>
      <c r="G21" s="46">
        <v>3.0417999999999998</v>
      </c>
      <c r="H21" s="45">
        <f t="shared" si="1"/>
        <v>3.0417999999999998</v>
      </c>
      <c r="I21" s="46">
        <v>3.7605</v>
      </c>
      <c r="J21" s="45">
        <f t="shared" si="2"/>
        <v>3.7605</v>
      </c>
      <c r="K21" s="47">
        <f t="shared" si="3"/>
        <v>15.9277</v>
      </c>
      <c r="L21" s="41">
        <f t="shared" si="4"/>
        <v>10.087543333333333</v>
      </c>
      <c r="M21" s="42">
        <v>1</v>
      </c>
      <c r="N21" s="117">
        <f t="shared" si="5"/>
        <v>10.087543333333333</v>
      </c>
      <c r="O21" s="117"/>
      <c r="P21" s="48">
        <v>4</v>
      </c>
      <c r="Q21" s="117">
        <f t="shared" si="6"/>
        <v>40.350173333333331</v>
      </c>
      <c r="R21" s="117"/>
    </row>
    <row r="22" spans="2:18" x14ac:dyDescent="0.3">
      <c r="B22" s="101">
        <v>9.5</v>
      </c>
      <c r="C22" s="101">
        <v>9.5</v>
      </c>
      <c r="D22" s="42">
        <v>2</v>
      </c>
      <c r="E22" s="43">
        <v>0</v>
      </c>
      <c r="F22" s="47">
        <f t="shared" si="0"/>
        <v>0</v>
      </c>
      <c r="G22" s="46">
        <v>1.4650000000000001</v>
      </c>
      <c r="H22" s="45">
        <f t="shared" si="1"/>
        <v>2.93</v>
      </c>
      <c r="I22" s="46">
        <v>2.161</v>
      </c>
      <c r="J22" s="45">
        <f t="shared" si="2"/>
        <v>4.3220000000000001</v>
      </c>
      <c r="K22" s="47">
        <f t="shared" si="3"/>
        <v>8.0210000000000008</v>
      </c>
      <c r="L22" s="41">
        <f t="shared" si="4"/>
        <v>5.0799666666666665</v>
      </c>
      <c r="M22" s="42">
        <v>2</v>
      </c>
      <c r="N22" s="117">
        <f t="shared" si="5"/>
        <v>10.159933333333333</v>
      </c>
      <c r="O22" s="117"/>
      <c r="P22" s="48">
        <v>4.5</v>
      </c>
      <c r="Q22" s="117">
        <f t="shared" si="6"/>
        <v>45.719699999999996</v>
      </c>
      <c r="R22" s="117"/>
    </row>
    <row r="23" spans="2:18" x14ac:dyDescent="0.3">
      <c r="B23" s="101">
        <v>10</v>
      </c>
      <c r="C23" s="101">
        <v>10</v>
      </c>
      <c r="D23" s="42">
        <v>0.5</v>
      </c>
      <c r="E23" s="43">
        <v>0</v>
      </c>
      <c r="F23" s="47">
        <f t="shared" si="0"/>
        <v>0</v>
      </c>
      <c r="G23" s="49">
        <v>0</v>
      </c>
      <c r="H23" s="45">
        <f t="shared" si="1"/>
        <v>0</v>
      </c>
      <c r="I23" s="49">
        <v>0</v>
      </c>
      <c r="J23" s="45">
        <f t="shared" si="2"/>
        <v>0</v>
      </c>
      <c r="K23" s="47">
        <f t="shared" si="3"/>
        <v>0</v>
      </c>
      <c r="L23" s="41">
        <f t="shared" si="4"/>
        <v>0</v>
      </c>
      <c r="M23" s="42">
        <v>0.5</v>
      </c>
      <c r="N23" s="117">
        <f t="shared" si="5"/>
        <v>0</v>
      </c>
      <c r="O23" s="117"/>
      <c r="P23" s="48">
        <v>5</v>
      </c>
      <c r="Q23" s="117">
        <f t="shared" si="6"/>
        <v>0</v>
      </c>
      <c r="R23" s="117"/>
    </row>
    <row r="24" spans="2:18" x14ac:dyDescent="0.3">
      <c r="B24" s="103" t="s">
        <v>16</v>
      </c>
      <c r="C24" s="103"/>
      <c r="D24" s="103"/>
      <c r="E24" s="107">
        <f>SUM(F9:F23)</f>
        <v>65.590599999999995</v>
      </c>
      <c r="F24" s="107"/>
      <c r="G24" s="107">
        <f>SUM(H9:H23)</f>
        <v>125.15055000000001</v>
      </c>
      <c r="H24" s="107"/>
      <c r="I24" s="107">
        <f>SUM(J9:J23)</f>
        <v>136.42554997912004</v>
      </c>
      <c r="J24" s="107"/>
      <c r="K24" s="47"/>
      <c r="L24" s="50">
        <f>SUM(L9:L23)</f>
        <v>183.97155332920087</v>
      </c>
      <c r="M24" s="47"/>
      <c r="N24" s="107">
        <f>SUM(N9:O23)</f>
        <v>444.99162165344268</v>
      </c>
      <c r="O24" s="107"/>
      <c r="P24" s="47"/>
      <c r="Q24" s="107">
        <f>SUM(Q9:R23)</f>
        <v>32.685604999999988</v>
      </c>
      <c r="R24" s="107"/>
    </row>
    <row r="25" spans="2:18" x14ac:dyDescent="0.3">
      <c r="B25" s="103" t="s">
        <v>17</v>
      </c>
      <c r="C25" s="103"/>
      <c r="D25" s="103"/>
      <c r="E25" s="108">
        <f>(1/3)*R33*E24*2</f>
        <v>282.25821533333328</v>
      </c>
      <c r="F25" s="108"/>
      <c r="G25" s="108">
        <f>(1/3)*R33*G24*2</f>
        <v>538.56453349999992</v>
      </c>
      <c r="H25" s="108"/>
      <c r="I25" s="108">
        <f>(1/3)*R33*I24*2</f>
        <v>587.08461674347984</v>
      </c>
      <c r="J25" s="108"/>
      <c r="K25" s="19"/>
      <c r="L25" s="19"/>
      <c r="M25" s="19"/>
      <c r="N25" s="15"/>
      <c r="O25" s="15"/>
      <c r="P25" s="15"/>
      <c r="Q25" s="15"/>
      <c r="R25" s="15"/>
    </row>
    <row r="26" spans="2:18" x14ac:dyDescent="0.3">
      <c r="B26" s="103" t="s">
        <v>18</v>
      </c>
      <c r="C26" s="103"/>
      <c r="D26" s="103"/>
      <c r="E26" s="108">
        <f>E25*E7</f>
        <v>282.25821533333328</v>
      </c>
      <c r="F26" s="108"/>
      <c r="G26" s="108">
        <f>G25*G7</f>
        <v>2154.2581339999997</v>
      </c>
      <c r="H26" s="108"/>
      <c r="I26" s="108">
        <f>I25*I7</f>
        <v>587.08461674347984</v>
      </c>
      <c r="J26" s="108"/>
      <c r="K26" s="19"/>
      <c r="L26" s="19"/>
      <c r="M26" s="103" t="s">
        <v>19</v>
      </c>
      <c r="N26" s="103"/>
      <c r="O26" s="38">
        <f>(1/3)*R33*N24</f>
        <v>957.4736392576574</v>
      </c>
      <c r="P26" s="15"/>
      <c r="Q26" s="15"/>
      <c r="R26" s="15"/>
    </row>
    <row r="27" spans="2:18" x14ac:dyDescent="0.3">
      <c r="B27" s="103" t="s">
        <v>12</v>
      </c>
      <c r="C27" s="103"/>
      <c r="D27" s="103"/>
      <c r="E27" s="108">
        <v>0</v>
      </c>
      <c r="F27" s="108"/>
      <c r="G27" s="108">
        <v>1</v>
      </c>
      <c r="H27" s="108"/>
      <c r="I27" s="108">
        <v>2</v>
      </c>
      <c r="J27" s="108"/>
      <c r="K27" s="19"/>
      <c r="L27" s="19"/>
      <c r="M27" s="103" t="s">
        <v>20</v>
      </c>
      <c r="N27" s="103"/>
      <c r="O27" s="38">
        <f>1*O26</f>
        <v>957.4736392576574</v>
      </c>
      <c r="P27" s="15"/>
      <c r="Q27" s="15"/>
      <c r="R27" s="15"/>
    </row>
    <row r="28" spans="2:18" x14ac:dyDescent="0.3">
      <c r="B28" s="103" t="s">
        <v>13</v>
      </c>
      <c r="C28" s="103"/>
      <c r="D28" s="103"/>
      <c r="E28" s="108">
        <f>E27*E26</f>
        <v>0</v>
      </c>
      <c r="F28" s="108"/>
      <c r="G28" s="108">
        <f>G27*G26</f>
        <v>2154.2581339999997</v>
      </c>
      <c r="H28" s="108"/>
      <c r="I28" s="108">
        <f>I27*I26</f>
        <v>1174.1692334869597</v>
      </c>
      <c r="J28" s="108"/>
      <c r="K28" s="19"/>
      <c r="L28" s="19"/>
      <c r="M28" s="103" t="s">
        <v>21</v>
      </c>
      <c r="N28" s="103"/>
      <c r="O28" s="38">
        <f>(R33*Q24)/N24</f>
        <v>0.47413382636519497</v>
      </c>
      <c r="P28" s="15"/>
      <c r="Q28" s="15"/>
      <c r="R28" s="15"/>
    </row>
    <row r="29" spans="2:18" ht="15.6" x14ac:dyDescent="0.35">
      <c r="B29" s="103" t="s">
        <v>22</v>
      </c>
      <c r="C29" s="103"/>
      <c r="D29" s="103"/>
      <c r="E29" s="28">
        <f>E26+G26+I26</f>
        <v>3023.6009660768127</v>
      </c>
      <c r="F29" s="20"/>
      <c r="G29" s="19"/>
      <c r="H29" s="19"/>
      <c r="I29" s="19"/>
      <c r="J29" s="19"/>
      <c r="K29" s="17"/>
      <c r="L29" s="17"/>
      <c r="M29" s="103" t="s">
        <v>23</v>
      </c>
      <c r="N29" s="103"/>
      <c r="O29" s="39">
        <f>O26/(64.55*10.77*(2*R34))</f>
        <v>0.72487191785734029</v>
      </c>
      <c r="P29" s="15"/>
      <c r="Q29" s="19"/>
      <c r="R29" s="19"/>
    </row>
    <row r="30" spans="2:18" ht="15.6" x14ac:dyDescent="0.35">
      <c r="B30" s="103" t="s">
        <v>19</v>
      </c>
      <c r="C30" s="103"/>
      <c r="D30" s="103"/>
      <c r="E30" s="28">
        <f>(E29*R34)/3</f>
        <v>957.47363925765728</v>
      </c>
      <c r="F30" s="20"/>
      <c r="G30" s="16"/>
      <c r="H30" s="16"/>
      <c r="I30" s="16"/>
      <c r="J30" s="19"/>
      <c r="K30" s="19"/>
      <c r="L30" s="17"/>
      <c r="M30" s="103" t="s">
        <v>24</v>
      </c>
      <c r="N30" s="103"/>
      <c r="O30" s="39">
        <f>I25/(64.55*10.77)</f>
        <v>0.84447879900414757</v>
      </c>
      <c r="P30" s="19"/>
      <c r="Q30" s="19"/>
      <c r="R30" s="19"/>
    </row>
    <row r="31" spans="2:18" ht="15.6" x14ac:dyDescent="0.35">
      <c r="B31" s="103" t="s">
        <v>20</v>
      </c>
      <c r="C31" s="103"/>
      <c r="D31" s="103"/>
      <c r="E31" s="28">
        <f>1*E30</f>
        <v>957.47363925765728</v>
      </c>
      <c r="F31" s="20"/>
      <c r="G31" s="19"/>
      <c r="H31" s="19"/>
      <c r="I31" s="19"/>
      <c r="J31" s="19"/>
      <c r="K31" s="19"/>
      <c r="L31" s="19"/>
      <c r="M31" s="103" t="s">
        <v>25</v>
      </c>
      <c r="N31" s="103"/>
      <c r="O31" s="39">
        <f>L16/(10.77*(2*R34))</f>
        <v>0.93259671924156629</v>
      </c>
      <c r="P31" s="19"/>
      <c r="Q31" s="19"/>
      <c r="R31" s="19"/>
    </row>
    <row r="32" spans="2:18" ht="15.6" x14ac:dyDescent="0.35">
      <c r="B32" s="103" t="s">
        <v>26</v>
      </c>
      <c r="C32" s="103"/>
      <c r="D32" s="103"/>
      <c r="E32" s="29">
        <f>E28+G28+I28</f>
        <v>3328.4273674869592</v>
      </c>
      <c r="F32" s="20"/>
      <c r="G32" s="19"/>
      <c r="H32" s="19"/>
      <c r="I32" s="19"/>
      <c r="J32" s="19"/>
      <c r="K32" s="19"/>
      <c r="L32" s="19"/>
      <c r="M32" s="103" t="s">
        <v>27</v>
      </c>
      <c r="N32" s="103"/>
      <c r="O32" s="39">
        <f>O29/O31</f>
        <v>0.77726192136601335</v>
      </c>
      <c r="P32" s="22"/>
      <c r="Q32" s="15"/>
      <c r="R32" s="19"/>
    </row>
    <row r="33" spans="2:18" x14ac:dyDescent="0.3">
      <c r="B33" s="103" t="s">
        <v>28</v>
      </c>
      <c r="C33" s="103"/>
      <c r="D33" s="103"/>
      <c r="E33" s="28">
        <f>(E32*R34)/E29</f>
        <v>1.0457749003881891</v>
      </c>
      <c r="F33" s="20"/>
      <c r="G33" s="15"/>
      <c r="H33" s="15"/>
      <c r="I33" s="15"/>
      <c r="J33" s="15"/>
      <c r="K33" s="15"/>
      <c r="L33" s="15"/>
      <c r="M33" s="15"/>
      <c r="N33" s="15"/>
      <c r="O33" s="15"/>
      <c r="P33" s="109" t="s">
        <v>29</v>
      </c>
      <c r="Q33" s="109"/>
      <c r="R33" s="22">
        <v>6.4550000000000001</v>
      </c>
    </row>
    <row r="34" spans="2:18" x14ac:dyDescent="0.3"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09" t="s">
        <v>30</v>
      </c>
      <c r="Q34" s="109"/>
      <c r="R34" s="22">
        <v>0.95</v>
      </c>
    </row>
  </sheetData>
  <mergeCells count="96">
    <mergeCell ref="B33:D33"/>
    <mergeCell ref="P33:Q33"/>
    <mergeCell ref="P34:Q34"/>
    <mergeCell ref="B30:D30"/>
    <mergeCell ref="M30:N30"/>
    <mergeCell ref="B31:D31"/>
    <mergeCell ref="M31:N31"/>
    <mergeCell ref="B32:D32"/>
    <mergeCell ref="M32:N32"/>
    <mergeCell ref="B29:D29"/>
    <mergeCell ref="M29:N29"/>
    <mergeCell ref="M26:N26"/>
    <mergeCell ref="B27:D27"/>
    <mergeCell ref="E27:F27"/>
    <mergeCell ref="G27:H27"/>
    <mergeCell ref="I27:J27"/>
    <mergeCell ref="M27:N27"/>
    <mergeCell ref="B28:D28"/>
    <mergeCell ref="E28:F28"/>
    <mergeCell ref="G28:H28"/>
    <mergeCell ref="I28:J28"/>
    <mergeCell ref="M28:N28"/>
    <mergeCell ref="B25:D25"/>
    <mergeCell ref="E25:F25"/>
    <mergeCell ref="G25:H25"/>
    <mergeCell ref="I25:J25"/>
    <mergeCell ref="B26:D26"/>
    <mergeCell ref="E26:F26"/>
    <mergeCell ref="G26:H26"/>
    <mergeCell ref="I26:J26"/>
    <mergeCell ref="B24:D24"/>
    <mergeCell ref="E24:F24"/>
    <mergeCell ref="G24:H24"/>
    <mergeCell ref="I24:J24"/>
    <mergeCell ref="N24:O24"/>
    <mergeCell ref="N19:O19"/>
    <mergeCell ref="Q19:R19"/>
    <mergeCell ref="N20:O20"/>
    <mergeCell ref="Q20:R20"/>
    <mergeCell ref="Q24:R24"/>
    <mergeCell ref="N21:O21"/>
    <mergeCell ref="Q21:R21"/>
    <mergeCell ref="N22:O22"/>
    <mergeCell ref="Q22:R22"/>
    <mergeCell ref="N23:O23"/>
    <mergeCell ref="Q23:R23"/>
    <mergeCell ref="N16:O16"/>
    <mergeCell ref="Q16:R16"/>
    <mergeCell ref="N17:O17"/>
    <mergeCell ref="Q17:R17"/>
    <mergeCell ref="N18:O18"/>
    <mergeCell ref="Q18:R18"/>
    <mergeCell ref="N13:O13"/>
    <mergeCell ref="Q13:R13"/>
    <mergeCell ref="N14:O14"/>
    <mergeCell ref="Q14:R14"/>
    <mergeCell ref="N15:O15"/>
    <mergeCell ref="Q15:R15"/>
    <mergeCell ref="N10:O10"/>
    <mergeCell ref="Q10:R10"/>
    <mergeCell ref="N11:O11"/>
    <mergeCell ref="Q11:R11"/>
    <mergeCell ref="N12:O12"/>
    <mergeCell ref="Q12:R12"/>
    <mergeCell ref="N4:O8"/>
    <mergeCell ref="P4:P8"/>
    <mergeCell ref="Q4:R8"/>
    <mergeCell ref="N9:O9"/>
    <mergeCell ref="Q9:R9"/>
    <mergeCell ref="I4:J6"/>
    <mergeCell ref="K4:K8"/>
    <mergeCell ref="B4:C8"/>
    <mergeCell ref="L4:L8"/>
    <mergeCell ref="M4:M8"/>
    <mergeCell ref="B23:C23"/>
    <mergeCell ref="B14:C14"/>
    <mergeCell ref="B15:C15"/>
    <mergeCell ref="B16:C16"/>
    <mergeCell ref="B17:C17"/>
    <mergeCell ref="B18:C18"/>
    <mergeCell ref="B2:R3"/>
    <mergeCell ref="B19:C19"/>
    <mergeCell ref="B20:C20"/>
    <mergeCell ref="B21:C21"/>
    <mergeCell ref="B22:C22"/>
    <mergeCell ref="B9:C9"/>
    <mergeCell ref="B10:C10"/>
    <mergeCell ref="B11:C11"/>
    <mergeCell ref="B12:C12"/>
    <mergeCell ref="B13:C13"/>
    <mergeCell ref="E7:F7"/>
    <mergeCell ref="G7:H7"/>
    <mergeCell ref="I7:J7"/>
    <mergeCell ref="D4:D8"/>
    <mergeCell ref="E4:F6"/>
    <mergeCell ref="G4:H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88AA0-536A-4DA4-A587-A1EF1897FE62}">
  <dimension ref="C2:M27"/>
  <sheetViews>
    <sheetView zoomScale="85" zoomScaleNormal="85" workbookViewId="0">
      <selection activeCell="J16" sqref="J16"/>
    </sheetView>
  </sheetViews>
  <sheetFormatPr defaultRowHeight="14.4" x14ac:dyDescent="0.3"/>
  <cols>
    <col min="6" max="6" width="12.44140625" customWidth="1"/>
    <col min="10" max="10" width="16.6640625" customWidth="1"/>
    <col min="11" max="11" width="11.88671875" customWidth="1"/>
  </cols>
  <sheetData>
    <row r="2" spans="3:13" ht="23.4" customHeight="1" x14ac:dyDescent="0.3">
      <c r="C2" s="100" t="s">
        <v>55</v>
      </c>
      <c r="D2" s="100"/>
      <c r="E2" s="100"/>
      <c r="F2" s="100"/>
      <c r="G2" s="100"/>
      <c r="H2" s="100"/>
      <c r="I2" s="100"/>
      <c r="J2" s="100"/>
      <c r="K2" s="100"/>
      <c r="L2" s="100"/>
      <c r="M2" s="100"/>
    </row>
    <row r="3" spans="3:13" x14ac:dyDescent="0.3"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</row>
    <row r="4" spans="3:13" x14ac:dyDescent="0.3">
      <c r="C4" s="112" t="s">
        <v>2</v>
      </c>
      <c r="D4" s="112"/>
      <c r="E4" s="112" t="s">
        <v>3</v>
      </c>
      <c r="F4" s="112" t="s">
        <v>56</v>
      </c>
      <c r="G4" s="113" t="s">
        <v>33</v>
      </c>
      <c r="H4" s="113"/>
      <c r="I4" s="113" t="s">
        <v>34</v>
      </c>
      <c r="J4" s="113"/>
      <c r="K4" s="113"/>
      <c r="L4" s="113"/>
      <c r="M4" s="113"/>
    </row>
    <row r="5" spans="3:13" x14ac:dyDescent="0.3">
      <c r="C5" s="112"/>
      <c r="D5" s="112"/>
      <c r="E5" s="112"/>
      <c r="F5" s="112"/>
      <c r="G5" s="70" t="s">
        <v>35</v>
      </c>
      <c r="H5" s="70" t="s">
        <v>36</v>
      </c>
      <c r="I5" s="70" t="s">
        <v>37</v>
      </c>
      <c r="J5" s="70" t="s">
        <v>12</v>
      </c>
      <c r="K5" s="70" t="s">
        <v>38</v>
      </c>
      <c r="L5" s="70" t="s">
        <v>12</v>
      </c>
      <c r="M5" s="70" t="s">
        <v>39</v>
      </c>
    </row>
    <row r="6" spans="3:13" x14ac:dyDescent="0.3">
      <c r="C6" s="111">
        <v>0</v>
      </c>
      <c r="D6" s="111"/>
      <c r="E6" s="42">
        <v>0.5</v>
      </c>
      <c r="F6" s="44">
        <v>0</v>
      </c>
      <c r="G6" s="45">
        <f>F6*F6*F6</f>
        <v>0</v>
      </c>
      <c r="H6" s="45">
        <f>E6*G6</f>
        <v>0</v>
      </c>
      <c r="I6" s="45">
        <f>E6*F6</f>
        <v>0</v>
      </c>
      <c r="J6" s="48">
        <v>-5</v>
      </c>
      <c r="K6" s="45">
        <f>I6*J6</f>
        <v>0</v>
      </c>
      <c r="L6" s="48">
        <v>-5</v>
      </c>
      <c r="M6" s="45">
        <f>K6*L6</f>
        <v>0</v>
      </c>
    </row>
    <row r="7" spans="3:13" x14ac:dyDescent="0.3">
      <c r="C7" s="111">
        <v>0.5</v>
      </c>
      <c r="D7" s="111"/>
      <c r="E7" s="42">
        <v>2</v>
      </c>
      <c r="F7" s="46">
        <v>1.3892</v>
      </c>
      <c r="G7" s="45">
        <f t="shared" ref="G7:G20" si="0">F7*F7*F7</f>
        <v>2.6809846282879999</v>
      </c>
      <c r="H7" s="45">
        <f t="shared" ref="H7:H20" si="1">E7*G7</f>
        <v>5.3619692565759998</v>
      </c>
      <c r="I7" s="45">
        <f t="shared" ref="I7:I20" si="2">E7*F7</f>
        <v>2.7784</v>
      </c>
      <c r="J7" s="48">
        <v>-4.5</v>
      </c>
      <c r="K7" s="45">
        <f t="shared" ref="K7:K20" si="3">I7*J7</f>
        <v>-12.502800000000001</v>
      </c>
      <c r="L7" s="48">
        <v>-4.5</v>
      </c>
      <c r="M7" s="45">
        <f t="shared" ref="M7:M20" si="4">K7*L7</f>
        <v>56.262600000000006</v>
      </c>
    </row>
    <row r="8" spans="3:13" x14ac:dyDescent="0.3">
      <c r="C8" s="111">
        <v>1</v>
      </c>
      <c r="D8" s="111"/>
      <c r="E8" s="42">
        <v>1</v>
      </c>
      <c r="F8" s="46">
        <v>4.2988</v>
      </c>
      <c r="G8" s="45">
        <f t="shared" si="0"/>
        <v>79.440454574271996</v>
      </c>
      <c r="H8" s="45">
        <f t="shared" si="1"/>
        <v>79.440454574271996</v>
      </c>
      <c r="I8" s="45">
        <f t="shared" si="2"/>
        <v>4.2988</v>
      </c>
      <c r="J8" s="48">
        <v>-4</v>
      </c>
      <c r="K8" s="45">
        <f t="shared" si="3"/>
        <v>-17.1952</v>
      </c>
      <c r="L8" s="48">
        <v>-4</v>
      </c>
      <c r="M8" s="45">
        <f t="shared" si="4"/>
        <v>68.780799999999999</v>
      </c>
    </row>
    <row r="9" spans="3:13" x14ac:dyDescent="0.3">
      <c r="C9" s="111">
        <v>1.5</v>
      </c>
      <c r="D9" s="111"/>
      <c r="E9" s="42">
        <v>2</v>
      </c>
      <c r="F9" s="46">
        <v>5.0622999999999996</v>
      </c>
      <c r="G9" s="45">
        <f t="shared" si="0"/>
        <v>129.73096115436698</v>
      </c>
      <c r="H9" s="45">
        <f t="shared" si="1"/>
        <v>259.46192230873396</v>
      </c>
      <c r="I9" s="45">
        <f t="shared" si="2"/>
        <v>10.124599999999999</v>
      </c>
      <c r="J9" s="48">
        <v>-3.5</v>
      </c>
      <c r="K9" s="45">
        <f t="shared" si="3"/>
        <v>-35.436099999999996</v>
      </c>
      <c r="L9" s="48">
        <v>-3.5</v>
      </c>
      <c r="M9" s="45">
        <f t="shared" si="4"/>
        <v>124.02634999999998</v>
      </c>
    </row>
    <row r="10" spans="3:13" x14ac:dyDescent="0.3">
      <c r="C10" s="111">
        <v>2</v>
      </c>
      <c r="D10" s="111"/>
      <c r="E10" s="42">
        <v>1.5</v>
      </c>
      <c r="F10" s="46">
        <v>5.3231000000000002</v>
      </c>
      <c r="G10" s="45">
        <f t="shared" si="0"/>
        <v>150.832133725391</v>
      </c>
      <c r="H10" s="45">
        <f t="shared" si="1"/>
        <v>226.24820058808649</v>
      </c>
      <c r="I10" s="45">
        <f t="shared" si="2"/>
        <v>7.9846500000000002</v>
      </c>
      <c r="J10" s="48">
        <v>-3</v>
      </c>
      <c r="K10" s="45">
        <f t="shared" si="3"/>
        <v>-23.953949999999999</v>
      </c>
      <c r="L10" s="48">
        <v>-3</v>
      </c>
      <c r="M10" s="45">
        <f t="shared" si="4"/>
        <v>71.861850000000004</v>
      </c>
    </row>
    <row r="11" spans="3:13" x14ac:dyDescent="0.3">
      <c r="C11" s="111">
        <v>3</v>
      </c>
      <c r="D11" s="111"/>
      <c r="E11" s="42">
        <v>4</v>
      </c>
      <c r="F11" s="46">
        <v>5.3849999986950001</v>
      </c>
      <c r="G11" s="45">
        <f t="shared" si="0"/>
        <v>156.15544151147196</v>
      </c>
      <c r="H11" s="45">
        <f t="shared" si="1"/>
        <v>624.62176604588785</v>
      </c>
      <c r="I11" s="45">
        <f t="shared" si="2"/>
        <v>21.53999999478</v>
      </c>
      <c r="J11" s="48">
        <v>-2</v>
      </c>
      <c r="K11" s="45">
        <f t="shared" si="3"/>
        <v>-43.079999989560001</v>
      </c>
      <c r="L11" s="48">
        <v>-2</v>
      </c>
      <c r="M11" s="45">
        <f t="shared" si="4"/>
        <v>86.159999979120002</v>
      </c>
    </row>
    <row r="12" spans="3:13" x14ac:dyDescent="0.3">
      <c r="C12" s="111">
        <v>4</v>
      </c>
      <c r="D12" s="111"/>
      <c r="E12" s="42">
        <v>2</v>
      </c>
      <c r="F12" s="46">
        <v>5.3849999986950001</v>
      </c>
      <c r="G12" s="45">
        <f t="shared" si="0"/>
        <v>156.15544151147196</v>
      </c>
      <c r="H12" s="45">
        <f t="shared" si="1"/>
        <v>312.31088302294393</v>
      </c>
      <c r="I12" s="45">
        <f t="shared" si="2"/>
        <v>10.76999999739</v>
      </c>
      <c r="J12" s="48">
        <v>-1</v>
      </c>
      <c r="K12" s="45">
        <f t="shared" si="3"/>
        <v>-10.76999999739</v>
      </c>
      <c r="L12" s="48">
        <v>-1</v>
      </c>
      <c r="M12" s="45">
        <f t="shared" si="4"/>
        <v>10.76999999739</v>
      </c>
    </row>
    <row r="13" spans="3:13" x14ac:dyDescent="0.3">
      <c r="C13" s="111">
        <v>5</v>
      </c>
      <c r="D13" s="111"/>
      <c r="E13" s="42">
        <v>4</v>
      </c>
      <c r="F13" s="46">
        <v>5.3849999986950001</v>
      </c>
      <c r="G13" s="45">
        <f t="shared" si="0"/>
        <v>156.15544151147196</v>
      </c>
      <c r="H13" s="45">
        <f t="shared" si="1"/>
        <v>624.62176604588785</v>
      </c>
      <c r="I13" s="45">
        <f t="shared" si="2"/>
        <v>21.53999999478</v>
      </c>
      <c r="J13" s="48">
        <v>0</v>
      </c>
      <c r="K13" s="45">
        <f t="shared" si="3"/>
        <v>0</v>
      </c>
      <c r="L13" s="48">
        <v>0</v>
      </c>
      <c r="M13" s="45">
        <f t="shared" si="4"/>
        <v>0</v>
      </c>
    </row>
    <row r="14" spans="3:13" x14ac:dyDescent="0.3">
      <c r="C14" s="111">
        <v>6</v>
      </c>
      <c r="D14" s="111"/>
      <c r="E14" s="42">
        <v>2</v>
      </c>
      <c r="F14" s="46">
        <v>5.3849999986950001</v>
      </c>
      <c r="G14" s="45">
        <f t="shared" si="0"/>
        <v>156.15544151147196</v>
      </c>
      <c r="H14" s="45">
        <f t="shared" si="1"/>
        <v>312.31088302294393</v>
      </c>
      <c r="I14" s="45">
        <f>E14*F14</f>
        <v>10.76999999739</v>
      </c>
      <c r="J14" s="48">
        <v>1</v>
      </c>
      <c r="K14" s="45">
        <f t="shared" si="3"/>
        <v>10.76999999739</v>
      </c>
      <c r="L14" s="48">
        <v>1</v>
      </c>
      <c r="M14" s="45">
        <f t="shared" si="4"/>
        <v>10.76999999739</v>
      </c>
    </row>
    <row r="15" spans="3:13" x14ac:dyDescent="0.3">
      <c r="C15" s="111">
        <v>7</v>
      </c>
      <c r="D15" s="111"/>
      <c r="E15" s="42">
        <v>4</v>
      </c>
      <c r="F15" s="46">
        <v>5.3849999986950001</v>
      </c>
      <c r="G15" s="45">
        <f t="shared" si="0"/>
        <v>156.15544151147196</v>
      </c>
      <c r="H15" s="45">
        <f t="shared" si="1"/>
        <v>624.62176604588785</v>
      </c>
      <c r="I15" s="45">
        <f t="shared" si="2"/>
        <v>21.53999999478</v>
      </c>
      <c r="J15" s="48">
        <v>2</v>
      </c>
      <c r="K15" s="45">
        <f t="shared" si="3"/>
        <v>43.079999989560001</v>
      </c>
      <c r="L15" s="48">
        <v>2</v>
      </c>
      <c r="M15" s="45">
        <f t="shared" si="4"/>
        <v>86.159999979120002</v>
      </c>
    </row>
    <row r="16" spans="3:13" x14ac:dyDescent="0.3">
      <c r="C16" s="111">
        <v>8</v>
      </c>
      <c r="D16" s="111"/>
      <c r="E16" s="42">
        <v>1.5</v>
      </c>
      <c r="F16" s="46">
        <v>5.1048</v>
      </c>
      <c r="G16" s="45">
        <f t="shared" si="0"/>
        <v>133.025896622592</v>
      </c>
      <c r="H16" s="45">
        <f t="shared" si="1"/>
        <v>199.53884493388802</v>
      </c>
      <c r="I16" s="45">
        <f t="shared" si="2"/>
        <v>7.6571999999999996</v>
      </c>
      <c r="J16" s="48">
        <v>3</v>
      </c>
      <c r="K16" s="45">
        <f t="shared" si="3"/>
        <v>22.971599999999999</v>
      </c>
      <c r="L16" s="48">
        <v>3</v>
      </c>
      <c r="M16" s="45">
        <f t="shared" si="4"/>
        <v>68.9148</v>
      </c>
    </row>
    <row r="17" spans="3:13" x14ac:dyDescent="0.3">
      <c r="C17" s="111">
        <v>8.5</v>
      </c>
      <c r="D17" s="111"/>
      <c r="E17" s="42">
        <v>2</v>
      </c>
      <c r="F17" s="46">
        <v>4.6696999999999997</v>
      </c>
      <c r="G17" s="45">
        <f t="shared" si="0"/>
        <v>101.82793625087299</v>
      </c>
      <c r="H17" s="45">
        <f t="shared" si="1"/>
        <v>203.65587250174599</v>
      </c>
      <c r="I17" s="45">
        <f t="shared" si="2"/>
        <v>9.3393999999999995</v>
      </c>
      <c r="J17" s="48">
        <v>3.5</v>
      </c>
      <c r="K17" s="45">
        <f t="shared" si="3"/>
        <v>32.687899999999999</v>
      </c>
      <c r="L17" s="48">
        <v>3.5</v>
      </c>
      <c r="M17" s="45">
        <f t="shared" si="4"/>
        <v>114.40764999999999</v>
      </c>
    </row>
    <row r="18" spans="3:13" x14ac:dyDescent="0.3">
      <c r="C18" s="111">
        <v>9</v>
      </c>
      <c r="D18" s="111"/>
      <c r="E18" s="42">
        <v>1</v>
      </c>
      <c r="F18" s="46">
        <v>3.7605</v>
      </c>
      <c r="G18" s="45">
        <f t="shared" si="0"/>
        <v>53.178585220125001</v>
      </c>
      <c r="H18" s="45">
        <f t="shared" si="1"/>
        <v>53.178585220125001</v>
      </c>
      <c r="I18" s="45">
        <f t="shared" si="2"/>
        <v>3.7605</v>
      </c>
      <c r="J18" s="48">
        <v>4</v>
      </c>
      <c r="K18" s="45">
        <f t="shared" si="3"/>
        <v>15.042</v>
      </c>
      <c r="L18" s="48">
        <v>4</v>
      </c>
      <c r="M18" s="45">
        <f t="shared" si="4"/>
        <v>60.167999999999999</v>
      </c>
    </row>
    <row r="19" spans="3:13" x14ac:dyDescent="0.3">
      <c r="C19" s="111">
        <v>9.5</v>
      </c>
      <c r="D19" s="111"/>
      <c r="E19" s="42">
        <v>2</v>
      </c>
      <c r="F19" s="46">
        <v>2.161</v>
      </c>
      <c r="G19" s="45">
        <f t="shared" si="0"/>
        <v>10.091699281</v>
      </c>
      <c r="H19" s="45">
        <f t="shared" si="1"/>
        <v>20.183398562000001</v>
      </c>
      <c r="I19" s="45">
        <f t="shared" si="2"/>
        <v>4.3220000000000001</v>
      </c>
      <c r="J19" s="48">
        <v>4.5</v>
      </c>
      <c r="K19" s="45">
        <f t="shared" si="3"/>
        <v>19.449000000000002</v>
      </c>
      <c r="L19" s="48">
        <v>4.5</v>
      </c>
      <c r="M19" s="45">
        <f t="shared" si="4"/>
        <v>87.520500000000013</v>
      </c>
    </row>
    <row r="20" spans="3:13" x14ac:dyDescent="0.3">
      <c r="C20" s="111">
        <v>10</v>
      </c>
      <c r="D20" s="111"/>
      <c r="E20" s="42">
        <v>0.5</v>
      </c>
      <c r="F20" s="49">
        <v>0</v>
      </c>
      <c r="G20" s="45">
        <f t="shared" si="0"/>
        <v>0</v>
      </c>
      <c r="H20" s="45">
        <f t="shared" si="1"/>
        <v>0</v>
      </c>
      <c r="I20" s="45">
        <f t="shared" si="2"/>
        <v>0</v>
      </c>
      <c r="J20" s="48">
        <v>5</v>
      </c>
      <c r="K20" s="45">
        <f t="shared" si="3"/>
        <v>0</v>
      </c>
      <c r="L20" s="48">
        <v>5</v>
      </c>
      <c r="M20" s="45">
        <f t="shared" si="4"/>
        <v>0</v>
      </c>
    </row>
    <row r="21" spans="3:13" x14ac:dyDescent="0.3">
      <c r="C21" s="115"/>
      <c r="D21" s="115"/>
      <c r="E21" s="115"/>
      <c r="F21" s="115"/>
      <c r="G21" s="115"/>
      <c r="H21" s="67">
        <f>SUM(H6:H20)</f>
        <v>3545.5563121289788</v>
      </c>
      <c r="I21" s="67">
        <f>SUM(I6:I20)</f>
        <v>136.42554997912004</v>
      </c>
      <c r="J21" s="67"/>
      <c r="K21" s="67">
        <f>SUM(K6:K20)</f>
        <v>1.0624500000000161</v>
      </c>
      <c r="L21" s="67"/>
      <c r="M21" s="67">
        <f>SUM(M6:M20)</f>
        <v>845.80254995302005</v>
      </c>
    </row>
    <row r="22" spans="3:13" x14ac:dyDescent="0.3">
      <c r="C22" s="37"/>
      <c r="D22" s="37"/>
      <c r="E22" s="37"/>
      <c r="F22" s="37"/>
      <c r="G22" s="37"/>
      <c r="H22" s="36"/>
      <c r="I22" s="36"/>
      <c r="J22" s="36"/>
      <c r="K22" s="36"/>
      <c r="L22" s="36"/>
      <c r="M22" s="36"/>
    </row>
    <row r="23" spans="3:13" x14ac:dyDescent="0.3">
      <c r="C23" s="114" t="s">
        <v>40</v>
      </c>
      <c r="D23" s="114"/>
      <c r="E23" s="114"/>
      <c r="F23" s="39">
        <f>(1/3)*(1/3)*2*6.455*(H21/'WL 2 Displacement'!O27)</f>
        <v>5.3117948587509085</v>
      </c>
      <c r="G23" s="26"/>
      <c r="H23" s="114" t="s">
        <v>41</v>
      </c>
      <c r="I23" s="114"/>
      <c r="J23" s="114"/>
      <c r="K23" s="39">
        <f>(1/3)*2*M21*(6.455)^3</f>
        <v>151658.40036065833</v>
      </c>
      <c r="L23" s="16" t="s">
        <v>42</v>
      </c>
      <c r="M23" s="16"/>
    </row>
    <row r="24" spans="3:13" x14ac:dyDescent="0.3">
      <c r="C24" s="114" t="s">
        <v>57</v>
      </c>
      <c r="D24" s="114"/>
      <c r="E24" s="114"/>
      <c r="F24" s="69">
        <f>(1/3)*6.455*2*I21</f>
        <v>587.08461674347984</v>
      </c>
      <c r="G24" s="26"/>
      <c r="H24" s="114" t="s">
        <v>44</v>
      </c>
      <c r="I24" s="114"/>
      <c r="J24" s="114"/>
      <c r="K24" s="39">
        <f>K23-(F24*(F25)^2)</f>
        <v>151656.91675401549</v>
      </c>
      <c r="L24" s="16" t="s">
        <v>42</v>
      </c>
      <c r="M24" s="16"/>
    </row>
    <row r="25" spans="3:13" x14ac:dyDescent="0.3">
      <c r="C25" s="114" t="s">
        <v>53</v>
      </c>
      <c r="D25" s="114"/>
      <c r="E25" s="114"/>
      <c r="F25" s="39">
        <f>(6.455*K21)/I21</f>
        <v>5.0270017244201985E-2</v>
      </c>
      <c r="G25" s="26"/>
      <c r="H25" s="114" t="s">
        <v>46</v>
      </c>
      <c r="I25" s="114"/>
      <c r="J25" s="114"/>
      <c r="K25" s="39">
        <f>K24/'WL 2 Displacement'!O27</f>
        <v>158.39278548869208</v>
      </c>
      <c r="L25" s="26"/>
      <c r="M25" s="16"/>
    </row>
    <row r="26" spans="3:13" x14ac:dyDescent="0.3">
      <c r="C26" s="114" t="s">
        <v>47</v>
      </c>
      <c r="D26" s="114"/>
      <c r="E26" s="114"/>
      <c r="F26" s="39">
        <f>F24/100</f>
        <v>5.8708461674347987</v>
      </c>
      <c r="G26" s="26"/>
      <c r="H26" s="114" t="s">
        <v>48</v>
      </c>
      <c r="I26" s="114"/>
      <c r="J26" s="114"/>
      <c r="K26" s="39">
        <f>('WL 2 Displacement'!O27*K25)/(100*65.74)</f>
        <v>23.069199384547538</v>
      </c>
      <c r="L26" s="26"/>
      <c r="M26" s="16"/>
    </row>
    <row r="27" spans="3:13" x14ac:dyDescent="0.3">
      <c r="C27" s="15"/>
      <c r="D27" s="15"/>
      <c r="E27" s="15"/>
      <c r="F27" s="15"/>
      <c r="G27" s="26"/>
      <c r="H27" s="92"/>
      <c r="I27" s="92"/>
      <c r="J27" s="92"/>
      <c r="K27" s="92"/>
      <c r="L27" s="26"/>
      <c r="M27" s="16"/>
    </row>
  </sheetData>
  <mergeCells count="30">
    <mergeCell ref="H26:J26"/>
    <mergeCell ref="C24:E24"/>
    <mergeCell ref="H24:J24"/>
    <mergeCell ref="C25:E25"/>
    <mergeCell ref="H25:J25"/>
    <mergeCell ref="C26:E26"/>
    <mergeCell ref="H23:J23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G21"/>
    <mergeCell ref="C23:E23"/>
    <mergeCell ref="C2:M3"/>
    <mergeCell ref="C11:D11"/>
    <mergeCell ref="C4:D5"/>
    <mergeCell ref="E4:E5"/>
    <mergeCell ref="F4:F5"/>
    <mergeCell ref="G4:H4"/>
    <mergeCell ref="I4:M4"/>
    <mergeCell ref="C6:D6"/>
    <mergeCell ref="C7:D7"/>
    <mergeCell ref="C8:D8"/>
    <mergeCell ref="C9:D9"/>
    <mergeCell ref="C10:D10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4F55F-22FE-4A07-ACC8-44DE03916BAC}">
  <dimension ref="B2:R34"/>
  <sheetViews>
    <sheetView topLeftCell="A7" zoomScale="85" zoomScaleNormal="85" workbookViewId="0">
      <selection activeCell="E20" sqref="E20"/>
    </sheetView>
  </sheetViews>
  <sheetFormatPr defaultRowHeight="14.4" x14ac:dyDescent="0.3"/>
  <sheetData>
    <row r="2" spans="2:18" ht="23.4" customHeight="1" x14ac:dyDescent="0.3">
      <c r="B2" s="100" t="s">
        <v>58</v>
      </c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</row>
    <row r="3" spans="2:18" x14ac:dyDescent="0.3"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</row>
    <row r="4" spans="2:18" x14ac:dyDescent="0.3">
      <c r="B4" s="102" t="s">
        <v>2</v>
      </c>
      <c r="C4" s="102"/>
      <c r="D4" s="102" t="s">
        <v>3</v>
      </c>
      <c r="E4" s="102" t="s">
        <v>4</v>
      </c>
      <c r="F4" s="102"/>
      <c r="G4" s="102" t="s">
        <v>5</v>
      </c>
      <c r="H4" s="102"/>
      <c r="I4" s="102" t="s">
        <v>6</v>
      </c>
      <c r="J4" s="102"/>
      <c r="K4" s="102" t="s">
        <v>9</v>
      </c>
      <c r="L4" s="102" t="s">
        <v>10</v>
      </c>
      <c r="M4" s="102" t="s">
        <v>3</v>
      </c>
      <c r="N4" s="102" t="s">
        <v>11</v>
      </c>
      <c r="O4" s="102"/>
      <c r="P4" s="102" t="s">
        <v>12</v>
      </c>
      <c r="Q4" s="102" t="s">
        <v>13</v>
      </c>
      <c r="R4" s="102"/>
    </row>
    <row r="5" spans="2:18" x14ac:dyDescent="0.3"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</row>
    <row r="6" spans="2:18" x14ac:dyDescent="0.3"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</row>
    <row r="7" spans="2:18" x14ac:dyDescent="0.3">
      <c r="B7" s="102"/>
      <c r="C7" s="102"/>
      <c r="D7" s="102"/>
      <c r="E7" s="102">
        <v>5</v>
      </c>
      <c r="F7" s="102"/>
      <c r="G7" s="102">
        <v>8</v>
      </c>
      <c r="H7" s="102"/>
      <c r="I7" s="102">
        <v>-1</v>
      </c>
      <c r="J7" s="102"/>
      <c r="K7" s="102"/>
      <c r="L7" s="102"/>
      <c r="M7" s="102"/>
      <c r="N7" s="102"/>
      <c r="O7" s="102"/>
      <c r="P7" s="102"/>
      <c r="Q7" s="102"/>
      <c r="R7" s="102"/>
    </row>
    <row r="8" spans="2:18" x14ac:dyDescent="0.3">
      <c r="B8" s="102"/>
      <c r="C8" s="102"/>
      <c r="D8" s="102"/>
      <c r="E8" s="40" t="s">
        <v>14</v>
      </c>
      <c r="F8" s="40" t="s">
        <v>15</v>
      </c>
      <c r="G8" s="40" t="s">
        <v>14</v>
      </c>
      <c r="H8" s="40" t="s">
        <v>15</v>
      </c>
      <c r="I8" s="40" t="s">
        <v>14</v>
      </c>
      <c r="J8" s="40" t="s">
        <v>15</v>
      </c>
      <c r="K8" s="102"/>
      <c r="L8" s="102"/>
      <c r="M8" s="102"/>
      <c r="N8" s="102"/>
      <c r="O8" s="102"/>
      <c r="P8" s="102"/>
      <c r="Q8" s="102"/>
      <c r="R8" s="102"/>
    </row>
    <row r="9" spans="2:18" x14ac:dyDescent="0.3">
      <c r="B9" s="101">
        <v>0</v>
      </c>
      <c r="C9" s="101">
        <v>0</v>
      </c>
      <c r="D9" s="42">
        <v>0.5</v>
      </c>
      <c r="E9" s="43">
        <v>0</v>
      </c>
      <c r="F9" s="41">
        <f>D9*E9</f>
        <v>0</v>
      </c>
      <c r="G9" s="44">
        <v>0</v>
      </c>
      <c r="H9" s="45">
        <f>D9*G9</f>
        <v>0</v>
      </c>
      <c r="I9" s="44">
        <v>0</v>
      </c>
      <c r="J9" s="45">
        <f>D9*I9</f>
        <v>0</v>
      </c>
      <c r="K9" s="41">
        <f>5*E9+8*G9-1*I9</f>
        <v>0</v>
      </c>
      <c r="L9" s="41">
        <f>(0.95/12)*K9*2</f>
        <v>0</v>
      </c>
      <c r="M9" s="42">
        <v>0.5</v>
      </c>
      <c r="N9" s="116">
        <f>L9*M9</f>
        <v>0</v>
      </c>
      <c r="O9" s="116"/>
      <c r="P9" s="48">
        <v>-5</v>
      </c>
      <c r="Q9" s="116">
        <f>P9*N9</f>
        <v>0</v>
      </c>
      <c r="R9" s="116"/>
    </row>
    <row r="10" spans="2:18" x14ac:dyDescent="0.3">
      <c r="B10" s="101">
        <v>0.5</v>
      </c>
      <c r="C10" s="101">
        <v>0.5</v>
      </c>
      <c r="D10" s="42">
        <v>2</v>
      </c>
      <c r="E10" s="43">
        <v>0</v>
      </c>
      <c r="F10" s="41">
        <f t="shared" ref="F10:F23" si="0">D10*E10</f>
        <v>0</v>
      </c>
      <c r="G10" s="44">
        <v>0</v>
      </c>
      <c r="H10" s="45">
        <f t="shared" ref="H10:H23" si="1">D10*G10</f>
        <v>0</v>
      </c>
      <c r="I10" s="46">
        <v>1.3892</v>
      </c>
      <c r="J10" s="45">
        <f t="shared" ref="J10:J23" si="2">D10*I10</f>
        <v>2.7784</v>
      </c>
      <c r="K10" s="41">
        <f t="shared" ref="K10:K23" si="3">5*E10+8*G10-1*I10</f>
        <v>-1.3892</v>
      </c>
      <c r="L10" s="41">
        <f t="shared" ref="L10:L23" si="4">(0.95/12)*K10*2</f>
        <v>-0.21995666666666666</v>
      </c>
      <c r="M10" s="42">
        <v>2</v>
      </c>
      <c r="N10" s="116">
        <f t="shared" ref="N10:N23" si="5">L10*M10</f>
        <v>-0.43991333333333332</v>
      </c>
      <c r="O10" s="116"/>
      <c r="P10" s="48">
        <v>-4.5</v>
      </c>
      <c r="Q10" s="116">
        <f t="shared" ref="Q10:Q23" si="6">P10*N10</f>
        <v>1.9796099999999999</v>
      </c>
      <c r="R10" s="116"/>
    </row>
    <row r="11" spans="2:18" x14ac:dyDescent="0.3">
      <c r="B11" s="101">
        <v>1</v>
      </c>
      <c r="C11" s="101">
        <v>1</v>
      </c>
      <c r="D11" s="42">
        <v>1</v>
      </c>
      <c r="E11" s="43">
        <v>0</v>
      </c>
      <c r="F11" s="41">
        <f t="shared" si="0"/>
        <v>0</v>
      </c>
      <c r="G11" s="46">
        <v>2.9177</v>
      </c>
      <c r="H11" s="45">
        <f t="shared" si="1"/>
        <v>2.9177</v>
      </c>
      <c r="I11" s="46">
        <v>4.2988</v>
      </c>
      <c r="J11" s="45">
        <f t="shared" si="2"/>
        <v>4.2988</v>
      </c>
      <c r="K11" s="41">
        <f t="shared" si="3"/>
        <v>19.0428</v>
      </c>
      <c r="L11" s="41">
        <f t="shared" si="4"/>
        <v>3.01511</v>
      </c>
      <c r="M11" s="42">
        <v>1</v>
      </c>
      <c r="N11" s="116">
        <f t="shared" si="5"/>
        <v>3.01511</v>
      </c>
      <c r="O11" s="116"/>
      <c r="P11" s="48">
        <v>-4</v>
      </c>
      <c r="Q11" s="116">
        <f t="shared" si="6"/>
        <v>-12.06044</v>
      </c>
      <c r="R11" s="116"/>
    </row>
    <row r="12" spans="2:18" x14ac:dyDescent="0.3">
      <c r="B12" s="101">
        <v>1.5</v>
      </c>
      <c r="C12" s="101">
        <v>1.5</v>
      </c>
      <c r="D12" s="42">
        <v>2</v>
      </c>
      <c r="E12" s="43">
        <v>0</v>
      </c>
      <c r="F12" s="41">
        <f t="shared" si="0"/>
        <v>0</v>
      </c>
      <c r="G12" s="46">
        <v>4.2690999999999999</v>
      </c>
      <c r="H12" s="45">
        <f t="shared" si="1"/>
        <v>8.5381999999999998</v>
      </c>
      <c r="I12" s="46">
        <v>5.0622999999999996</v>
      </c>
      <c r="J12" s="45">
        <f t="shared" si="2"/>
        <v>10.124599999999999</v>
      </c>
      <c r="K12" s="47">
        <f t="shared" si="3"/>
        <v>29.090499999999999</v>
      </c>
      <c r="L12" s="41">
        <f t="shared" si="4"/>
        <v>4.6059958333333331</v>
      </c>
      <c r="M12" s="42">
        <v>2</v>
      </c>
      <c r="N12" s="117">
        <f t="shared" si="5"/>
        <v>9.2119916666666661</v>
      </c>
      <c r="O12" s="117"/>
      <c r="P12" s="48">
        <v>-3.5</v>
      </c>
      <c r="Q12" s="117">
        <f t="shared" si="6"/>
        <v>-32.241970833333333</v>
      </c>
      <c r="R12" s="117"/>
    </row>
    <row r="13" spans="2:18" x14ac:dyDescent="0.3">
      <c r="B13" s="101">
        <v>2</v>
      </c>
      <c r="C13" s="101">
        <v>2</v>
      </c>
      <c r="D13" s="42">
        <v>1.5</v>
      </c>
      <c r="E13" s="43">
        <v>2.3809999999999998</v>
      </c>
      <c r="F13" s="41">
        <f t="shared" si="0"/>
        <v>3.5714999999999995</v>
      </c>
      <c r="G13" s="46">
        <v>5.0560999999999998</v>
      </c>
      <c r="H13" s="45">
        <f t="shared" si="1"/>
        <v>7.5841499999999993</v>
      </c>
      <c r="I13" s="46">
        <v>5.3231000000000002</v>
      </c>
      <c r="J13" s="45">
        <f t="shared" si="2"/>
        <v>7.9846500000000002</v>
      </c>
      <c r="K13" s="47">
        <f t="shared" si="3"/>
        <v>47.030699999999996</v>
      </c>
      <c r="L13" s="41">
        <f t="shared" si="4"/>
        <v>7.4465274999999993</v>
      </c>
      <c r="M13" s="42">
        <v>1.5</v>
      </c>
      <c r="N13" s="117">
        <f t="shared" si="5"/>
        <v>11.169791249999999</v>
      </c>
      <c r="O13" s="117"/>
      <c r="P13" s="48">
        <v>-3</v>
      </c>
      <c r="Q13" s="117">
        <f t="shared" si="6"/>
        <v>-33.509373749999995</v>
      </c>
      <c r="R13" s="117"/>
    </row>
    <row r="14" spans="2:18" x14ac:dyDescent="0.3">
      <c r="B14" s="101">
        <v>3</v>
      </c>
      <c r="C14" s="101">
        <v>3</v>
      </c>
      <c r="D14" s="42">
        <v>4</v>
      </c>
      <c r="E14" s="43">
        <v>3.5219999999999998</v>
      </c>
      <c r="F14" s="41">
        <f t="shared" si="0"/>
        <v>14.087999999999999</v>
      </c>
      <c r="G14" s="46">
        <v>5.3063000000000002</v>
      </c>
      <c r="H14" s="45">
        <f t="shared" si="1"/>
        <v>21.225200000000001</v>
      </c>
      <c r="I14" s="46">
        <v>5.3849999986950001</v>
      </c>
      <c r="J14" s="45">
        <f t="shared" si="2"/>
        <v>21.53999999478</v>
      </c>
      <c r="K14" s="47">
        <f t="shared" si="3"/>
        <v>54.675400001305</v>
      </c>
      <c r="L14" s="41">
        <f t="shared" si="4"/>
        <v>8.6569383335399586</v>
      </c>
      <c r="M14" s="42">
        <v>4</v>
      </c>
      <c r="N14" s="117">
        <f t="shared" si="5"/>
        <v>34.627753334159834</v>
      </c>
      <c r="O14" s="117"/>
      <c r="P14" s="48">
        <v>-2</v>
      </c>
      <c r="Q14" s="117">
        <f t="shared" si="6"/>
        <v>-69.255506668319669</v>
      </c>
      <c r="R14" s="117"/>
    </row>
    <row r="15" spans="2:18" x14ac:dyDescent="0.3">
      <c r="B15" s="101">
        <v>4</v>
      </c>
      <c r="C15" s="101">
        <v>4</v>
      </c>
      <c r="D15" s="42">
        <v>2</v>
      </c>
      <c r="E15" s="43">
        <v>3.5219999999999998</v>
      </c>
      <c r="F15" s="41">
        <f t="shared" si="0"/>
        <v>7.0439999999999996</v>
      </c>
      <c r="G15" s="46">
        <v>5.3063000000000002</v>
      </c>
      <c r="H15" s="45">
        <f t="shared" si="1"/>
        <v>10.6126</v>
      </c>
      <c r="I15" s="46">
        <v>5.3849999986950001</v>
      </c>
      <c r="J15" s="45">
        <f t="shared" si="2"/>
        <v>10.76999999739</v>
      </c>
      <c r="K15" s="47">
        <f t="shared" si="3"/>
        <v>54.675400001305</v>
      </c>
      <c r="L15" s="41">
        <f t="shared" si="4"/>
        <v>8.6569383335399586</v>
      </c>
      <c r="M15" s="42">
        <v>2</v>
      </c>
      <c r="N15" s="117">
        <f t="shared" si="5"/>
        <v>17.313876667079917</v>
      </c>
      <c r="O15" s="117"/>
      <c r="P15" s="48">
        <v>-1</v>
      </c>
      <c r="Q15" s="117">
        <f t="shared" si="6"/>
        <v>-17.313876667079917</v>
      </c>
      <c r="R15" s="117"/>
    </row>
    <row r="16" spans="2:18" x14ac:dyDescent="0.3">
      <c r="B16" s="101">
        <v>5</v>
      </c>
      <c r="C16" s="101">
        <v>5</v>
      </c>
      <c r="D16" s="42">
        <v>4</v>
      </c>
      <c r="E16" s="43">
        <v>3.5219999999999998</v>
      </c>
      <c r="F16" s="47">
        <f t="shared" si="0"/>
        <v>14.087999999999999</v>
      </c>
      <c r="G16" s="46">
        <v>5.3063000000000002</v>
      </c>
      <c r="H16" s="45">
        <f t="shared" si="1"/>
        <v>21.225200000000001</v>
      </c>
      <c r="I16" s="46">
        <v>5.3849999986950001</v>
      </c>
      <c r="J16" s="45">
        <f t="shared" si="2"/>
        <v>21.53999999478</v>
      </c>
      <c r="K16" s="47">
        <f t="shared" si="3"/>
        <v>54.675400001305</v>
      </c>
      <c r="L16" s="41">
        <f t="shared" si="4"/>
        <v>8.6569383335399586</v>
      </c>
      <c r="M16" s="42">
        <v>4</v>
      </c>
      <c r="N16" s="117">
        <f t="shared" si="5"/>
        <v>34.627753334159834</v>
      </c>
      <c r="O16" s="117"/>
      <c r="P16" s="48">
        <v>0</v>
      </c>
      <c r="Q16" s="117">
        <f t="shared" si="6"/>
        <v>0</v>
      </c>
      <c r="R16" s="117"/>
    </row>
    <row r="17" spans="2:18" x14ac:dyDescent="0.3">
      <c r="B17" s="101">
        <v>6</v>
      </c>
      <c r="C17" s="101">
        <v>6</v>
      </c>
      <c r="D17" s="42">
        <v>2</v>
      </c>
      <c r="E17" s="43">
        <v>3.5219999999999998</v>
      </c>
      <c r="F17" s="47">
        <f t="shared" si="0"/>
        <v>7.0439999999999996</v>
      </c>
      <c r="G17" s="46">
        <v>5.3063000000000002</v>
      </c>
      <c r="H17" s="45">
        <f t="shared" si="1"/>
        <v>10.6126</v>
      </c>
      <c r="I17" s="46">
        <v>5.3849999986950001</v>
      </c>
      <c r="J17" s="45">
        <f t="shared" si="2"/>
        <v>10.76999999739</v>
      </c>
      <c r="K17" s="47">
        <f t="shared" si="3"/>
        <v>54.675400001305</v>
      </c>
      <c r="L17" s="41">
        <f t="shared" si="4"/>
        <v>8.6569383335399586</v>
      </c>
      <c r="M17" s="42">
        <v>2</v>
      </c>
      <c r="N17" s="117">
        <f t="shared" si="5"/>
        <v>17.313876667079917</v>
      </c>
      <c r="O17" s="117"/>
      <c r="P17" s="48">
        <v>1</v>
      </c>
      <c r="Q17" s="117">
        <f t="shared" si="6"/>
        <v>17.313876667079917</v>
      </c>
      <c r="R17" s="117"/>
    </row>
    <row r="18" spans="2:18" x14ac:dyDescent="0.3">
      <c r="B18" s="101">
        <v>7</v>
      </c>
      <c r="C18" s="101">
        <v>7</v>
      </c>
      <c r="D18" s="42">
        <v>4</v>
      </c>
      <c r="E18" s="43">
        <v>3.5219999999999998</v>
      </c>
      <c r="F18" s="47">
        <f t="shared" si="0"/>
        <v>14.087999999999999</v>
      </c>
      <c r="G18" s="46">
        <v>5.3063000000000002</v>
      </c>
      <c r="H18" s="45">
        <f t="shared" si="1"/>
        <v>21.225200000000001</v>
      </c>
      <c r="I18" s="46">
        <v>5.3849999986950001</v>
      </c>
      <c r="J18" s="45">
        <f t="shared" si="2"/>
        <v>21.53999999478</v>
      </c>
      <c r="K18" s="47">
        <f t="shared" si="3"/>
        <v>54.675400001305</v>
      </c>
      <c r="L18" s="41">
        <f t="shared" si="4"/>
        <v>8.6569383335399586</v>
      </c>
      <c r="M18" s="42">
        <v>4</v>
      </c>
      <c r="N18" s="117">
        <f t="shared" si="5"/>
        <v>34.627753334159834</v>
      </c>
      <c r="O18" s="117"/>
      <c r="P18" s="48">
        <v>2</v>
      </c>
      <c r="Q18" s="117">
        <f t="shared" si="6"/>
        <v>69.255506668319669</v>
      </c>
      <c r="R18" s="117"/>
    </row>
    <row r="19" spans="2:18" x14ac:dyDescent="0.3">
      <c r="B19" s="101">
        <v>8</v>
      </c>
      <c r="C19" s="101">
        <v>8</v>
      </c>
      <c r="D19" s="42">
        <v>1.5</v>
      </c>
      <c r="E19" s="43">
        <v>2.4274</v>
      </c>
      <c r="F19" s="47">
        <f t="shared" si="0"/>
        <v>3.6410999999999998</v>
      </c>
      <c r="G19" s="46">
        <v>4.7549999999999999</v>
      </c>
      <c r="H19" s="45">
        <f t="shared" si="1"/>
        <v>7.1325000000000003</v>
      </c>
      <c r="I19" s="46">
        <v>5.1048</v>
      </c>
      <c r="J19" s="45">
        <f t="shared" si="2"/>
        <v>7.6571999999999996</v>
      </c>
      <c r="K19" s="47">
        <f t="shared" si="3"/>
        <v>45.072200000000002</v>
      </c>
      <c r="L19" s="41">
        <f t="shared" si="4"/>
        <v>7.1364316666666667</v>
      </c>
      <c r="M19" s="42">
        <v>1.5</v>
      </c>
      <c r="N19" s="117">
        <f t="shared" si="5"/>
        <v>10.7046475</v>
      </c>
      <c r="O19" s="117"/>
      <c r="P19" s="48">
        <v>3</v>
      </c>
      <c r="Q19" s="117">
        <f t="shared" si="6"/>
        <v>32.1139425</v>
      </c>
      <c r="R19" s="117"/>
    </row>
    <row r="20" spans="2:18" x14ac:dyDescent="0.3">
      <c r="B20" s="101">
        <v>8.5</v>
      </c>
      <c r="C20" s="101">
        <v>8.5</v>
      </c>
      <c r="D20" s="42">
        <v>2</v>
      </c>
      <c r="E20" s="55">
        <v>1.0129999999999999</v>
      </c>
      <c r="F20" s="47">
        <f t="shared" si="0"/>
        <v>2.0259999999999998</v>
      </c>
      <c r="G20" s="46">
        <v>4.0526999999999997</v>
      </c>
      <c r="H20" s="45">
        <f t="shared" si="1"/>
        <v>8.1053999999999995</v>
      </c>
      <c r="I20" s="46">
        <v>4.6696999999999997</v>
      </c>
      <c r="J20" s="45">
        <f t="shared" si="2"/>
        <v>9.3393999999999995</v>
      </c>
      <c r="K20" s="47">
        <f t="shared" si="3"/>
        <v>32.816899999999997</v>
      </c>
      <c r="L20" s="41">
        <f t="shared" si="4"/>
        <v>5.1960091666666663</v>
      </c>
      <c r="M20" s="42">
        <v>2</v>
      </c>
      <c r="N20" s="117">
        <f t="shared" si="5"/>
        <v>10.392018333333333</v>
      </c>
      <c r="O20" s="117"/>
      <c r="P20" s="48">
        <v>3.5</v>
      </c>
      <c r="Q20" s="117">
        <f t="shared" si="6"/>
        <v>36.372064166666661</v>
      </c>
      <c r="R20" s="117"/>
    </row>
    <row r="21" spans="2:18" x14ac:dyDescent="0.3">
      <c r="B21" s="101">
        <v>9</v>
      </c>
      <c r="C21" s="101">
        <v>9</v>
      </c>
      <c r="D21" s="42">
        <v>1</v>
      </c>
      <c r="E21" s="43">
        <v>0</v>
      </c>
      <c r="F21" s="47">
        <f t="shared" si="0"/>
        <v>0</v>
      </c>
      <c r="G21" s="46">
        <v>3.0417999999999998</v>
      </c>
      <c r="H21" s="45">
        <f t="shared" si="1"/>
        <v>3.0417999999999998</v>
      </c>
      <c r="I21" s="46">
        <v>3.7605</v>
      </c>
      <c r="J21" s="45">
        <f t="shared" si="2"/>
        <v>3.7605</v>
      </c>
      <c r="K21" s="47">
        <f t="shared" si="3"/>
        <v>20.573899999999998</v>
      </c>
      <c r="L21" s="41">
        <f t="shared" si="4"/>
        <v>3.2575341666666664</v>
      </c>
      <c r="M21" s="42">
        <v>1</v>
      </c>
      <c r="N21" s="117">
        <f t="shared" si="5"/>
        <v>3.2575341666666664</v>
      </c>
      <c r="O21" s="117"/>
      <c r="P21" s="48">
        <v>4</v>
      </c>
      <c r="Q21" s="117">
        <f t="shared" si="6"/>
        <v>13.030136666666666</v>
      </c>
      <c r="R21" s="117"/>
    </row>
    <row r="22" spans="2:18" x14ac:dyDescent="0.3">
      <c r="B22" s="101">
        <v>9.5</v>
      </c>
      <c r="C22" s="101">
        <v>9.5</v>
      </c>
      <c r="D22" s="42">
        <v>2</v>
      </c>
      <c r="E22" s="43">
        <v>0</v>
      </c>
      <c r="F22" s="47">
        <f t="shared" si="0"/>
        <v>0</v>
      </c>
      <c r="G22" s="46">
        <v>1.4650000000000001</v>
      </c>
      <c r="H22" s="45">
        <f t="shared" si="1"/>
        <v>2.93</v>
      </c>
      <c r="I22" s="46">
        <v>2.161</v>
      </c>
      <c r="J22" s="45">
        <f t="shared" si="2"/>
        <v>4.3220000000000001</v>
      </c>
      <c r="K22" s="47">
        <f t="shared" si="3"/>
        <v>9.5590000000000011</v>
      </c>
      <c r="L22" s="41">
        <f t="shared" si="4"/>
        <v>1.5135083333333335</v>
      </c>
      <c r="M22" s="42">
        <v>2</v>
      </c>
      <c r="N22" s="117">
        <f t="shared" si="5"/>
        <v>3.0270166666666669</v>
      </c>
      <c r="O22" s="117"/>
      <c r="P22" s="48">
        <v>4.5</v>
      </c>
      <c r="Q22" s="117">
        <f t="shared" si="6"/>
        <v>13.621575000000002</v>
      </c>
      <c r="R22" s="117"/>
    </row>
    <row r="23" spans="2:18" x14ac:dyDescent="0.3">
      <c r="B23" s="101">
        <v>10</v>
      </c>
      <c r="C23" s="101">
        <v>10</v>
      </c>
      <c r="D23" s="42">
        <v>0.5</v>
      </c>
      <c r="E23" s="43">
        <v>0</v>
      </c>
      <c r="F23" s="47">
        <f t="shared" si="0"/>
        <v>0</v>
      </c>
      <c r="G23" s="49">
        <v>0</v>
      </c>
      <c r="H23" s="45">
        <f t="shared" si="1"/>
        <v>0</v>
      </c>
      <c r="I23" s="49">
        <v>0</v>
      </c>
      <c r="J23" s="45">
        <f t="shared" si="2"/>
        <v>0</v>
      </c>
      <c r="K23" s="47">
        <f t="shared" si="3"/>
        <v>0</v>
      </c>
      <c r="L23" s="41">
        <f t="shared" si="4"/>
        <v>0</v>
      </c>
      <c r="M23" s="42">
        <v>0.5</v>
      </c>
      <c r="N23" s="117">
        <f t="shared" si="5"/>
        <v>0</v>
      </c>
      <c r="O23" s="117"/>
      <c r="P23" s="48">
        <v>5</v>
      </c>
      <c r="Q23" s="117">
        <f t="shared" si="6"/>
        <v>0</v>
      </c>
      <c r="R23" s="117"/>
    </row>
    <row r="24" spans="2:18" x14ac:dyDescent="0.3">
      <c r="B24" s="103" t="s">
        <v>16</v>
      </c>
      <c r="C24" s="103"/>
      <c r="D24" s="103"/>
      <c r="E24" s="107">
        <f>SUM(F9:F23)</f>
        <v>65.590599999999995</v>
      </c>
      <c r="F24" s="107"/>
      <c r="G24" s="107">
        <f>SUM(H9:H23)</f>
        <v>125.15055000000001</v>
      </c>
      <c r="H24" s="107"/>
      <c r="I24" s="107">
        <f>SUM(J9:J23)</f>
        <v>136.42554997912004</v>
      </c>
      <c r="J24" s="107"/>
      <c r="K24" s="47"/>
      <c r="L24" s="50">
        <f>SUM(L9:L23)</f>
        <v>75.235851667699791</v>
      </c>
      <c r="M24" s="47"/>
      <c r="N24" s="107">
        <f>SUM(N9:O23)</f>
        <v>188.84920958663935</v>
      </c>
      <c r="O24" s="107"/>
      <c r="P24" s="47"/>
      <c r="Q24" s="107">
        <f>SUM(Q9:R23)</f>
        <v>19.305543749999988</v>
      </c>
      <c r="R24" s="107"/>
    </row>
    <row r="25" spans="2:18" x14ac:dyDescent="0.3">
      <c r="B25" s="103" t="s">
        <v>17</v>
      </c>
      <c r="C25" s="103"/>
      <c r="D25" s="103"/>
      <c r="E25" s="108">
        <f>(1/3)*R33*E24*2</f>
        <v>282.25821533333328</v>
      </c>
      <c r="F25" s="108"/>
      <c r="G25" s="108">
        <f>(1/3)*R33*G24*2</f>
        <v>538.56453349999992</v>
      </c>
      <c r="H25" s="108"/>
      <c r="I25" s="108">
        <f>(1/3)*R33*I24*2</f>
        <v>587.08461674347984</v>
      </c>
      <c r="J25" s="108"/>
      <c r="K25" s="19"/>
      <c r="L25" s="19"/>
      <c r="M25" s="19"/>
      <c r="N25" s="15"/>
      <c r="O25" s="15"/>
      <c r="P25" s="15"/>
      <c r="Q25" s="15"/>
      <c r="R25" s="15"/>
    </row>
    <row r="26" spans="2:18" x14ac:dyDescent="0.3">
      <c r="B26" s="103" t="s">
        <v>18</v>
      </c>
      <c r="C26" s="103"/>
      <c r="D26" s="103"/>
      <c r="E26" s="108">
        <f>E25*E7</f>
        <v>1411.2910766666664</v>
      </c>
      <c r="F26" s="108"/>
      <c r="G26" s="108">
        <f>G25*G7</f>
        <v>4308.5162679999994</v>
      </c>
      <c r="H26" s="108"/>
      <c r="I26" s="108">
        <f>I25*I7</f>
        <v>-587.08461674347984</v>
      </c>
      <c r="J26" s="108"/>
      <c r="K26" s="19"/>
      <c r="L26" s="19"/>
      <c r="M26" s="103" t="s">
        <v>19</v>
      </c>
      <c r="N26" s="103"/>
      <c r="O26" s="38">
        <f>(1/3)*N24*R33</f>
        <v>406.34054929391903</v>
      </c>
      <c r="P26" s="15"/>
      <c r="Q26" s="15"/>
      <c r="R26" s="15"/>
    </row>
    <row r="27" spans="2:18" x14ac:dyDescent="0.3">
      <c r="B27" s="103" t="s">
        <v>12</v>
      </c>
      <c r="C27" s="103"/>
      <c r="D27" s="103"/>
      <c r="E27" s="108">
        <v>0</v>
      </c>
      <c r="F27" s="108"/>
      <c r="G27" s="108">
        <v>1</v>
      </c>
      <c r="H27" s="108"/>
      <c r="I27" s="108">
        <v>2</v>
      </c>
      <c r="J27" s="108"/>
      <c r="K27" s="19"/>
      <c r="L27" s="19"/>
      <c r="M27" s="103" t="s">
        <v>20</v>
      </c>
      <c r="N27" s="103"/>
      <c r="O27" s="38">
        <f>1*O26</f>
        <v>406.34054929391903</v>
      </c>
      <c r="P27" s="15"/>
      <c r="Q27" s="15"/>
      <c r="R27" s="15"/>
    </row>
    <row r="28" spans="2:18" x14ac:dyDescent="0.3">
      <c r="B28" s="103" t="s">
        <v>13</v>
      </c>
      <c r="C28" s="103"/>
      <c r="D28" s="103"/>
      <c r="E28" s="108">
        <f>E27*E26</f>
        <v>0</v>
      </c>
      <c r="F28" s="108"/>
      <c r="G28" s="108">
        <f>G27*G26</f>
        <v>4308.5162679999994</v>
      </c>
      <c r="H28" s="108"/>
      <c r="I28" s="108">
        <f>I27*I26</f>
        <v>-1174.1692334869597</v>
      </c>
      <c r="J28" s="108"/>
      <c r="K28" s="19"/>
      <c r="L28" s="19"/>
      <c r="M28" s="103" t="s">
        <v>21</v>
      </c>
      <c r="N28" s="103"/>
      <c r="O28" s="38">
        <f>(R33*Q24)/N24</f>
        <v>0.65987718550168772</v>
      </c>
      <c r="P28" s="15"/>
      <c r="Q28" s="15"/>
      <c r="R28" s="15"/>
    </row>
    <row r="29" spans="2:18" ht="15.6" x14ac:dyDescent="0.35">
      <c r="B29" s="103" t="s">
        <v>22</v>
      </c>
      <c r="C29" s="103"/>
      <c r="D29" s="103"/>
      <c r="E29" s="28">
        <f>E26+G26+I26</f>
        <v>5132.7227279231856</v>
      </c>
      <c r="F29" s="28"/>
      <c r="G29" s="19"/>
      <c r="H29" s="19"/>
      <c r="I29" s="19"/>
      <c r="J29" s="19"/>
      <c r="K29" s="17"/>
      <c r="L29" s="17"/>
      <c r="M29" s="103" t="s">
        <v>23</v>
      </c>
      <c r="N29" s="103"/>
      <c r="O29" s="39">
        <f>O26/(64.55*10.77*R34)</f>
        <v>0.61525422986736833</v>
      </c>
      <c r="P29" s="15"/>
      <c r="Q29" s="19"/>
      <c r="R29" s="19"/>
    </row>
    <row r="30" spans="2:18" ht="15.6" x14ac:dyDescent="0.35">
      <c r="B30" s="103" t="s">
        <v>19</v>
      </c>
      <c r="C30" s="103"/>
      <c r="D30" s="103"/>
      <c r="E30" s="28">
        <f>(E29*R34)/12</f>
        <v>406.34054929391885</v>
      </c>
      <c r="F30" s="28"/>
      <c r="G30" s="16"/>
      <c r="H30" s="16"/>
      <c r="I30" s="16"/>
      <c r="J30" s="19"/>
      <c r="K30" s="19"/>
      <c r="L30" s="17"/>
      <c r="M30" s="103" t="s">
        <v>24</v>
      </c>
      <c r="N30" s="103"/>
      <c r="O30" s="39">
        <f>G25/(64.55*10.77)</f>
        <v>0.77468616527390899</v>
      </c>
      <c r="P30" s="19"/>
      <c r="Q30" s="19"/>
      <c r="R30" s="19"/>
    </row>
    <row r="31" spans="2:18" ht="15.6" x14ac:dyDescent="0.35">
      <c r="B31" s="103" t="s">
        <v>20</v>
      </c>
      <c r="C31" s="103"/>
      <c r="D31" s="103"/>
      <c r="E31" s="28">
        <f>1*E30</f>
        <v>406.34054929391885</v>
      </c>
      <c r="F31" s="28"/>
      <c r="G31" s="19"/>
      <c r="H31" s="19"/>
      <c r="I31" s="19"/>
      <c r="J31" s="19"/>
      <c r="K31" s="19"/>
      <c r="L31" s="19"/>
      <c r="M31" s="103" t="s">
        <v>25</v>
      </c>
      <c r="N31" s="103"/>
      <c r="O31" s="39">
        <f>L16/(10.77*R34)</f>
        <v>0.84610646860577232</v>
      </c>
      <c r="P31" s="19"/>
      <c r="Q31" s="19"/>
      <c r="R31" s="19"/>
    </row>
    <row r="32" spans="2:18" ht="15.6" x14ac:dyDescent="0.35">
      <c r="B32" s="103" t="s">
        <v>26</v>
      </c>
      <c r="C32" s="103"/>
      <c r="D32" s="103"/>
      <c r="E32" s="28">
        <f>E28+G28+I28</f>
        <v>3134.3470345130399</v>
      </c>
      <c r="F32" s="28"/>
      <c r="G32" s="19"/>
      <c r="H32" s="19"/>
      <c r="I32" s="19"/>
      <c r="J32" s="19"/>
      <c r="K32" s="19"/>
      <c r="L32" s="19"/>
      <c r="M32" s="103" t="s">
        <v>27</v>
      </c>
      <c r="N32" s="103"/>
      <c r="O32" s="39">
        <f>O29/O31</f>
        <v>0.7271593501479714</v>
      </c>
      <c r="P32" s="19"/>
      <c r="Q32" s="19"/>
      <c r="R32" s="19"/>
    </row>
    <row r="33" spans="2:18" x14ac:dyDescent="0.3">
      <c r="B33" s="103" t="s">
        <v>28</v>
      </c>
      <c r="C33" s="103"/>
      <c r="D33" s="103"/>
      <c r="E33" s="28">
        <f>(E32*R34)/E29</f>
        <v>0.58012673596966413</v>
      </c>
      <c r="F33" s="28"/>
      <c r="G33" s="15"/>
      <c r="H33" s="15"/>
      <c r="I33" s="15"/>
      <c r="J33" s="15"/>
      <c r="K33" s="15"/>
      <c r="L33" s="15"/>
      <c r="M33" s="15"/>
      <c r="N33" s="15"/>
      <c r="O33" s="15"/>
      <c r="P33" s="109" t="s">
        <v>29</v>
      </c>
      <c r="Q33" s="109"/>
      <c r="R33" s="22">
        <v>6.4550000000000001</v>
      </c>
    </row>
    <row r="34" spans="2:18" x14ac:dyDescent="0.3"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09" t="s">
        <v>30</v>
      </c>
      <c r="Q34" s="109"/>
      <c r="R34" s="22">
        <v>0.95</v>
      </c>
    </row>
  </sheetData>
  <mergeCells count="96">
    <mergeCell ref="B33:D33"/>
    <mergeCell ref="P33:Q33"/>
    <mergeCell ref="P34:Q34"/>
    <mergeCell ref="B30:D30"/>
    <mergeCell ref="M30:N30"/>
    <mergeCell ref="B31:D31"/>
    <mergeCell ref="M31:N31"/>
    <mergeCell ref="B32:D32"/>
    <mergeCell ref="M32:N32"/>
    <mergeCell ref="B29:D29"/>
    <mergeCell ref="M29:N29"/>
    <mergeCell ref="M26:N26"/>
    <mergeCell ref="B27:D27"/>
    <mergeCell ref="E27:F27"/>
    <mergeCell ref="G27:H27"/>
    <mergeCell ref="I27:J27"/>
    <mergeCell ref="M27:N27"/>
    <mergeCell ref="B28:D28"/>
    <mergeCell ref="E28:F28"/>
    <mergeCell ref="G28:H28"/>
    <mergeCell ref="I28:J28"/>
    <mergeCell ref="M28:N28"/>
    <mergeCell ref="B25:D25"/>
    <mergeCell ref="E25:F25"/>
    <mergeCell ref="G25:H25"/>
    <mergeCell ref="I25:J25"/>
    <mergeCell ref="B26:D26"/>
    <mergeCell ref="E26:F26"/>
    <mergeCell ref="G26:H26"/>
    <mergeCell ref="I26:J26"/>
    <mergeCell ref="B24:D24"/>
    <mergeCell ref="E24:F24"/>
    <mergeCell ref="G24:H24"/>
    <mergeCell ref="I24:J24"/>
    <mergeCell ref="N24:O24"/>
    <mergeCell ref="N19:O19"/>
    <mergeCell ref="Q19:R19"/>
    <mergeCell ref="N20:O20"/>
    <mergeCell ref="Q20:R20"/>
    <mergeCell ref="Q24:R24"/>
    <mergeCell ref="N21:O21"/>
    <mergeCell ref="Q21:R21"/>
    <mergeCell ref="N22:O22"/>
    <mergeCell ref="Q22:R22"/>
    <mergeCell ref="N23:O23"/>
    <mergeCell ref="Q23:R23"/>
    <mergeCell ref="N16:O16"/>
    <mergeCell ref="Q16:R16"/>
    <mergeCell ref="N17:O17"/>
    <mergeCell ref="Q17:R17"/>
    <mergeCell ref="N18:O18"/>
    <mergeCell ref="Q18:R18"/>
    <mergeCell ref="N13:O13"/>
    <mergeCell ref="Q13:R13"/>
    <mergeCell ref="N14:O14"/>
    <mergeCell ref="Q14:R14"/>
    <mergeCell ref="N15:O15"/>
    <mergeCell ref="Q15:R15"/>
    <mergeCell ref="N10:O10"/>
    <mergeCell ref="Q10:R10"/>
    <mergeCell ref="N11:O11"/>
    <mergeCell ref="Q11:R11"/>
    <mergeCell ref="N12:O12"/>
    <mergeCell ref="Q12:R12"/>
    <mergeCell ref="N4:O8"/>
    <mergeCell ref="P4:P8"/>
    <mergeCell ref="Q4:R8"/>
    <mergeCell ref="N9:O9"/>
    <mergeCell ref="Q9:R9"/>
    <mergeCell ref="I4:J6"/>
    <mergeCell ref="K4:K8"/>
    <mergeCell ref="B4:C8"/>
    <mergeCell ref="L4:L8"/>
    <mergeCell ref="M4:M8"/>
    <mergeCell ref="B23:C23"/>
    <mergeCell ref="B14:C14"/>
    <mergeCell ref="B15:C15"/>
    <mergeCell ref="B16:C16"/>
    <mergeCell ref="B17:C17"/>
    <mergeCell ref="B18:C18"/>
    <mergeCell ref="B2:R3"/>
    <mergeCell ref="B19:C19"/>
    <mergeCell ref="B20:C20"/>
    <mergeCell ref="B21:C21"/>
    <mergeCell ref="B22:C22"/>
    <mergeCell ref="B9:C9"/>
    <mergeCell ref="B10:C10"/>
    <mergeCell ref="B11:C11"/>
    <mergeCell ref="B12:C12"/>
    <mergeCell ref="B13:C13"/>
    <mergeCell ref="E7:F7"/>
    <mergeCell ref="G7:H7"/>
    <mergeCell ref="I7:J7"/>
    <mergeCell ref="D4:D8"/>
    <mergeCell ref="E4:F6"/>
    <mergeCell ref="G4:H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4204D-7997-413C-812E-94CAA60321F9}">
  <dimension ref="B2:L28"/>
  <sheetViews>
    <sheetView zoomScale="85" zoomScaleNormal="85" workbookViewId="0">
      <selection activeCell="P14" sqref="P14"/>
    </sheetView>
  </sheetViews>
  <sheetFormatPr defaultRowHeight="14.4" x14ac:dyDescent="0.3"/>
  <cols>
    <col min="5" max="5" width="13.109375" customWidth="1"/>
    <col min="9" max="9" width="17.21875" customWidth="1"/>
    <col min="10" max="10" width="10.88671875" customWidth="1"/>
  </cols>
  <sheetData>
    <row r="2" spans="2:12" ht="23.4" customHeight="1" x14ac:dyDescent="0.3">
      <c r="B2" s="100" t="s">
        <v>59</v>
      </c>
      <c r="C2" s="100"/>
      <c r="D2" s="100"/>
      <c r="E2" s="100"/>
      <c r="F2" s="100"/>
      <c r="G2" s="100"/>
      <c r="H2" s="100"/>
      <c r="I2" s="100"/>
      <c r="J2" s="100"/>
      <c r="K2" s="100"/>
      <c r="L2" s="100"/>
    </row>
    <row r="3" spans="2:12" x14ac:dyDescent="0.3"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</row>
    <row r="4" spans="2:12" x14ac:dyDescent="0.3">
      <c r="B4" s="112" t="s">
        <v>2</v>
      </c>
      <c r="C4" s="112"/>
      <c r="D4" s="112" t="s">
        <v>3</v>
      </c>
      <c r="E4" s="112" t="s">
        <v>60</v>
      </c>
      <c r="F4" s="113" t="s">
        <v>33</v>
      </c>
      <c r="G4" s="113"/>
      <c r="H4" s="113" t="s">
        <v>34</v>
      </c>
      <c r="I4" s="113"/>
      <c r="J4" s="113"/>
      <c r="K4" s="113"/>
      <c r="L4" s="113"/>
    </row>
    <row r="5" spans="2:12" x14ac:dyDescent="0.3">
      <c r="B5" s="112"/>
      <c r="C5" s="112"/>
      <c r="D5" s="112"/>
      <c r="E5" s="112"/>
      <c r="F5" s="70" t="s">
        <v>35</v>
      </c>
      <c r="G5" s="70" t="s">
        <v>36</v>
      </c>
      <c r="H5" s="70" t="s">
        <v>37</v>
      </c>
      <c r="I5" s="70" t="s">
        <v>12</v>
      </c>
      <c r="J5" s="70" t="s">
        <v>38</v>
      </c>
      <c r="K5" s="70" t="s">
        <v>12</v>
      </c>
      <c r="L5" s="70" t="s">
        <v>39</v>
      </c>
    </row>
    <row r="6" spans="2:12" x14ac:dyDescent="0.3">
      <c r="B6" s="111">
        <v>0</v>
      </c>
      <c r="C6" s="111"/>
      <c r="D6" s="42">
        <v>0.5</v>
      </c>
      <c r="E6" s="49">
        <v>0</v>
      </c>
      <c r="F6" s="45">
        <f>E6*E6*E6</f>
        <v>0</v>
      </c>
      <c r="G6" s="45">
        <f>D6*F6</f>
        <v>0</v>
      </c>
      <c r="H6" s="45">
        <f>D6*E6</f>
        <v>0</v>
      </c>
      <c r="I6" s="48">
        <v>-5</v>
      </c>
      <c r="J6" s="45">
        <f>H6*I6</f>
        <v>0</v>
      </c>
      <c r="K6" s="48">
        <v>-5</v>
      </c>
      <c r="L6" s="45">
        <f>J6*K6</f>
        <v>0</v>
      </c>
    </row>
    <row r="7" spans="2:12" x14ac:dyDescent="0.3">
      <c r="B7" s="111">
        <v>0.5</v>
      </c>
      <c r="C7" s="111"/>
      <c r="D7" s="42">
        <v>2</v>
      </c>
      <c r="E7" s="49">
        <v>0</v>
      </c>
      <c r="F7" s="45">
        <f t="shared" ref="F7:F20" si="0">E7*E7*E7</f>
        <v>0</v>
      </c>
      <c r="G7" s="45">
        <f t="shared" ref="G7:G20" si="1">D7*F7</f>
        <v>0</v>
      </c>
      <c r="H7" s="45">
        <f t="shared" ref="H7:H19" si="2">D7*E7</f>
        <v>0</v>
      </c>
      <c r="I7" s="48">
        <v>-4.5</v>
      </c>
      <c r="J7" s="45">
        <f t="shared" ref="J7:J20" si="3">H7*I7</f>
        <v>0</v>
      </c>
      <c r="K7" s="48">
        <v>-4.5</v>
      </c>
      <c r="L7" s="45">
        <f t="shared" ref="L7:L20" si="4">J7*K7</f>
        <v>0</v>
      </c>
    </row>
    <row r="8" spans="2:12" x14ac:dyDescent="0.3">
      <c r="B8" s="111">
        <v>1</v>
      </c>
      <c r="C8" s="111"/>
      <c r="D8" s="42">
        <v>1</v>
      </c>
      <c r="E8" s="49">
        <v>2.9177</v>
      </c>
      <c r="F8" s="45">
        <f t="shared" si="0"/>
        <v>24.838302168233</v>
      </c>
      <c r="G8" s="45">
        <f t="shared" si="1"/>
        <v>24.838302168233</v>
      </c>
      <c r="H8" s="45">
        <f t="shared" si="2"/>
        <v>2.9177</v>
      </c>
      <c r="I8" s="48">
        <v>-4</v>
      </c>
      <c r="J8" s="45">
        <f t="shared" si="3"/>
        <v>-11.6708</v>
      </c>
      <c r="K8" s="48">
        <v>-4</v>
      </c>
      <c r="L8" s="45">
        <f t="shared" si="4"/>
        <v>46.683199999999999</v>
      </c>
    </row>
    <row r="9" spans="2:12" x14ac:dyDescent="0.3">
      <c r="B9" s="111">
        <v>1.5</v>
      </c>
      <c r="C9" s="111"/>
      <c r="D9" s="42">
        <v>2</v>
      </c>
      <c r="E9" s="49">
        <v>4.2690999999999999</v>
      </c>
      <c r="F9" s="45">
        <f t="shared" si="0"/>
        <v>77.805264545371003</v>
      </c>
      <c r="G9" s="45">
        <f t="shared" si="1"/>
        <v>155.61052909074201</v>
      </c>
      <c r="H9" s="45">
        <f t="shared" si="2"/>
        <v>8.5381999999999998</v>
      </c>
      <c r="I9" s="48">
        <v>-3.5</v>
      </c>
      <c r="J9" s="45">
        <f t="shared" si="3"/>
        <v>-29.883699999999997</v>
      </c>
      <c r="K9" s="48">
        <v>-3.5</v>
      </c>
      <c r="L9" s="45">
        <f t="shared" si="4"/>
        <v>104.59294999999999</v>
      </c>
    </row>
    <row r="10" spans="2:12" x14ac:dyDescent="0.3">
      <c r="B10" s="111">
        <v>2</v>
      </c>
      <c r="C10" s="111"/>
      <c r="D10" s="42">
        <v>1.5</v>
      </c>
      <c r="E10" s="49">
        <v>5.0560999999999998</v>
      </c>
      <c r="F10" s="45">
        <f t="shared" si="0"/>
        <v>129.25488470848097</v>
      </c>
      <c r="G10" s="45">
        <f t="shared" si="1"/>
        <v>193.88232706272146</v>
      </c>
      <c r="H10" s="45">
        <f t="shared" si="2"/>
        <v>7.5841499999999993</v>
      </c>
      <c r="I10" s="48">
        <v>-3</v>
      </c>
      <c r="J10" s="45">
        <f t="shared" si="3"/>
        <v>-22.752449999999996</v>
      </c>
      <c r="K10" s="48">
        <v>-3</v>
      </c>
      <c r="L10" s="45">
        <f t="shared" si="4"/>
        <v>68.257349999999988</v>
      </c>
    </row>
    <row r="11" spans="2:12" x14ac:dyDescent="0.3">
      <c r="B11" s="111">
        <v>3</v>
      </c>
      <c r="C11" s="111"/>
      <c r="D11" s="42">
        <v>4</v>
      </c>
      <c r="E11" s="49">
        <v>5.3063000000000002</v>
      </c>
      <c r="F11" s="45">
        <f t="shared" si="0"/>
        <v>149.40853232104703</v>
      </c>
      <c r="G11" s="45">
        <f t="shared" si="1"/>
        <v>597.63412928418813</v>
      </c>
      <c r="H11" s="45">
        <f t="shared" si="2"/>
        <v>21.225200000000001</v>
      </c>
      <c r="I11" s="48">
        <v>-2</v>
      </c>
      <c r="J11" s="45">
        <f t="shared" si="3"/>
        <v>-42.450400000000002</v>
      </c>
      <c r="K11" s="48">
        <v>-2</v>
      </c>
      <c r="L11" s="45">
        <f t="shared" si="4"/>
        <v>84.900800000000004</v>
      </c>
    </row>
    <row r="12" spans="2:12" x14ac:dyDescent="0.3">
      <c r="B12" s="111">
        <v>4</v>
      </c>
      <c r="C12" s="111"/>
      <c r="D12" s="42">
        <v>2</v>
      </c>
      <c r="E12" s="49">
        <v>5.3063000000000002</v>
      </c>
      <c r="F12" s="45">
        <f t="shared" si="0"/>
        <v>149.40853232104703</v>
      </c>
      <c r="G12" s="45">
        <f t="shared" si="1"/>
        <v>298.81706464209407</v>
      </c>
      <c r="H12" s="45">
        <f t="shared" si="2"/>
        <v>10.6126</v>
      </c>
      <c r="I12" s="48">
        <v>-1</v>
      </c>
      <c r="J12" s="45">
        <f t="shared" si="3"/>
        <v>-10.6126</v>
      </c>
      <c r="K12" s="48">
        <v>-1</v>
      </c>
      <c r="L12" s="45">
        <f t="shared" si="4"/>
        <v>10.6126</v>
      </c>
    </row>
    <row r="13" spans="2:12" x14ac:dyDescent="0.3">
      <c r="B13" s="111">
        <v>5</v>
      </c>
      <c r="C13" s="111"/>
      <c r="D13" s="42">
        <v>4</v>
      </c>
      <c r="E13" s="49">
        <v>5.3063000000000002</v>
      </c>
      <c r="F13" s="45">
        <f t="shared" si="0"/>
        <v>149.40853232104703</v>
      </c>
      <c r="G13" s="45">
        <f t="shared" si="1"/>
        <v>597.63412928418813</v>
      </c>
      <c r="H13" s="45">
        <f t="shared" si="2"/>
        <v>21.225200000000001</v>
      </c>
      <c r="I13" s="48">
        <v>0</v>
      </c>
      <c r="J13" s="45">
        <f t="shared" si="3"/>
        <v>0</v>
      </c>
      <c r="K13" s="48">
        <v>0</v>
      </c>
      <c r="L13" s="45">
        <f t="shared" si="4"/>
        <v>0</v>
      </c>
    </row>
    <row r="14" spans="2:12" x14ac:dyDescent="0.3">
      <c r="B14" s="111">
        <v>6</v>
      </c>
      <c r="C14" s="111"/>
      <c r="D14" s="42">
        <v>2</v>
      </c>
      <c r="E14" s="49">
        <v>5.3063000000000002</v>
      </c>
      <c r="F14" s="45">
        <f t="shared" si="0"/>
        <v>149.40853232104703</v>
      </c>
      <c r="G14" s="45">
        <f t="shared" si="1"/>
        <v>298.81706464209407</v>
      </c>
      <c r="H14" s="45">
        <f t="shared" si="2"/>
        <v>10.6126</v>
      </c>
      <c r="I14" s="48">
        <v>1</v>
      </c>
      <c r="J14" s="45">
        <f t="shared" si="3"/>
        <v>10.6126</v>
      </c>
      <c r="K14" s="48">
        <v>1</v>
      </c>
      <c r="L14" s="45">
        <f t="shared" si="4"/>
        <v>10.6126</v>
      </c>
    </row>
    <row r="15" spans="2:12" x14ac:dyDescent="0.3">
      <c r="B15" s="111">
        <v>7</v>
      </c>
      <c r="C15" s="111"/>
      <c r="D15" s="42">
        <v>4</v>
      </c>
      <c r="E15" s="49">
        <v>5.3063000000000002</v>
      </c>
      <c r="F15" s="45">
        <f t="shared" si="0"/>
        <v>149.40853232104703</v>
      </c>
      <c r="G15" s="45">
        <f t="shared" si="1"/>
        <v>597.63412928418813</v>
      </c>
      <c r="H15" s="45">
        <f t="shared" si="2"/>
        <v>21.225200000000001</v>
      </c>
      <c r="I15" s="48">
        <v>2</v>
      </c>
      <c r="J15" s="45">
        <f t="shared" si="3"/>
        <v>42.450400000000002</v>
      </c>
      <c r="K15" s="48">
        <v>2</v>
      </c>
      <c r="L15" s="45">
        <f t="shared" si="4"/>
        <v>84.900800000000004</v>
      </c>
    </row>
    <row r="16" spans="2:12" x14ac:dyDescent="0.3">
      <c r="B16" s="111">
        <v>8</v>
      </c>
      <c r="C16" s="111"/>
      <c r="D16" s="42">
        <v>1.5</v>
      </c>
      <c r="E16" s="49">
        <v>4.7549999999999999</v>
      </c>
      <c r="F16" s="45">
        <f t="shared" si="0"/>
        <v>107.51066887499999</v>
      </c>
      <c r="G16" s="45">
        <f t="shared" si="1"/>
        <v>161.2660033125</v>
      </c>
      <c r="H16" s="45">
        <f t="shared" si="2"/>
        <v>7.1325000000000003</v>
      </c>
      <c r="I16" s="48">
        <v>3</v>
      </c>
      <c r="J16" s="45">
        <f t="shared" si="3"/>
        <v>21.397500000000001</v>
      </c>
      <c r="K16" s="48">
        <v>3</v>
      </c>
      <c r="L16" s="45">
        <f t="shared" si="4"/>
        <v>64.192499999999995</v>
      </c>
    </row>
    <row r="17" spans="2:12" x14ac:dyDescent="0.3">
      <c r="B17" s="111">
        <v>8.5</v>
      </c>
      <c r="C17" s="111"/>
      <c r="D17" s="42">
        <v>2</v>
      </c>
      <c r="E17" s="49">
        <v>4.0526999999999997</v>
      </c>
      <c r="F17" s="45">
        <f t="shared" si="0"/>
        <v>66.563073843182991</v>
      </c>
      <c r="G17" s="45">
        <f t="shared" si="1"/>
        <v>133.12614768636598</v>
      </c>
      <c r="H17" s="45">
        <f t="shared" si="2"/>
        <v>8.1053999999999995</v>
      </c>
      <c r="I17" s="48">
        <v>3.5</v>
      </c>
      <c r="J17" s="45">
        <f t="shared" si="3"/>
        <v>28.368899999999996</v>
      </c>
      <c r="K17" s="48">
        <v>3.5</v>
      </c>
      <c r="L17" s="45">
        <f t="shared" si="4"/>
        <v>99.291149999999988</v>
      </c>
    </row>
    <row r="18" spans="2:12" x14ac:dyDescent="0.3">
      <c r="B18" s="111">
        <v>9</v>
      </c>
      <c r="C18" s="111"/>
      <c r="D18" s="42">
        <v>1</v>
      </c>
      <c r="E18" s="49">
        <v>3.0417999999999998</v>
      </c>
      <c r="F18" s="45">
        <f t="shared" si="0"/>
        <v>28.144398194631993</v>
      </c>
      <c r="G18" s="45">
        <f t="shared" si="1"/>
        <v>28.144398194631993</v>
      </c>
      <c r="H18" s="45">
        <f t="shared" si="2"/>
        <v>3.0417999999999998</v>
      </c>
      <c r="I18" s="48">
        <v>4</v>
      </c>
      <c r="J18" s="45">
        <f t="shared" si="3"/>
        <v>12.167199999999999</v>
      </c>
      <c r="K18" s="48">
        <v>4</v>
      </c>
      <c r="L18" s="45">
        <f t="shared" si="4"/>
        <v>48.668799999999997</v>
      </c>
    </row>
    <row r="19" spans="2:12" x14ac:dyDescent="0.3">
      <c r="B19" s="111">
        <v>9.5</v>
      </c>
      <c r="C19" s="111"/>
      <c r="D19" s="42">
        <v>2</v>
      </c>
      <c r="E19" s="46">
        <v>1.4650000000000001</v>
      </c>
      <c r="F19" s="45">
        <f t="shared" si="0"/>
        <v>3.1442196250000007</v>
      </c>
      <c r="G19" s="45">
        <f t="shared" si="1"/>
        <v>6.2884392500000015</v>
      </c>
      <c r="H19" s="45">
        <f t="shared" si="2"/>
        <v>2.93</v>
      </c>
      <c r="I19" s="48">
        <v>4.5</v>
      </c>
      <c r="J19" s="45">
        <f t="shared" si="3"/>
        <v>13.185</v>
      </c>
      <c r="K19" s="48">
        <v>4.5</v>
      </c>
      <c r="L19" s="45">
        <f t="shared" si="4"/>
        <v>59.332500000000003</v>
      </c>
    </row>
    <row r="20" spans="2:12" x14ac:dyDescent="0.3">
      <c r="B20" s="111">
        <v>10</v>
      </c>
      <c r="C20" s="111"/>
      <c r="D20" s="42">
        <v>0.5</v>
      </c>
      <c r="E20" s="49">
        <v>0</v>
      </c>
      <c r="F20" s="45">
        <f t="shared" si="0"/>
        <v>0</v>
      </c>
      <c r="G20" s="45">
        <f t="shared" si="1"/>
        <v>0</v>
      </c>
      <c r="H20" s="45">
        <f>D20*E20</f>
        <v>0</v>
      </c>
      <c r="I20" s="48">
        <v>5</v>
      </c>
      <c r="J20" s="45">
        <f t="shared" si="3"/>
        <v>0</v>
      </c>
      <c r="K20" s="48">
        <v>5</v>
      </c>
      <c r="L20" s="45">
        <f t="shared" si="4"/>
        <v>0</v>
      </c>
    </row>
    <row r="21" spans="2:12" x14ac:dyDescent="0.3">
      <c r="B21" s="115"/>
      <c r="C21" s="115"/>
      <c r="D21" s="115"/>
      <c r="E21" s="115"/>
      <c r="F21" s="115"/>
      <c r="G21" s="22">
        <f>SUM(G6:G20)</f>
        <v>3093.6926639019466</v>
      </c>
      <c r="H21" s="22">
        <f>SUM(H6:H20)</f>
        <v>125.15055000000001</v>
      </c>
      <c r="I21" s="22"/>
      <c r="J21" s="22">
        <f>SUM(J6:J20)</f>
        <v>10.811649999999997</v>
      </c>
      <c r="K21" s="22"/>
      <c r="L21" s="22">
        <f>SUM(L6:L20)</f>
        <v>682.0452499999999</v>
      </c>
    </row>
    <row r="22" spans="2:12" x14ac:dyDescent="0.3">
      <c r="B22" s="37"/>
      <c r="C22" s="37"/>
      <c r="D22" s="37"/>
      <c r="E22" s="37"/>
      <c r="F22" s="37"/>
      <c r="G22" s="36"/>
      <c r="H22" s="36"/>
      <c r="I22" s="36"/>
      <c r="J22" s="36"/>
      <c r="K22" s="36"/>
      <c r="L22" s="36"/>
    </row>
    <row r="23" spans="2:12" x14ac:dyDescent="0.3">
      <c r="B23" s="114" t="s">
        <v>40</v>
      </c>
      <c r="C23" s="114"/>
      <c r="D23" s="114"/>
      <c r="E23" s="39">
        <f>(1/3)*(1/3)*2*6.455*(G21/'WL 1 Displacement'!O27)</f>
        <v>10.921209468914533</v>
      </c>
      <c r="F23" s="21"/>
      <c r="G23" s="114" t="s">
        <v>41</v>
      </c>
      <c r="H23" s="114"/>
      <c r="I23" s="114"/>
      <c r="J23" s="39">
        <f>(1/3)*2*L21*(6.455)^3</f>
        <v>122295.55419799896</v>
      </c>
      <c r="K23" s="16" t="s">
        <v>42</v>
      </c>
      <c r="L23" s="16"/>
    </row>
    <row r="24" spans="2:12" x14ac:dyDescent="0.3">
      <c r="B24" s="114" t="s">
        <v>61</v>
      </c>
      <c r="C24" s="114"/>
      <c r="D24" s="114"/>
      <c r="E24" s="39">
        <f>(1/3)*6.455*2*H21</f>
        <v>538.56453349999992</v>
      </c>
      <c r="F24" s="21"/>
      <c r="G24" s="114" t="s">
        <v>44</v>
      </c>
      <c r="H24" s="114"/>
      <c r="I24" s="114"/>
      <c r="J24" s="39">
        <f>J23-(E24*(E25)^2)</f>
        <v>122128.07970399024</v>
      </c>
      <c r="K24" s="16" t="s">
        <v>42</v>
      </c>
      <c r="L24" s="16"/>
    </row>
    <row r="25" spans="2:12" x14ac:dyDescent="0.3">
      <c r="B25" s="114" t="s">
        <v>53</v>
      </c>
      <c r="C25" s="114"/>
      <c r="D25" s="114"/>
      <c r="E25" s="39">
        <f>(6.455*J21)/H21</f>
        <v>0.55764198199688275</v>
      </c>
      <c r="F25" s="21"/>
      <c r="G25" s="114" t="s">
        <v>46</v>
      </c>
      <c r="H25" s="114"/>
      <c r="I25" s="114"/>
      <c r="J25" s="39">
        <f>J24/'WL 1 Displacement'!O27</f>
        <v>300.55597433287693</v>
      </c>
      <c r="K25" s="26"/>
      <c r="L25" s="16"/>
    </row>
    <row r="26" spans="2:12" x14ac:dyDescent="0.3">
      <c r="B26" s="114" t="s">
        <v>47</v>
      </c>
      <c r="C26" s="114"/>
      <c r="D26" s="114"/>
      <c r="E26" s="39">
        <f>E24/100</f>
        <v>5.3856453349999995</v>
      </c>
      <c r="F26" s="21"/>
      <c r="G26" s="114" t="s">
        <v>48</v>
      </c>
      <c r="H26" s="114"/>
      <c r="I26" s="114"/>
      <c r="J26" s="39">
        <f>('WL 1 Displacement'!O27*J25)/(100*65.74)</f>
        <v>18.577438348644701</v>
      </c>
      <c r="K26" s="26"/>
      <c r="L26" s="16"/>
    </row>
    <row r="27" spans="2:12" x14ac:dyDescent="0.3">
      <c r="B27" s="15"/>
      <c r="C27" s="15"/>
      <c r="D27" s="15"/>
      <c r="E27" s="15"/>
      <c r="F27" s="21"/>
      <c r="G27" s="92"/>
      <c r="H27" s="92"/>
      <c r="I27" s="92"/>
      <c r="J27" s="92"/>
      <c r="K27" s="26"/>
      <c r="L27" s="86"/>
    </row>
    <row r="28" spans="2:12" x14ac:dyDescent="0.3"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</row>
  </sheetData>
  <mergeCells count="30">
    <mergeCell ref="G26:I26"/>
    <mergeCell ref="B24:D24"/>
    <mergeCell ref="G24:I24"/>
    <mergeCell ref="B25:D25"/>
    <mergeCell ref="G25:I25"/>
    <mergeCell ref="B26:D26"/>
    <mergeCell ref="G23:I23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F21"/>
    <mergeCell ref="B23:D23"/>
    <mergeCell ref="B2:L3"/>
    <mergeCell ref="B11:C11"/>
    <mergeCell ref="B4:C5"/>
    <mergeCell ref="D4:D5"/>
    <mergeCell ref="E4:E5"/>
    <mergeCell ref="F4:G4"/>
    <mergeCell ref="H4:L4"/>
    <mergeCell ref="B6:C6"/>
    <mergeCell ref="B7:C7"/>
    <mergeCell ref="B8:C8"/>
    <mergeCell ref="B9:C9"/>
    <mergeCell ref="B10:C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Offset Table</vt:lpstr>
      <vt:lpstr>WL 4 Displacement</vt:lpstr>
      <vt:lpstr>WL 4 Metacenter</vt:lpstr>
      <vt:lpstr>WL 3 Displacement</vt:lpstr>
      <vt:lpstr>WL 3 Metacenter</vt:lpstr>
      <vt:lpstr>WL 2 Displacement</vt:lpstr>
      <vt:lpstr>WL 2 Metacenter</vt:lpstr>
      <vt:lpstr>WL 1 Displacement</vt:lpstr>
      <vt:lpstr>WL 1 Metacenter</vt:lpstr>
      <vt:lpstr>Summary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2022-06-10T21:06:29Z</dcterms:created>
  <dcterms:modified xsi:type="dcterms:W3CDTF">2022-07-16T06:55:34Z</dcterms:modified>
</cp:coreProperties>
</file>