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L3-T2\Sessional\NAME 338\Lecture Files\Presentation 3\Presentation 3\"/>
    </mc:Choice>
  </mc:AlternateContent>
  <xr:revisionPtr revIDLastSave="0" documentId="13_ncr:1_{1904F17D-E605-4336-A293-F1C390CA0053}" xr6:coauthVersionLast="47" xr6:coauthVersionMax="47" xr10:uidLastSave="{00000000-0000-0000-0000-000000000000}"/>
  <bookViews>
    <workbookView xWindow="-108" yWindow="-108" windowWidth="23256" windowHeight="12576" xr2:uid="{E4744DA7-7F27-4D1B-AB7D-3647674D2A2E}"/>
  </bookViews>
  <sheets>
    <sheet name="Resistance &amp; Power Calculation" sheetId="4" r:id="rId1"/>
    <sheet name="Sheet1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5" i="4" l="1"/>
  <c r="E198" i="4"/>
  <c r="E181" i="4" l="1"/>
  <c r="E211" i="4" s="1"/>
  <c r="E146" i="4"/>
  <c r="E162" i="4" s="1"/>
  <c r="E166" i="4" s="1"/>
  <c r="E167" i="4" s="1"/>
  <c r="E153" i="4" l="1"/>
  <c r="E183" i="4"/>
  <c r="E184" i="4" l="1"/>
  <c r="E213" i="4"/>
  <c r="E63" i="4"/>
  <c r="D95" i="4" s="1"/>
  <c r="D99" i="4" s="1"/>
  <c r="D23" i="4"/>
  <c r="D26" i="4" s="1"/>
  <c r="E214" i="4" l="1"/>
  <c r="D91" i="4"/>
  <c r="E65" i="4" s="1"/>
  <c r="D34" i="4" l="1"/>
  <c r="D29" i="4"/>
  <c r="D25" i="4"/>
  <c r="D22" i="4"/>
  <c r="D24" i="4" s="1"/>
  <c r="D27" i="4" l="1"/>
  <c r="E240" i="4"/>
  <c r="D123" i="4"/>
  <c r="E60" i="4"/>
  <c r="E58" i="4"/>
  <c r="E54" i="4"/>
  <c r="E51" i="4"/>
  <c r="E45" i="4"/>
  <c r="E46" i="4" s="1"/>
  <c r="E42" i="4"/>
  <c r="E43" i="4" s="1"/>
  <c r="E40" i="4"/>
  <c r="D32" i="4"/>
  <c r="D31" i="4"/>
  <c r="D30" i="4"/>
  <c r="E56" i="4"/>
  <c r="D17" i="4"/>
  <c r="D35" i="4" s="1"/>
  <c r="E57" i="4" l="1"/>
  <c r="D103" i="4"/>
  <c r="E41" i="4"/>
  <c r="E44" i="4" s="1"/>
  <c r="E150" i="4" s="1"/>
  <c r="E152" i="4" s="1"/>
  <c r="E47" i="4"/>
  <c r="E49" i="4" s="1"/>
  <c r="E66" i="4"/>
  <c r="D119" i="4" s="1"/>
  <c r="E156" i="4" l="1"/>
  <c r="E182" i="4"/>
  <c r="E252" i="4" s="1"/>
  <c r="E53" i="4"/>
  <c r="D107" i="4" s="1"/>
  <c r="E76" i="4"/>
  <c r="E75" i="4"/>
  <c r="E74" i="4"/>
  <c r="E73" i="4"/>
  <c r="E72" i="4"/>
  <c r="E242" i="4"/>
  <c r="D115" i="4"/>
  <c r="E157" i="4" l="1"/>
  <c r="E229" i="4"/>
  <c r="E194" i="4"/>
  <c r="E225" i="4"/>
  <c r="E212" i="4"/>
  <c r="E241" i="4" s="1"/>
  <c r="E77" i="4"/>
  <c r="E251" i="4"/>
  <c r="E190" i="4"/>
  <c r="E222" i="4"/>
  <c r="E250" i="4"/>
  <c r="E221" i="4"/>
  <c r="E191" i="4"/>
  <c r="E249" i="4"/>
  <c r="E248" i="4"/>
  <c r="E193" i="4"/>
  <c r="E243" i="4"/>
  <c r="E192" i="4"/>
  <c r="E224" i="4"/>
  <c r="E223" i="4"/>
  <c r="E80" i="4" l="1"/>
  <c r="D111" i="4" s="1"/>
  <c r="D127" i="4" s="1"/>
  <c r="E199" i="4"/>
  <c r="E200" i="4" s="1"/>
  <c r="E230" i="4"/>
  <c r="E257" i="4"/>
  <c r="E258" i="4" s="1"/>
  <c r="E148" i="4" l="1"/>
  <c r="E160" i="4"/>
  <c r="E169" i="4" s="1"/>
  <c r="D131" i="4"/>
  <c r="E210" i="4" l="1"/>
  <c r="D225" i="4" s="1"/>
  <c r="E239" i="4"/>
  <c r="D250" i="4" s="1"/>
  <c r="E180" i="4"/>
  <c r="D194" i="4" s="1"/>
  <c r="E159" i="4"/>
  <c r="D223" i="4"/>
  <c r="D222" i="4"/>
  <c r="D221" i="4"/>
  <c r="D224" i="4"/>
  <c r="D191" i="4"/>
  <c r="D190" i="4"/>
  <c r="D192" i="4"/>
  <c r="D193" i="4"/>
  <c r="D249" i="4" l="1"/>
  <c r="D248" i="4"/>
  <c r="D261" i="4"/>
  <c r="D263" i="4" s="1"/>
  <c r="D265" i="4" s="1"/>
  <c r="D267" i="4" s="1"/>
  <c r="D268" i="4" s="1"/>
  <c r="D269" i="4" s="1"/>
  <c r="D252" i="4"/>
  <c r="D251" i="4"/>
</calcChain>
</file>

<file path=xl/sharedStrings.xml><?xml version="1.0" encoding="utf-8"?>
<sst xmlns="http://schemas.openxmlformats.org/spreadsheetml/2006/main" count="285" uniqueCount="203">
  <si>
    <t xml:space="preserve"> </t>
  </si>
  <si>
    <t>An Approximate Power Prediction Method By J . Holtrop and G.G.J Mennen</t>
  </si>
  <si>
    <t>Parameters</t>
  </si>
  <si>
    <t>Length (LWL) , L</t>
  </si>
  <si>
    <t>m</t>
  </si>
  <si>
    <r>
      <t>L</t>
    </r>
    <r>
      <rPr>
        <b/>
        <vertAlign val="subscript"/>
        <sz val="14"/>
        <rFont val="Calibri"/>
        <family val="2"/>
        <scheme val="minor"/>
      </rPr>
      <t>BP</t>
    </r>
  </si>
  <si>
    <t>Breadth,B</t>
  </si>
  <si>
    <t>Draft,T</t>
  </si>
  <si>
    <t>Depth H</t>
  </si>
  <si>
    <t>Displacement,∆</t>
  </si>
  <si>
    <t>tonnes</t>
  </si>
  <si>
    <t>Water density, ρ</t>
  </si>
  <si>
    <r>
      <t>tonness/m</t>
    </r>
    <r>
      <rPr>
        <vertAlign val="superscript"/>
        <sz val="14"/>
        <color theme="1"/>
        <rFont val="Calibri"/>
        <family val="2"/>
        <scheme val="minor"/>
      </rPr>
      <t>3</t>
    </r>
  </si>
  <si>
    <t>Kinematic viscosity,ϑ</t>
  </si>
  <si>
    <r>
      <t>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/s</t>
    </r>
  </si>
  <si>
    <t>Volume of displacement,∇</t>
  </si>
  <si>
    <r>
      <t>m</t>
    </r>
    <r>
      <rPr>
        <vertAlign val="superscript"/>
        <sz val="14"/>
        <color theme="1"/>
        <rFont val="Calibri"/>
        <family val="2"/>
        <scheme val="minor"/>
      </rPr>
      <t>3</t>
    </r>
  </si>
  <si>
    <r>
      <t>Block coefficient,C</t>
    </r>
    <r>
      <rPr>
        <b/>
        <vertAlign val="subscript"/>
        <sz val="14"/>
        <rFont val="Calibri"/>
        <family val="2"/>
        <scheme val="minor"/>
      </rPr>
      <t>B</t>
    </r>
  </si>
  <si>
    <r>
      <t>Midship section coefficient,C</t>
    </r>
    <r>
      <rPr>
        <b/>
        <vertAlign val="subscript"/>
        <sz val="14"/>
        <rFont val="Calibri"/>
        <family val="2"/>
        <scheme val="minor"/>
      </rPr>
      <t>M</t>
    </r>
  </si>
  <si>
    <r>
      <t>Waterplane Area Coefficient,C</t>
    </r>
    <r>
      <rPr>
        <b/>
        <vertAlign val="subscript"/>
        <sz val="14"/>
        <rFont val="Calibri"/>
        <family val="2"/>
        <scheme val="minor"/>
      </rPr>
      <t>wp</t>
    </r>
  </si>
  <si>
    <r>
      <t>Prismatic coefficient,C</t>
    </r>
    <r>
      <rPr>
        <b/>
        <vertAlign val="subscript"/>
        <sz val="14"/>
        <rFont val="Calibri"/>
        <family val="2"/>
        <scheme val="minor"/>
      </rPr>
      <t>P</t>
    </r>
  </si>
  <si>
    <t>Length-breadth ratio,L/B</t>
  </si>
  <si>
    <t>Length-draft ratio,L/T</t>
  </si>
  <si>
    <t>Breadth-length ratio,B/L</t>
  </si>
  <si>
    <t>Breadth-draft ratio,B/T</t>
  </si>
  <si>
    <t>Draft-length ratio,T/L</t>
  </si>
  <si>
    <t>Draft-breadth ratio,T/B</t>
  </si>
  <si>
    <t>Speed,V</t>
  </si>
  <si>
    <t>knot</t>
  </si>
  <si>
    <r>
      <t>L/L</t>
    </r>
    <r>
      <rPr>
        <b/>
        <vertAlign val="subscript"/>
        <sz val="14"/>
        <color theme="1"/>
        <rFont val="Calibri"/>
        <family val="2"/>
        <scheme val="minor"/>
      </rPr>
      <t>PP</t>
    </r>
  </si>
  <si>
    <r>
      <t>B/L</t>
    </r>
    <r>
      <rPr>
        <b/>
        <vertAlign val="subscript"/>
        <sz val="14"/>
        <rFont val="Calibri"/>
        <family val="2"/>
        <scheme val="minor"/>
      </rPr>
      <t>PP</t>
    </r>
  </si>
  <si>
    <r>
      <t>H/L</t>
    </r>
    <r>
      <rPr>
        <b/>
        <vertAlign val="subscript"/>
        <sz val="14"/>
        <rFont val="Calibri"/>
        <family val="2"/>
        <scheme val="minor"/>
      </rPr>
      <t>PP</t>
    </r>
  </si>
  <si>
    <t>H/T</t>
  </si>
  <si>
    <t>LCB (from midship)</t>
  </si>
  <si>
    <t>LCB/L</t>
  </si>
  <si>
    <r>
      <t>L</t>
    </r>
    <r>
      <rPr>
        <b/>
        <vertAlign val="superscript"/>
        <sz val="14"/>
        <color rgb="FF000000"/>
        <rFont val="Calibri"/>
        <family val="2"/>
        <scheme val="minor"/>
      </rPr>
      <t>3</t>
    </r>
    <r>
      <rPr>
        <b/>
        <sz val="14"/>
        <color rgb="FF000000"/>
        <rFont val="Calibri"/>
        <family val="2"/>
        <scheme val="minor"/>
      </rPr>
      <t>/∇</t>
    </r>
  </si>
  <si>
    <t>Resistance Calculation</t>
  </si>
  <si>
    <t>C stern (U shape stern)</t>
  </si>
  <si>
    <t>Coefficient accounts for specific shape of afterbody</t>
  </si>
  <si>
    <r>
      <t>C</t>
    </r>
    <r>
      <rPr>
        <b/>
        <vertAlign val="subscript"/>
        <sz val="14"/>
        <color theme="1"/>
        <rFont val="Calibri"/>
        <family val="2"/>
        <scheme val="minor"/>
      </rPr>
      <t>13</t>
    </r>
  </si>
  <si>
    <r>
      <t>1+0.003C</t>
    </r>
    <r>
      <rPr>
        <vertAlign val="subscript"/>
        <sz val="14"/>
        <color theme="1"/>
        <rFont val="Calibri"/>
        <family val="2"/>
        <scheme val="minor"/>
      </rPr>
      <t>stern</t>
    </r>
  </si>
  <si>
    <r>
      <t>For normal section shape,C</t>
    </r>
    <r>
      <rPr>
        <b/>
        <vertAlign val="subscript"/>
        <sz val="14"/>
        <color rgb="FF000000"/>
        <rFont val="Calibri"/>
        <family val="2"/>
        <scheme val="minor"/>
      </rPr>
      <t xml:space="preserve">STERN   </t>
    </r>
    <r>
      <rPr>
        <b/>
        <sz val="14"/>
        <color rgb="FF000000"/>
        <rFont val="Calibri"/>
        <family val="2"/>
        <scheme val="minor"/>
      </rPr>
      <t>=</t>
    </r>
  </si>
  <si>
    <t xml:space="preserve">Coefficient </t>
  </si>
  <si>
    <r>
      <t>C</t>
    </r>
    <r>
      <rPr>
        <b/>
        <vertAlign val="subscript"/>
        <sz val="14"/>
        <color theme="1"/>
        <rFont val="Calibri"/>
        <family val="2"/>
        <scheme val="minor"/>
      </rPr>
      <t>12</t>
    </r>
  </si>
  <si>
    <t>(T/L)^0.2228446</t>
  </si>
  <si>
    <t>when T/L &gt; 0.05</t>
  </si>
  <si>
    <t>Longitudinal centre of buoyancy</t>
  </si>
  <si>
    <r>
      <t>L</t>
    </r>
    <r>
      <rPr>
        <b/>
        <vertAlign val="subscript"/>
        <sz val="14"/>
        <color theme="1"/>
        <rFont val="Calibri"/>
        <family val="2"/>
        <scheme val="minor"/>
      </rPr>
      <t>CB</t>
    </r>
  </si>
  <si>
    <t>1.5% of Length aft of amidship</t>
  </si>
  <si>
    <t>Parameter reflecting the length of the run</t>
  </si>
  <si>
    <r>
      <t>L</t>
    </r>
    <r>
      <rPr>
        <b/>
        <vertAlign val="subscript"/>
        <sz val="14"/>
        <color theme="1"/>
        <rFont val="Calibri"/>
        <family val="2"/>
        <scheme val="minor"/>
      </rPr>
      <t>R</t>
    </r>
  </si>
  <si>
    <r>
      <t>L{1-C</t>
    </r>
    <r>
      <rPr>
        <vertAlign val="sub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>+0.06C</t>
    </r>
    <r>
      <rPr>
        <vertAlign val="sub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>L</t>
    </r>
    <r>
      <rPr>
        <vertAlign val="subscript"/>
        <sz val="14"/>
        <color theme="1"/>
        <rFont val="Calibri"/>
        <family val="2"/>
        <scheme val="minor"/>
      </rPr>
      <t>CB</t>
    </r>
    <r>
      <rPr>
        <sz val="14"/>
        <color theme="1"/>
        <rFont val="Calibri"/>
        <family val="2"/>
        <scheme val="minor"/>
      </rPr>
      <t>/(4C</t>
    </r>
    <r>
      <rPr>
        <vertAlign val="sub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>-1)}</t>
    </r>
  </si>
  <si>
    <t>Form factor</t>
  </si>
  <si>
    <r>
      <t>1+k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</si>
  <si>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C</t>
    </r>
    <r>
      <rPr>
        <vertAlign val="subscript"/>
        <sz val="14"/>
        <color theme="1"/>
        <rFont val="Calibri"/>
        <family val="2"/>
        <scheme val="minor"/>
      </rPr>
      <t>13</t>
    </r>
    <r>
      <rPr>
        <sz val="14"/>
        <color theme="1"/>
        <rFont val="Calibri"/>
        <family val="2"/>
        <scheme val="minor"/>
      </rPr>
      <t>{0.93+C</t>
    </r>
    <r>
      <rPr>
        <vertAlign val="subscript"/>
        <sz val="14"/>
        <color theme="1"/>
        <rFont val="Calibri"/>
        <family val="2"/>
        <scheme val="minor"/>
      </rPr>
      <t>12</t>
    </r>
    <r>
      <rPr>
        <sz val="14"/>
        <color theme="1"/>
        <rFont val="Calibri"/>
        <family val="2"/>
        <scheme val="minor"/>
      </rPr>
      <t>(B/L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)</t>
    </r>
    <r>
      <rPr>
        <vertAlign val="superscript"/>
        <sz val="14"/>
        <color theme="1"/>
        <rFont val="Calibri"/>
        <family val="2"/>
        <scheme val="minor"/>
      </rPr>
      <t>0.92497</t>
    </r>
    <r>
      <rPr>
        <sz val="14"/>
        <color theme="1"/>
        <rFont val="Calibri"/>
        <family val="2"/>
        <scheme val="minor"/>
      </rPr>
      <t>(0.95-C</t>
    </r>
    <r>
      <rPr>
        <vertAlign val="sub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>)</t>
    </r>
    <r>
      <rPr>
        <vertAlign val="superscript"/>
        <sz val="14"/>
        <color theme="1"/>
        <rFont val="Calibri"/>
        <family val="2"/>
        <scheme val="minor"/>
      </rPr>
      <t>-0.521448</t>
    </r>
    <r>
      <rPr>
        <sz val="14"/>
        <color theme="1"/>
        <rFont val="Calibri"/>
        <family val="2"/>
        <scheme val="minor"/>
      </rPr>
      <t>(1-C</t>
    </r>
    <r>
      <rPr>
        <vertAlign val="sub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>+0.0225L</t>
    </r>
    <r>
      <rPr>
        <vertAlign val="subscript"/>
        <sz val="14"/>
        <color theme="1"/>
        <rFont val="Calibri"/>
        <family val="2"/>
        <scheme val="minor"/>
      </rPr>
      <t>CB</t>
    </r>
    <r>
      <rPr>
        <sz val="14"/>
        <color theme="1"/>
        <rFont val="Calibri"/>
        <family val="2"/>
        <scheme val="minor"/>
      </rPr>
      <t>)</t>
    </r>
    <r>
      <rPr>
        <vertAlign val="superscript"/>
        <sz val="14"/>
        <color theme="1"/>
        <rFont val="Calibri"/>
        <family val="2"/>
        <scheme val="minor"/>
      </rPr>
      <t>0.6906</t>
    </r>
    <r>
      <rPr>
        <sz val="14"/>
        <color theme="1"/>
        <rFont val="Calibri"/>
        <family val="2"/>
        <scheme val="minor"/>
      </rPr>
      <t>}</t>
    </r>
  </si>
  <si>
    <t>Waterplane area co-efficient</t>
  </si>
  <si>
    <r>
      <t>C</t>
    </r>
    <r>
      <rPr>
        <b/>
        <vertAlign val="subscript"/>
        <sz val="14"/>
        <color theme="1"/>
        <rFont val="Calibri"/>
        <family val="2"/>
        <scheme val="minor"/>
      </rPr>
      <t>WP</t>
    </r>
  </si>
  <si>
    <t>FROM hydrostatics</t>
  </si>
  <si>
    <t>Wetted area of the hull</t>
  </si>
  <si>
    <t>S</t>
  </si>
  <si>
    <r>
      <t>L(2T+B)√C</t>
    </r>
    <r>
      <rPr>
        <vertAlign val="subscript"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>(0.453+0.4425C</t>
    </r>
    <r>
      <rPr>
        <vertAlign val="subscript"/>
        <sz val="14"/>
        <color theme="1"/>
        <rFont val="Calibri"/>
        <family val="2"/>
        <scheme val="minor"/>
      </rPr>
      <t>B</t>
    </r>
    <r>
      <rPr>
        <sz val="14"/>
        <color theme="1"/>
        <rFont val="Calibri"/>
        <family val="2"/>
        <scheme val="minor"/>
      </rPr>
      <t>-0.2862C</t>
    </r>
    <r>
      <rPr>
        <vertAlign val="subscript"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>-0.003467 B/T +0.3696C</t>
    </r>
    <r>
      <rPr>
        <vertAlign val="subscript"/>
        <sz val="14"/>
        <color theme="1"/>
        <rFont val="Calibri"/>
        <family val="2"/>
        <scheme val="minor"/>
      </rPr>
      <t>WP</t>
    </r>
    <r>
      <rPr>
        <sz val="14"/>
        <color theme="1"/>
        <rFont val="Calibri"/>
        <family val="2"/>
        <scheme val="minor"/>
      </rPr>
      <t>)+2.38A</t>
    </r>
    <r>
      <rPr>
        <vertAlign val="subscript"/>
        <sz val="14"/>
        <color theme="1"/>
        <rFont val="Calibri"/>
        <family val="2"/>
        <scheme val="minor"/>
      </rPr>
      <t>BT</t>
    </r>
    <r>
      <rPr>
        <sz val="14"/>
        <color theme="1"/>
        <rFont val="Calibri"/>
        <family val="2"/>
        <scheme val="minor"/>
      </rPr>
      <t>/C</t>
    </r>
    <r>
      <rPr>
        <vertAlign val="subscript"/>
        <sz val="14"/>
        <color theme="1"/>
        <rFont val="Calibri"/>
        <family val="2"/>
        <scheme val="minor"/>
      </rPr>
      <t>B</t>
    </r>
  </si>
  <si>
    <r>
      <t>Taking A</t>
    </r>
    <r>
      <rPr>
        <vertAlign val="subscript"/>
        <sz val="14"/>
        <color theme="1"/>
        <rFont val="Calibri"/>
        <family val="2"/>
        <scheme val="minor"/>
      </rPr>
      <t>BT</t>
    </r>
    <r>
      <rPr>
        <sz val="14"/>
        <color theme="1"/>
        <rFont val="Calibri"/>
        <family val="2"/>
        <scheme val="minor"/>
      </rPr>
      <t xml:space="preserve"> as zero</t>
    </r>
  </si>
  <si>
    <t>Coefficient</t>
  </si>
  <si>
    <r>
      <t>C</t>
    </r>
    <r>
      <rPr>
        <b/>
        <vertAlign val="subscript"/>
        <sz val="14"/>
        <color theme="1"/>
        <rFont val="Calibri"/>
        <family val="2"/>
        <scheme val="minor"/>
      </rPr>
      <t>7</t>
    </r>
  </si>
  <si>
    <t>B/L</t>
  </si>
  <si>
    <t>For .11&lt; B/L &lt;.25</t>
  </si>
  <si>
    <t>Half angle of entrance</t>
  </si>
  <si>
    <r>
      <t>i</t>
    </r>
    <r>
      <rPr>
        <b/>
        <vertAlign val="subscript"/>
        <sz val="14"/>
        <color theme="1"/>
        <rFont val="Calibri"/>
        <family val="2"/>
        <scheme val="minor"/>
      </rPr>
      <t>E</t>
    </r>
  </si>
  <si>
    <t xml:space="preserve">From Lines Plan  </t>
  </si>
  <si>
    <r>
      <t>C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</si>
  <si>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2223105 c</t>
    </r>
    <r>
      <rPr>
        <vertAlign val="subscript"/>
        <sz val="14"/>
        <color theme="1"/>
        <rFont val="Calibri"/>
        <family val="2"/>
        <scheme val="minor"/>
      </rPr>
      <t>7</t>
    </r>
    <r>
      <rPr>
        <vertAlign val="superscript"/>
        <sz val="14"/>
        <color theme="1"/>
        <rFont val="Calibri"/>
        <family val="2"/>
        <scheme val="minor"/>
      </rPr>
      <t>3.78613</t>
    </r>
    <r>
      <rPr>
        <sz val="14"/>
        <color theme="1"/>
        <rFont val="Calibri"/>
        <family val="2"/>
        <scheme val="minor"/>
      </rPr>
      <t xml:space="preserve"> (T/B)</t>
    </r>
    <r>
      <rPr>
        <vertAlign val="superscript"/>
        <sz val="14"/>
        <color theme="1"/>
        <rFont val="Calibri"/>
        <family val="2"/>
        <scheme val="minor"/>
      </rPr>
      <t>1.07961</t>
    </r>
    <r>
      <rPr>
        <sz val="14"/>
        <color theme="1"/>
        <rFont val="Calibri"/>
        <family val="2"/>
        <scheme val="minor"/>
      </rPr>
      <t>(90-i</t>
    </r>
    <r>
      <rPr>
        <vertAlign val="subscript"/>
        <sz val="14"/>
        <color theme="1"/>
        <rFont val="Calibri"/>
        <family val="2"/>
        <scheme val="minor"/>
      </rPr>
      <t>E</t>
    </r>
    <r>
      <rPr>
        <sz val="14"/>
        <color theme="1"/>
        <rFont val="Calibri"/>
        <family val="2"/>
        <scheme val="minor"/>
      </rPr>
      <t>)</t>
    </r>
    <r>
      <rPr>
        <vertAlign val="superscript"/>
        <sz val="14"/>
        <color theme="1"/>
        <rFont val="Calibri"/>
        <family val="2"/>
        <scheme val="minor"/>
      </rPr>
      <t>-1.37565</t>
    </r>
  </si>
  <si>
    <r>
      <t>A</t>
    </r>
    <r>
      <rPr>
        <b/>
        <vertAlign val="subscript"/>
        <sz val="14"/>
        <color theme="1"/>
        <rFont val="Calibri"/>
        <family val="2"/>
        <scheme val="minor"/>
      </rPr>
      <t>T</t>
    </r>
  </si>
  <si>
    <t>A parameter which expresses the influence ofa transom stern on the wave resistance</t>
  </si>
  <si>
    <r>
      <t>C</t>
    </r>
    <r>
      <rPr>
        <b/>
        <vertAlign val="subscript"/>
        <sz val="14"/>
        <color theme="1"/>
        <rFont val="Calibri"/>
        <family val="2"/>
        <scheme val="minor"/>
      </rPr>
      <t>5</t>
    </r>
  </si>
  <si>
    <r>
      <t xml:space="preserve"> 1-0.48 A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/(BTC</t>
    </r>
    <r>
      <rPr>
        <vertAlign val="subscript"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>)</t>
    </r>
  </si>
  <si>
    <t>A parameter which accounts for the reduction of the wave resistance due to the action of bulbous bow</t>
  </si>
  <si>
    <r>
      <t>C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</si>
  <si>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exp(−1.89√c</t>
    </r>
    <r>
      <rPr>
        <vertAlign val="sub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)</t>
    </r>
  </si>
  <si>
    <r>
      <t>Since C</t>
    </r>
    <r>
      <rPr>
        <vertAlign val="sub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 = 0 due to A</t>
    </r>
    <r>
      <rPr>
        <vertAlign val="subscript"/>
        <sz val="14"/>
        <color theme="1"/>
        <rFont val="Calibri"/>
        <family val="2"/>
        <scheme val="minor"/>
      </rPr>
      <t>BT</t>
    </r>
    <r>
      <rPr>
        <sz val="14"/>
        <color theme="1"/>
        <rFont val="Calibri"/>
        <family val="2"/>
        <scheme val="minor"/>
      </rPr>
      <t>=0</t>
    </r>
  </si>
  <si>
    <t>Parameter</t>
  </si>
  <si>
    <r>
      <t>m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</si>
  <si>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0.0140407 L/T - 1.75254 ∇</t>
    </r>
    <r>
      <rPr>
        <vertAlign val="superscript"/>
        <sz val="14"/>
        <color theme="1"/>
        <rFont val="Calibri"/>
        <family val="2"/>
        <scheme val="minor"/>
      </rPr>
      <t>1/3</t>
    </r>
    <r>
      <rPr>
        <sz val="14"/>
        <color theme="1"/>
        <rFont val="Calibri"/>
        <family val="2"/>
        <scheme val="minor"/>
      </rPr>
      <t>/L - 4.79323B/L- c</t>
    </r>
    <r>
      <rPr>
        <vertAlign val="subscript"/>
        <sz val="14"/>
        <color theme="1"/>
        <rFont val="Calibri"/>
        <family val="2"/>
        <scheme val="minor"/>
      </rPr>
      <t>16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</si>
  <si>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16</t>
    </r>
  </si>
  <si>
    <r>
      <t>8.07981C</t>
    </r>
    <r>
      <rPr>
        <vertAlign val="sub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>-13.8673C</t>
    </r>
    <r>
      <rPr>
        <vertAlign val="subscript"/>
        <sz val="14"/>
        <color theme="1"/>
        <rFont val="Calibri"/>
        <family val="2"/>
        <scheme val="minor"/>
      </rPr>
      <t>P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+6.984388C</t>
    </r>
    <r>
      <rPr>
        <vertAlign val="subscript"/>
        <sz val="14"/>
        <color theme="1"/>
        <rFont val="Calibri"/>
        <family val="2"/>
        <scheme val="minor"/>
      </rPr>
      <t>P</t>
    </r>
    <r>
      <rPr>
        <vertAlign val="superscript"/>
        <sz val="14"/>
        <color theme="1"/>
        <rFont val="Calibri"/>
        <family val="2"/>
        <scheme val="minor"/>
      </rPr>
      <t>3</t>
    </r>
  </si>
  <si>
    <t>for Cp&lt;0.8</t>
  </si>
  <si>
    <r>
      <t>C</t>
    </r>
    <r>
      <rPr>
        <b/>
        <vertAlign val="subscript"/>
        <sz val="14"/>
        <color theme="1"/>
        <rFont val="Calibri"/>
        <family val="2"/>
        <scheme val="minor"/>
      </rPr>
      <t>15</t>
    </r>
  </si>
  <si>
    <r>
      <t>L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/∇ &lt; 512</t>
    </r>
  </si>
  <si>
    <t>λ</t>
  </si>
  <si>
    <r>
      <t>1.446C</t>
    </r>
    <r>
      <rPr>
        <vertAlign val="sub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>-0.03 L/B</t>
    </r>
  </si>
  <si>
    <t>for L/B &lt;12</t>
  </si>
  <si>
    <t>The wetted area of the appendages</t>
  </si>
  <si>
    <r>
      <t>S</t>
    </r>
    <r>
      <rPr>
        <b/>
        <vertAlign val="subscript"/>
        <sz val="14"/>
        <color theme="1"/>
        <rFont val="Calibri"/>
        <family val="2"/>
        <scheme val="minor"/>
      </rPr>
      <t>APP</t>
    </r>
  </si>
  <si>
    <t>Increase in the correlation allowance coefficient</t>
  </si>
  <si>
    <r>
      <t>∆C</t>
    </r>
    <r>
      <rPr>
        <b/>
        <vertAlign val="subscript"/>
        <sz val="14"/>
        <color theme="1"/>
        <rFont val="Calibri"/>
        <family val="2"/>
        <scheme val="minor"/>
      </rPr>
      <t>A</t>
    </r>
  </si>
  <si>
    <r>
      <t>(0.105k</t>
    </r>
    <r>
      <rPr>
        <vertAlign val="subscript"/>
        <sz val="14"/>
        <color theme="1"/>
        <rFont val="Calibri"/>
        <family val="2"/>
        <scheme val="minor"/>
      </rPr>
      <t>s</t>
    </r>
    <r>
      <rPr>
        <vertAlign val="superscript"/>
        <sz val="14"/>
        <color theme="1"/>
        <rFont val="Calibri"/>
        <family val="2"/>
        <scheme val="minor"/>
      </rPr>
      <t>1/3</t>
    </r>
    <r>
      <rPr>
        <sz val="14"/>
        <color theme="1"/>
        <rFont val="Calibri"/>
        <family val="2"/>
        <scheme val="minor"/>
      </rPr>
      <t>-0.005579)/L</t>
    </r>
    <r>
      <rPr>
        <vertAlign val="superscript"/>
        <sz val="14"/>
        <color theme="1"/>
        <rFont val="Calibri"/>
        <family val="2"/>
        <scheme val="minor"/>
      </rPr>
      <t>1/3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</si>
  <si>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4</t>
    </r>
  </si>
  <si>
    <t>for T/L &gt; 0.04</t>
  </si>
  <si>
    <t>The correlation allowance coefficient</t>
  </si>
  <si>
    <r>
      <t>C</t>
    </r>
    <r>
      <rPr>
        <b/>
        <vertAlign val="subscript"/>
        <sz val="14"/>
        <color theme="1"/>
        <rFont val="Calibri"/>
        <family val="2"/>
        <scheme val="minor"/>
      </rPr>
      <t>A</t>
    </r>
  </si>
  <si>
    <r>
      <t>0.006 (L+100)</t>
    </r>
    <r>
      <rPr>
        <vertAlign val="superscript"/>
        <sz val="14"/>
        <color theme="1"/>
        <rFont val="Calibri"/>
        <family val="2"/>
        <scheme val="minor"/>
      </rPr>
      <t>-0.16</t>
    </r>
    <r>
      <rPr>
        <sz val="14"/>
        <color theme="1"/>
        <rFont val="Calibri"/>
        <family val="2"/>
        <scheme val="minor"/>
      </rPr>
      <t>- 0.00205 + 0.003 √(L/7.5) C</t>
    </r>
    <r>
      <rPr>
        <vertAlign val="subscript"/>
        <sz val="14"/>
        <color theme="1"/>
        <rFont val="Calibri"/>
        <family val="2"/>
        <scheme val="minor"/>
      </rPr>
      <t>B</t>
    </r>
    <r>
      <rPr>
        <vertAlign val="superscript"/>
        <sz val="14"/>
        <color theme="1"/>
        <rFont val="Calibri"/>
        <family val="2"/>
        <scheme val="minor"/>
      </rPr>
      <t>4</t>
    </r>
    <r>
      <rPr>
        <sz val="14"/>
        <color theme="1"/>
        <rFont val="Calibri"/>
        <family val="2"/>
        <scheme val="minor"/>
      </rPr>
      <t>c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(0.04-c</t>
    </r>
    <r>
      <rPr>
        <vertAlign val="subscript"/>
        <sz val="14"/>
        <color theme="1"/>
        <rFont val="Calibri"/>
        <family val="2"/>
        <scheme val="minor"/>
      </rPr>
      <t>4</t>
    </r>
    <r>
      <rPr>
        <sz val="14"/>
        <color theme="1"/>
        <rFont val="Calibri"/>
        <family val="2"/>
        <scheme val="minor"/>
      </rPr>
      <t>)</t>
    </r>
  </si>
  <si>
    <t>Additional pressure resistance of bulbous bow near the water surface</t>
  </si>
  <si>
    <r>
      <t>R</t>
    </r>
    <r>
      <rPr>
        <b/>
        <vertAlign val="subscript"/>
        <sz val="14"/>
        <color theme="1"/>
        <rFont val="Calibri"/>
        <family val="2"/>
        <scheme val="minor"/>
      </rPr>
      <t>B</t>
    </r>
  </si>
  <si>
    <t>No bulbous bow</t>
  </si>
  <si>
    <t>Fnt</t>
  </si>
  <si>
    <t>V/((2 x g x AT))/(B+B x CWP))^.5</t>
  </si>
  <si>
    <t>Speed</t>
  </si>
  <si>
    <t>m/s</t>
  </si>
  <si>
    <r>
      <t>C</t>
    </r>
    <r>
      <rPr>
        <b/>
        <vertAlign val="subscript"/>
        <sz val="14"/>
        <color theme="1"/>
        <rFont val="Calibri"/>
        <family val="2"/>
        <scheme val="minor"/>
      </rPr>
      <t>6</t>
    </r>
  </si>
  <si>
    <r>
      <t>m</t>
    </r>
    <r>
      <rPr>
        <b/>
        <vertAlign val="subscript"/>
        <sz val="14"/>
        <color theme="1"/>
        <rFont val="Calibri"/>
        <family val="2"/>
        <scheme val="minor"/>
      </rPr>
      <t>4</t>
    </r>
  </si>
  <si>
    <r>
      <rPr>
        <sz val="16"/>
        <color rgb="FF000000"/>
        <rFont val="Calibri"/>
        <family val="2"/>
        <scheme val="minor"/>
      </rPr>
      <t>c</t>
    </r>
    <r>
      <rPr>
        <vertAlign val="subscript"/>
        <sz val="16"/>
        <color rgb="FF000000"/>
        <rFont val="Calibri"/>
        <family val="2"/>
        <scheme val="minor"/>
      </rPr>
      <t>15</t>
    </r>
    <r>
      <rPr>
        <sz val="14"/>
        <color rgb="FF000000"/>
        <rFont val="Calibri"/>
        <family val="2"/>
        <scheme val="minor"/>
      </rPr>
      <t xml:space="preserve"> x</t>
    </r>
    <r>
      <rPr>
        <vertAlign val="subscript"/>
        <sz val="14"/>
        <color rgb="FF000000"/>
        <rFont val="Calibri"/>
        <family val="2"/>
        <scheme val="minor"/>
      </rPr>
      <t xml:space="preserve"> </t>
    </r>
    <r>
      <rPr>
        <sz val="14"/>
        <color rgb="FF000000"/>
        <rFont val="Calibri"/>
        <family val="2"/>
        <scheme val="minor"/>
      </rPr>
      <t>0.4.x exp (-0.034Fn</t>
    </r>
    <r>
      <rPr>
        <vertAlign val="superscript"/>
        <sz val="14"/>
        <color rgb="FF000000"/>
        <rFont val="Calibri"/>
        <family val="2"/>
        <scheme val="minor"/>
      </rPr>
      <t>-3.29</t>
    </r>
    <r>
      <rPr>
        <sz val="14"/>
        <color rgb="FF000000"/>
        <rFont val="Calibri"/>
        <family val="2"/>
        <scheme val="minor"/>
      </rPr>
      <t xml:space="preserve"> )</t>
    </r>
  </si>
  <si>
    <t>Additional pressure resistance of immersed transom stern</t>
  </si>
  <si>
    <r>
      <t>R</t>
    </r>
    <r>
      <rPr>
        <b/>
        <vertAlign val="subscript"/>
        <sz val="14"/>
        <color theme="1"/>
        <rFont val="Calibri"/>
        <family val="2"/>
        <scheme val="minor"/>
      </rPr>
      <t>TR</t>
    </r>
  </si>
  <si>
    <r>
      <t>0.5 ρ V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A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 xml:space="preserve">  C</t>
    </r>
    <r>
      <rPr>
        <vertAlign val="subscript"/>
        <sz val="14"/>
        <color theme="1"/>
        <rFont val="Calibri"/>
        <family val="2"/>
        <scheme val="minor"/>
      </rPr>
      <t>6</t>
    </r>
  </si>
  <si>
    <t>N</t>
  </si>
  <si>
    <t>For calculation of the equivalent appendage resistance factor</t>
  </si>
  <si>
    <t>We take appendage as</t>
  </si>
  <si>
    <r>
      <t>1+k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</si>
  <si>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 xml:space="preserve"> (1+k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)*S</t>
    </r>
    <r>
      <rPr>
        <b/>
        <vertAlign val="subscript"/>
        <sz val="14"/>
        <color theme="1"/>
        <rFont val="Calibri"/>
        <family val="2"/>
        <scheme val="minor"/>
      </rPr>
      <t>APP</t>
    </r>
  </si>
  <si>
    <t>Rudder behind Stern</t>
  </si>
  <si>
    <t>Twin Screw Balance Rudder</t>
  </si>
  <si>
    <t>Shaft Bracket</t>
  </si>
  <si>
    <t>Strut Bossing</t>
  </si>
  <si>
    <t>Shaft</t>
  </si>
  <si>
    <t>Total</t>
  </si>
  <si>
    <t>The equivalent appendage resistance factor</t>
  </si>
  <si>
    <r>
      <t>(1+k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  <r>
      <rPr>
        <b/>
        <vertAlign val="subscript"/>
        <sz val="14"/>
        <color theme="1"/>
        <rFont val="Calibri"/>
        <family val="2"/>
        <scheme val="minor"/>
      </rPr>
      <t>eq</t>
    </r>
  </si>
  <si>
    <r>
      <t>{Ʃ(1+k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)S</t>
    </r>
    <r>
      <rPr>
        <vertAlign val="subscript"/>
        <sz val="14"/>
        <color theme="1"/>
        <rFont val="Calibri"/>
        <family val="2"/>
        <scheme val="minor"/>
      </rPr>
      <t>APP</t>
    </r>
    <r>
      <rPr>
        <sz val="14"/>
        <color theme="1"/>
        <rFont val="Calibri"/>
        <family val="2"/>
        <scheme val="minor"/>
      </rPr>
      <t>}/ƩS</t>
    </r>
    <r>
      <rPr>
        <vertAlign val="subscript"/>
        <sz val="14"/>
        <color theme="1"/>
        <rFont val="Calibri"/>
        <family val="2"/>
        <scheme val="minor"/>
      </rPr>
      <t>APP</t>
    </r>
  </si>
  <si>
    <t>Data From Holtrop &amp; Mennen Method</t>
  </si>
  <si>
    <t>Froude number</t>
  </si>
  <si>
    <t>Reynold's number</t>
  </si>
  <si>
    <t>Rn = VL/ϑ</t>
  </si>
  <si>
    <t>Frictional resistance coefficient</t>
  </si>
  <si>
    <t>Frictional resistance(N)</t>
  </si>
  <si>
    <r>
      <t>R</t>
    </r>
    <r>
      <rPr>
        <b/>
        <vertAlign val="subscript"/>
        <sz val="14"/>
        <color theme="1"/>
        <rFont val="Calibri"/>
        <family val="2"/>
        <scheme val="minor"/>
      </rPr>
      <t>F</t>
    </r>
    <r>
      <rPr>
        <b/>
        <sz val="14"/>
        <color theme="1"/>
        <rFont val="Calibri"/>
        <family val="2"/>
        <scheme val="minor"/>
      </rPr>
      <t xml:space="preserve"> = 0.5ρSV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C</t>
    </r>
    <r>
      <rPr>
        <b/>
        <vertAlign val="subscript"/>
        <sz val="14"/>
        <color theme="1"/>
        <rFont val="Calibri"/>
        <family val="2"/>
        <scheme val="minor"/>
      </rPr>
      <t>F</t>
    </r>
  </si>
  <si>
    <t>WaveMaking resistance(N)</t>
  </si>
  <si>
    <r>
      <t>R</t>
    </r>
    <r>
      <rPr>
        <b/>
        <vertAlign val="subscript"/>
        <sz val="14"/>
        <color theme="1"/>
        <rFont val="Calibri"/>
        <family val="2"/>
        <scheme val="minor"/>
      </rPr>
      <t>w</t>
    </r>
    <r>
      <rPr>
        <b/>
        <sz val="14"/>
        <color theme="1"/>
        <rFont val="Calibri"/>
        <family val="2"/>
        <scheme val="minor"/>
      </rPr>
      <t xml:space="preserve"> = c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>c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c</t>
    </r>
    <r>
      <rPr>
        <b/>
        <vertAlign val="subscript"/>
        <sz val="14"/>
        <color theme="1"/>
        <rFont val="Calibri"/>
        <family val="2"/>
        <scheme val="minor"/>
      </rPr>
      <t>5</t>
    </r>
    <r>
      <rPr>
        <b/>
        <sz val="14"/>
        <color theme="1"/>
        <rFont val="Calibri"/>
        <family val="2"/>
        <scheme val="minor"/>
      </rPr>
      <t>∇ρg exp {m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>F</t>
    </r>
    <r>
      <rPr>
        <b/>
        <vertAlign val="subscript"/>
        <sz val="14"/>
        <color theme="1"/>
        <rFont val="Calibri"/>
        <family val="2"/>
        <scheme val="minor"/>
      </rPr>
      <t>n</t>
    </r>
    <r>
      <rPr>
        <b/>
        <vertAlign val="superscript"/>
        <sz val="14"/>
        <color theme="1"/>
        <rFont val="Calibri"/>
        <family val="2"/>
        <scheme val="minor"/>
      </rPr>
      <t>d</t>
    </r>
    <r>
      <rPr>
        <b/>
        <sz val="14"/>
        <color theme="1"/>
        <rFont val="Calibri"/>
        <family val="2"/>
        <scheme val="minor"/>
      </rPr>
      <t>+m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sz val="14"/>
        <color theme="1"/>
        <rFont val="Calibri"/>
        <family val="2"/>
        <scheme val="minor"/>
      </rPr>
      <t>cos(λFn</t>
    </r>
    <r>
      <rPr>
        <b/>
        <vertAlign val="superscript"/>
        <sz val="14"/>
        <color theme="1"/>
        <rFont val="Calibri"/>
        <family val="2"/>
        <scheme val="minor"/>
      </rPr>
      <t>-2</t>
    </r>
    <r>
      <rPr>
        <b/>
        <sz val="14"/>
        <color theme="1"/>
        <rFont val="Calibri"/>
        <family val="2"/>
        <scheme val="minor"/>
      </rPr>
      <t>)}</t>
    </r>
  </si>
  <si>
    <t>The appendage resistance(N)</t>
  </si>
  <si>
    <r>
      <t>R</t>
    </r>
    <r>
      <rPr>
        <b/>
        <vertAlign val="subscript"/>
        <sz val="14"/>
        <color theme="1"/>
        <rFont val="Calibri"/>
        <family val="2"/>
        <scheme val="minor"/>
      </rPr>
      <t>APP</t>
    </r>
    <r>
      <rPr>
        <b/>
        <sz val="14"/>
        <color theme="1"/>
        <rFont val="Calibri"/>
        <family val="2"/>
        <scheme val="minor"/>
      </rPr>
      <t xml:space="preserve"> = 0.5ρV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S</t>
    </r>
    <r>
      <rPr>
        <b/>
        <vertAlign val="subscript"/>
        <sz val="14"/>
        <color theme="1"/>
        <rFont val="Calibri"/>
        <family val="2"/>
        <scheme val="minor"/>
      </rPr>
      <t>APP</t>
    </r>
    <r>
      <rPr>
        <b/>
        <sz val="14"/>
        <color theme="1"/>
        <rFont val="Calibri"/>
        <family val="2"/>
        <scheme val="minor"/>
      </rPr>
      <t>(1+k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  <r>
      <rPr>
        <b/>
        <vertAlign val="subscript"/>
        <sz val="14"/>
        <color theme="1"/>
        <rFont val="Calibri"/>
        <family val="2"/>
        <scheme val="minor"/>
      </rPr>
      <t>eq</t>
    </r>
    <r>
      <rPr>
        <b/>
        <sz val="14"/>
        <color theme="1"/>
        <rFont val="Calibri"/>
        <family val="2"/>
        <scheme val="minor"/>
      </rPr>
      <t>C</t>
    </r>
    <r>
      <rPr>
        <b/>
        <vertAlign val="subscript"/>
        <sz val="14"/>
        <color theme="1"/>
        <rFont val="Calibri"/>
        <family val="2"/>
        <scheme val="minor"/>
      </rPr>
      <t>F</t>
    </r>
  </si>
  <si>
    <t>Model-ship correlation resistance(N)</t>
  </si>
  <si>
    <r>
      <t>R</t>
    </r>
    <r>
      <rPr>
        <b/>
        <vertAlign val="subscript"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 xml:space="preserve"> = 0.5ρV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SC</t>
    </r>
    <r>
      <rPr>
        <b/>
        <vertAlign val="subscript"/>
        <sz val="14"/>
        <color theme="1"/>
        <rFont val="Calibri"/>
        <family val="2"/>
        <scheme val="minor"/>
      </rPr>
      <t>A</t>
    </r>
  </si>
  <si>
    <t>Additional pressure resistance of immersed transom stern(N)</t>
  </si>
  <si>
    <r>
      <t>R</t>
    </r>
    <r>
      <rPr>
        <b/>
        <vertAlign val="subscript"/>
        <sz val="14"/>
        <color theme="1"/>
        <rFont val="Calibri"/>
        <family val="2"/>
        <scheme val="minor"/>
      </rPr>
      <t>TR</t>
    </r>
    <r>
      <rPr>
        <b/>
        <sz val="14"/>
        <color theme="1"/>
        <rFont val="Calibri"/>
        <family val="2"/>
        <scheme val="minor"/>
      </rPr>
      <t xml:space="preserve"> = 0.5ρV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A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C</t>
    </r>
    <r>
      <rPr>
        <b/>
        <vertAlign val="subscript"/>
        <sz val="14"/>
        <color theme="1"/>
        <rFont val="Calibri"/>
        <family val="2"/>
        <scheme val="minor"/>
      </rPr>
      <t>6</t>
    </r>
  </si>
  <si>
    <t>Resistance Due to Bulbous Bow</t>
  </si>
  <si>
    <t>Total resistance(N)</t>
  </si>
  <si>
    <r>
      <t>R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 = R</t>
    </r>
    <r>
      <rPr>
        <b/>
        <vertAlign val="subscript"/>
        <sz val="14"/>
        <color theme="1"/>
        <rFont val="Calibri"/>
        <family val="2"/>
        <scheme val="minor"/>
      </rPr>
      <t>F</t>
    </r>
    <r>
      <rPr>
        <b/>
        <sz val="14"/>
        <color theme="1"/>
        <rFont val="Calibri"/>
        <family val="2"/>
        <scheme val="minor"/>
      </rPr>
      <t>(1+k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>)+R</t>
    </r>
    <r>
      <rPr>
        <b/>
        <vertAlign val="subscript"/>
        <sz val="14"/>
        <color theme="1"/>
        <rFont val="Calibri"/>
        <family val="2"/>
        <scheme val="minor"/>
      </rPr>
      <t>APP</t>
    </r>
    <r>
      <rPr>
        <b/>
        <sz val="14"/>
        <color theme="1"/>
        <rFont val="Calibri"/>
        <family val="2"/>
        <scheme val="minor"/>
      </rPr>
      <t>+R</t>
    </r>
    <r>
      <rPr>
        <b/>
        <vertAlign val="subscript"/>
        <sz val="14"/>
        <color theme="1"/>
        <rFont val="Calibri"/>
        <family val="2"/>
        <scheme val="minor"/>
      </rPr>
      <t>W</t>
    </r>
    <r>
      <rPr>
        <b/>
        <sz val="14"/>
        <color theme="1"/>
        <rFont val="Calibri"/>
        <family val="2"/>
        <scheme val="minor"/>
      </rPr>
      <t>+R</t>
    </r>
    <r>
      <rPr>
        <b/>
        <vertAlign val="subscript"/>
        <sz val="14"/>
        <color theme="1"/>
        <rFont val="Calibri"/>
        <family val="2"/>
        <scheme val="minor"/>
      </rPr>
      <t>B</t>
    </r>
    <r>
      <rPr>
        <b/>
        <sz val="14"/>
        <color theme="1"/>
        <rFont val="Calibri"/>
        <family val="2"/>
        <scheme val="minor"/>
      </rPr>
      <t>+R</t>
    </r>
    <r>
      <rPr>
        <b/>
        <vertAlign val="subscript"/>
        <sz val="14"/>
        <color theme="1"/>
        <rFont val="Calibri"/>
        <family val="2"/>
        <scheme val="minor"/>
      </rPr>
      <t>TR</t>
    </r>
    <r>
      <rPr>
        <b/>
        <sz val="14"/>
        <color theme="1"/>
        <rFont val="Calibri"/>
        <family val="2"/>
        <scheme val="minor"/>
      </rPr>
      <t>+R</t>
    </r>
    <r>
      <rPr>
        <b/>
        <vertAlign val="subscript"/>
        <sz val="14"/>
        <color theme="1"/>
        <rFont val="Calibri"/>
        <family val="2"/>
        <scheme val="minor"/>
      </rPr>
      <t>A</t>
    </r>
  </si>
  <si>
    <t>Total resistance coefficient</t>
  </si>
  <si>
    <r>
      <t>C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 = R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/0.5ρSV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</si>
  <si>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t>Power Calculation</t>
  </si>
  <si>
    <t>Propeller Diameter, D = 0.6 * Draft</t>
  </si>
  <si>
    <r>
      <t>Effective Power, P</t>
    </r>
    <r>
      <rPr>
        <b/>
        <vertAlign val="subscript"/>
        <sz val="14"/>
        <color theme="1"/>
        <rFont val="Calibri"/>
        <family val="2"/>
        <scheme val="minor"/>
      </rPr>
      <t>E</t>
    </r>
    <r>
      <rPr>
        <b/>
        <sz val="14"/>
        <color theme="1"/>
        <rFont val="Calibri"/>
        <family val="2"/>
        <scheme val="minor"/>
      </rPr>
      <t xml:space="preserve"> = R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 x V</t>
    </r>
  </si>
  <si>
    <t>kW</t>
  </si>
  <si>
    <r>
      <t>C</t>
    </r>
    <r>
      <rPr>
        <b/>
        <vertAlign val="subscript"/>
        <sz val="14"/>
        <color theme="1"/>
        <rFont val="Calibri"/>
        <family val="2"/>
        <scheme val="minor"/>
      </rPr>
      <t>V</t>
    </r>
    <r>
      <rPr>
        <b/>
        <sz val="14"/>
        <color theme="1"/>
        <rFont val="Calibri"/>
        <family val="2"/>
        <scheme val="minor"/>
      </rPr>
      <t xml:space="preserve"> = (1+k)C</t>
    </r>
    <r>
      <rPr>
        <b/>
        <vertAlign val="subscript"/>
        <sz val="14"/>
        <color theme="1"/>
        <rFont val="Calibri"/>
        <family val="2"/>
        <scheme val="minor"/>
      </rPr>
      <t>F</t>
    </r>
    <r>
      <rPr>
        <b/>
        <sz val="14"/>
        <color theme="1"/>
        <rFont val="Calibri"/>
        <family val="2"/>
        <scheme val="minor"/>
      </rPr>
      <t xml:space="preserve"> + C</t>
    </r>
    <r>
      <rPr>
        <b/>
        <vertAlign val="subscript"/>
        <sz val="14"/>
        <color theme="1"/>
        <rFont val="Calibri"/>
        <family val="2"/>
        <scheme val="minor"/>
      </rPr>
      <t>A</t>
    </r>
  </si>
  <si>
    <r>
      <t>Taylor Wake Fraction, W</t>
    </r>
    <r>
      <rPr>
        <b/>
        <vertAlign val="subscript"/>
        <sz val="14"/>
        <color theme="1"/>
        <rFont val="Calibri"/>
        <family val="2"/>
        <scheme val="minor"/>
      </rPr>
      <t xml:space="preserve">t </t>
    </r>
    <r>
      <rPr>
        <b/>
        <sz val="14"/>
        <color theme="1"/>
        <rFont val="Calibri"/>
        <family val="2"/>
        <scheme val="minor"/>
      </rPr>
      <t>= 0.3095C</t>
    </r>
    <r>
      <rPr>
        <b/>
        <vertAlign val="subscript"/>
        <sz val="14"/>
        <color theme="1"/>
        <rFont val="Calibri"/>
        <family val="2"/>
        <scheme val="minor"/>
      </rPr>
      <t xml:space="preserve">B </t>
    </r>
    <r>
      <rPr>
        <b/>
        <sz val="14"/>
        <color theme="1"/>
        <rFont val="Calibri"/>
        <family val="2"/>
        <scheme val="minor"/>
      </rPr>
      <t>+ 10C</t>
    </r>
    <r>
      <rPr>
        <b/>
        <vertAlign val="subscript"/>
        <sz val="14"/>
        <color theme="1"/>
        <rFont val="Calibri"/>
        <family val="2"/>
        <scheme val="minor"/>
      </rPr>
      <t>V</t>
    </r>
    <r>
      <rPr>
        <b/>
        <sz val="14"/>
        <color theme="1"/>
        <rFont val="Calibri"/>
        <family val="2"/>
        <scheme val="minor"/>
      </rPr>
      <t>C</t>
    </r>
    <r>
      <rPr>
        <b/>
        <vertAlign val="subscript"/>
        <sz val="14"/>
        <color theme="1"/>
        <rFont val="Calibri"/>
        <family val="2"/>
        <scheme val="minor"/>
      </rPr>
      <t xml:space="preserve">B </t>
    </r>
    <r>
      <rPr>
        <b/>
        <sz val="14"/>
        <color theme="1"/>
        <rFont val="Calibri"/>
        <family val="2"/>
        <scheme val="minor"/>
      </rPr>
      <t>- 0.23D/(BT)</t>
    </r>
    <r>
      <rPr>
        <b/>
        <vertAlign val="superscript"/>
        <sz val="14"/>
        <color theme="1"/>
        <rFont val="Calibri"/>
        <family val="2"/>
        <scheme val="minor"/>
      </rPr>
      <t>0.5</t>
    </r>
  </si>
  <si>
    <t>Twin Screw</t>
  </si>
  <si>
    <r>
      <t xml:space="preserve">Thrust Deduction Fraction, t </t>
    </r>
    <r>
      <rPr>
        <b/>
        <vertAlign val="subscript"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= 0.325C</t>
    </r>
    <r>
      <rPr>
        <b/>
        <vertAlign val="subscript"/>
        <sz val="14"/>
        <color theme="1"/>
        <rFont val="Calibri"/>
        <family val="2"/>
        <scheme val="minor"/>
      </rPr>
      <t xml:space="preserve">B </t>
    </r>
    <r>
      <rPr>
        <b/>
        <sz val="14"/>
        <color theme="1"/>
        <rFont val="Calibri"/>
        <family val="2"/>
        <scheme val="minor"/>
      </rPr>
      <t>- 0.1885 D/(BT)</t>
    </r>
    <r>
      <rPr>
        <b/>
        <vertAlign val="superscript"/>
        <sz val="14"/>
        <color theme="1"/>
        <rFont val="Calibri"/>
        <family val="2"/>
        <scheme val="minor"/>
      </rPr>
      <t>0.5</t>
    </r>
  </si>
  <si>
    <t>P/D</t>
  </si>
  <si>
    <r>
      <t>Rotative Efficiency, η</t>
    </r>
    <r>
      <rPr>
        <b/>
        <vertAlign val="subscript"/>
        <sz val="14"/>
        <color theme="1"/>
        <rFont val="Calibri"/>
        <family val="2"/>
        <scheme val="minor"/>
      </rPr>
      <t>R</t>
    </r>
    <r>
      <rPr>
        <b/>
        <sz val="14"/>
        <color theme="1"/>
        <rFont val="Calibri"/>
        <family val="2"/>
        <scheme val="minor"/>
      </rPr>
      <t xml:space="preserve"> = 0.9737 + 0.111 (Cp - 0.0225lcb) + 0.06325 P/D</t>
    </r>
  </si>
  <si>
    <r>
      <t>Hull efficiency, η</t>
    </r>
    <r>
      <rPr>
        <b/>
        <vertAlign val="subscript"/>
        <sz val="14"/>
        <color theme="1"/>
        <rFont val="Calibri"/>
        <family val="2"/>
        <scheme val="minor"/>
      </rPr>
      <t>H</t>
    </r>
    <r>
      <rPr>
        <b/>
        <sz val="14"/>
        <color theme="1"/>
        <rFont val="Calibri"/>
        <family val="2"/>
        <scheme val="minor"/>
      </rPr>
      <t xml:space="preserve"> = (1- t) / (1 - W)</t>
    </r>
  </si>
  <si>
    <r>
      <t>Thrust power,P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 </t>
    </r>
  </si>
  <si>
    <t>Thrust of propellor,T = R / (1-t)</t>
  </si>
  <si>
    <t>kN</t>
  </si>
  <si>
    <t>h = (D/2 + 0.8)</t>
  </si>
  <si>
    <t>No of blades,Z</t>
  </si>
  <si>
    <r>
      <t>Atmospheric Pressure, P</t>
    </r>
    <r>
      <rPr>
        <b/>
        <vertAlign val="subscript"/>
        <sz val="14"/>
        <color theme="1"/>
        <rFont val="Calibri"/>
        <family val="2"/>
        <scheme val="minor"/>
      </rPr>
      <t>atm</t>
    </r>
  </si>
  <si>
    <r>
      <t>N/m</t>
    </r>
    <r>
      <rPr>
        <vertAlign val="superscript"/>
        <sz val="14"/>
        <color theme="1"/>
        <rFont val="Calibri"/>
        <family val="2"/>
        <scheme val="minor"/>
      </rPr>
      <t>2</t>
    </r>
  </si>
  <si>
    <r>
      <t>Vapor pressure of water, P</t>
    </r>
    <r>
      <rPr>
        <b/>
        <vertAlign val="subscript"/>
        <sz val="14"/>
        <color theme="1"/>
        <rFont val="Calibri"/>
        <family val="2"/>
        <scheme val="minor"/>
      </rPr>
      <t>v</t>
    </r>
  </si>
  <si>
    <t>at 15° C</t>
  </si>
  <si>
    <t>H=(T-h)</t>
  </si>
  <si>
    <r>
      <t>P</t>
    </r>
    <r>
      <rPr>
        <b/>
        <vertAlign val="subscript"/>
        <sz val="14"/>
        <color theme="1"/>
        <rFont val="Calibri"/>
        <family val="2"/>
        <scheme val="minor"/>
      </rPr>
      <t>o</t>
    </r>
    <r>
      <rPr>
        <b/>
        <sz val="14"/>
        <color theme="1"/>
        <rFont val="Calibri"/>
        <family val="2"/>
        <scheme val="minor"/>
      </rPr>
      <t xml:space="preserve"> = P</t>
    </r>
    <r>
      <rPr>
        <b/>
        <vertAlign val="subscript"/>
        <sz val="14"/>
        <color theme="1"/>
        <rFont val="Calibri"/>
        <family val="2"/>
        <scheme val="minor"/>
      </rPr>
      <t>atm</t>
    </r>
    <r>
      <rPr>
        <b/>
        <sz val="14"/>
        <color theme="1"/>
        <rFont val="Calibri"/>
        <family val="2"/>
        <scheme val="minor"/>
      </rPr>
      <t xml:space="preserve"> + ρgH</t>
    </r>
  </si>
  <si>
    <t>K</t>
  </si>
  <si>
    <r>
      <t>A</t>
    </r>
    <r>
      <rPr>
        <b/>
        <vertAlign val="subscript"/>
        <sz val="14"/>
        <color theme="1"/>
        <rFont val="Calibri"/>
        <family val="2"/>
        <scheme val="minor"/>
      </rPr>
      <t>E</t>
    </r>
    <r>
      <rPr>
        <b/>
        <sz val="14"/>
        <color theme="1"/>
        <rFont val="Calibri"/>
        <family val="2"/>
        <scheme val="minor"/>
      </rPr>
      <t xml:space="preserve"> / A</t>
    </r>
    <r>
      <rPr>
        <b/>
        <vertAlign val="subscript"/>
        <sz val="14"/>
        <color theme="1"/>
        <rFont val="Calibri"/>
        <family val="2"/>
        <scheme val="minor"/>
      </rPr>
      <t>o</t>
    </r>
    <r>
      <rPr>
        <b/>
        <sz val="14"/>
        <color theme="1"/>
        <rFont val="Calibri"/>
        <family val="2"/>
        <scheme val="minor"/>
      </rPr>
      <t xml:space="preserve"> = ((1.3+0.3Z)T / (P</t>
    </r>
    <r>
      <rPr>
        <b/>
        <vertAlign val="subscript"/>
        <sz val="14"/>
        <color theme="1"/>
        <rFont val="Calibri"/>
        <family val="2"/>
        <scheme val="minor"/>
      </rPr>
      <t>o</t>
    </r>
    <r>
      <rPr>
        <b/>
        <sz val="14"/>
        <color theme="1"/>
        <rFont val="Calibri"/>
        <family val="2"/>
        <scheme val="minor"/>
      </rPr>
      <t xml:space="preserve"> - P</t>
    </r>
    <r>
      <rPr>
        <b/>
        <vertAlign val="subscript"/>
        <sz val="14"/>
        <color theme="1"/>
        <rFont val="Calibri"/>
        <family val="2"/>
        <scheme val="minor"/>
      </rPr>
      <t>V</t>
    </r>
    <r>
      <rPr>
        <b/>
        <sz val="14"/>
        <color theme="1"/>
        <rFont val="Calibri"/>
        <family val="2"/>
        <scheme val="minor"/>
      </rPr>
      <t>)D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)+ K</t>
    </r>
  </si>
  <si>
    <t>Assuming</t>
  </si>
  <si>
    <r>
      <t>QPC,η</t>
    </r>
    <r>
      <rPr>
        <b/>
        <vertAlign val="subscript"/>
        <sz val="14"/>
        <color theme="1"/>
        <rFont val="Calibri"/>
        <family val="2"/>
        <scheme val="minor"/>
      </rPr>
      <t>D</t>
    </r>
  </si>
  <si>
    <r>
      <t>P</t>
    </r>
    <r>
      <rPr>
        <b/>
        <vertAlign val="subscript"/>
        <sz val="14"/>
        <color theme="1"/>
        <rFont val="Calibri"/>
        <family val="2"/>
        <scheme val="minor"/>
      </rPr>
      <t>D</t>
    </r>
  </si>
  <si>
    <r>
      <t>Service speed, V</t>
    </r>
    <r>
      <rPr>
        <b/>
        <vertAlign val="subscript"/>
        <sz val="14"/>
        <color theme="1"/>
        <rFont val="Calibri"/>
        <family val="2"/>
        <scheme val="minor"/>
      </rPr>
      <t>s</t>
    </r>
  </si>
  <si>
    <r>
      <t>V</t>
    </r>
    <r>
      <rPr>
        <b/>
        <vertAlign val="subscript"/>
        <sz val="14"/>
        <color theme="1"/>
        <rFont val="Calibri"/>
        <family val="2"/>
        <scheme val="minor"/>
      </rPr>
      <t xml:space="preserve">a </t>
    </r>
    <r>
      <rPr>
        <b/>
        <sz val="14"/>
        <color theme="1"/>
        <rFont val="Calibri"/>
        <family val="2"/>
        <scheme val="minor"/>
      </rPr>
      <t>= V</t>
    </r>
    <r>
      <rPr>
        <b/>
        <vertAlign val="subscript"/>
        <sz val="14"/>
        <color theme="1"/>
        <rFont val="Calibri"/>
        <family val="2"/>
        <scheme val="minor"/>
      </rPr>
      <t>s</t>
    </r>
    <r>
      <rPr>
        <b/>
        <sz val="14"/>
        <color theme="1"/>
        <rFont val="Calibri"/>
        <family val="2"/>
        <scheme val="minor"/>
      </rPr>
      <t xml:space="preserve"> ( 1 - w)</t>
    </r>
  </si>
  <si>
    <r>
      <t>Propellor Diameter, D</t>
    </r>
    <r>
      <rPr>
        <b/>
        <vertAlign val="subscript"/>
        <sz val="14"/>
        <color theme="1"/>
        <rFont val="Calibri"/>
        <family val="2"/>
        <scheme val="minor"/>
      </rPr>
      <t>B</t>
    </r>
  </si>
  <si>
    <t>m.</t>
  </si>
  <si>
    <r>
      <t>Open water diameter, D</t>
    </r>
    <r>
      <rPr>
        <b/>
        <vertAlign val="subscript"/>
        <sz val="14"/>
        <color theme="1"/>
        <rFont val="Calibri"/>
        <family val="2"/>
        <scheme val="minor"/>
      </rPr>
      <t>o</t>
    </r>
    <r>
      <rPr>
        <b/>
        <sz val="14"/>
        <color theme="1"/>
        <rFont val="Calibri"/>
        <family val="2"/>
        <scheme val="minor"/>
      </rPr>
      <t xml:space="preserve"> = D</t>
    </r>
    <r>
      <rPr>
        <b/>
        <vertAlign val="subscript"/>
        <sz val="14"/>
        <color theme="1"/>
        <rFont val="Calibri"/>
        <family val="2"/>
        <scheme val="minor"/>
      </rPr>
      <t>B</t>
    </r>
    <r>
      <rPr>
        <b/>
        <sz val="14"/>
        <color theme="1"/>
        <rFont val="Calibri"/>
        <family val="2"/>
        <scheme val="minor"/>
      </rPr>
      <t xml:space="preserve"> / 0.95</t>
    </r>
  </si>
  <si>
    <t>RPM</t>
  </si>
  <si>
    <r>
      <t>Bp = 1.158 (N</t>
    </r>
    <r>
      <rPr>
        <b/>
        <vertAlign val="subscript"/>
        <sz val="14"/>
        <color theme="1"/>
        <rFont val="Calibri"/>
        <family val="2"/>
        <scheme val="minor"/>
      </rPr>
      <t>x</t>
    </r>
    <r>
      <rPr>
        <b/>
        <sz val="14"/>
        <color theme="1"/>
        <rFont val="Calibri"/>
        <family val="2"/>
        <scheme val="minor"/>
      </rPr>
      <t>P</t>
    </r>
    <r>
      <rPr>
        <b/>
        <vertAlign val="subscript"/>
        <sz val="14"/>
        <color theme="1"/>
        <rFont val="Calibri"/>
        <family val="2"/>
        <scheme val="minor"/>
      </rPr>
      <t>D</t>
    </r>
    <r>
      <rPr>
        <b/>
        <vertAlign val="superscript"/>
        <sz val="14"/>
        <color theme="1"/>
        <rFont val="Calibri"/>
        <family val="2"/>
        <scheme val="minor"/>
      </rPr>
      <t>1/2</t>
    </r>
    <r>
      <rPr>
        <b/>
        <sz val="14"/>
        <color theme="1"/>
        <rFont val="Calibri"/>
        <family val="2"/>
        <scheme val="minor"/>
      </rPr>
      <t>/V</t>
    </r>
    <r>
      <rPr>
        <b/>
        <vertAlign val="subscript"/>
        <sz val="14"/>
        <color theme="1"/>
        <rFont val="Calibri"/>
        <family val="2"/>
        <scheme val="minor"/>
      </rPr>
      <t>A</t>
    </r>
    <r>
      <rPr>
        <b/>
        <vertAlign val="superscript"/>
        <sz val="14"/>
        <color theme="1"/>
        <rFont val="Calibri"/>
        <family val="2"/>
        <scheme val="minor"/>
      </rPr>
      <t>2.5</t>
    </r>
    <r>
      <rPr>
        <b/>
        <sz val="14"/>
        <color theme="1"/>
        <rFont val="Calibri"/>
        <family val="2"/>
        <scheme val="minor"/>
      </rPr>
      <t>)</t>
    </r>
  </si>
  <si>
    <r>
      <t>δ = 3.2808(N</t>
    </r>
    <r>
      <rPr>
        <b/>
        <vertAlign val="subscript"/>
        <sz val="14"/>
        <color theme="1"/>
        <rFont val="Calibri"/>
        <family val="2"/>
        <scheme val="minor"/>
      </rPr>
      <t>X</t>
    </r>
    <r>
      <rPr>
        <b/>
        <sz val="14"/>
        <color theme="1"/>
        <rFont val="Calibri"/>
        <family val="2"/>
        <scheme val="minor"/>
      </rPr>
      <t>D</t>
    </r>
    <r>
      <rPr>
        <b/>
        <vertAlign val="subscript"/>
        <sz val="14"/>
        <color theme="1"/>
        <rFont val="Calibri"/>
        <family val="2"/>
        <scheme val="minor"/>
      </rPr>
      <t>o</t>
    </r>
    <r>
      <rPr>
        <b/>
        <sz val="14"/>
        <color theme="1"/>
        <rFont val="Calibri"/>
        <family val="2"/>
        <scheme val="minor"/>
      </rPr>
      <t>/V</t>
    </r>
    <r>
      <rPr>
        <b/>
        <vertAlign val="subscript"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)</t>
    </r>
  </si>
  <si>
    <r>
      <t>η</t>
    </r>
    <r>
      <rPr>
        <b/>
        <vertAlign val="subscript"/>
        <sz val="14"/>
        <color theme="1"/>
        <rFont val="Calibri"/>
        <family val="2"/>
        <scheme val="minor"/>
      </rPr>
      <t xml:space="preserve">o </t>
    </r>
  </si>
  <si>
    <t xml:space="preserve">Optimum </t>
  </si>
  <si>
    <r>
      <t>η</t>
    </r>
    <r>
      <rPr>
        <b/>
        <vertAlign val="subscript"/>
        <sz val="14"/>
        <color theme="1"/>
        <rFont val="Calibri"/>
        <family val="2"/>
        <scheme val="minor"/>
      </rPr>
      <t>o</t>
    </r>
  </si>
  <si>
    <r>
      <t>η</t>
    </r>
    <r>
      <rPr>
        <b/>
        <vertAlign val="subscript"/>
        <sz val="14"/>
        <color theme="1"/>
        <rFont val="Calibri"/>
        <family val="2"/>
        <scheme val="minor"/>
      </rPr>
      <t>D</t>
    </r>
    <r>
      <rPr>
        <b/>
        <sz val="14"/>
        <color theme="1"/>
        <rFont val="Calibri"/>
        <family val="2"/>
        <scheme val="minor"/>
      </rPr>
      <t xml:space="preserve"> =η</t>
    </r>
    <r>
      <rPr>
        <b/>
        <vertAlign val="subscript"/>
        <sz val="14"/>
        <color theme="1"/>
        <rFont val="Calibri"/>
        <family val="2"/>
        <scheme val="minor"/>
      </rPr>
      <t>o</t>
    </r>
    <r>
      <rPr>
        <b/>
        <sz val="14"/>
        <color theme="1"/>
        <rFont val="Calibri"/>
        <family val="2"/>
        <scheme val="minor"/>
      </rPr>
      <t xml:space="preserve"> x η</t>
    </r>
    <r>
      <rPr>
        <b/>
        <vertAlign val="subscript"/>
        <sz val="14"/>
        <color theme="1"/>
        <rFont val="Calibri"/>
        <family val="2"/>
        <scheme val="minor"/>
      </rPr>
      <t>H</t>
    </r>
    <r>
      <rPr>
        <b/>
        <sz val="14"/>
        <color theme="1"/>
        <rFont val="Calibri"/>
        <family val="2"/>
        <scheme val="minor"/>
      </rPr>
      <t xml:space="preserve"> x η</t>
    </r>
    <r>
      <rPr>
        <b/>
        <vertAlign val="subscript"/>
        <sz val="14"/>
        <color theme="1"/>
        <rFont val="Calibri"/>
        <family val="2"/>
        <scheme val="minor"/>
      </rPr>
      <t>R</t>
    </r>
  </si>
  <si>
    <r>
      <t>ε = η</t>
    </r>
    <r>
      <rPr>
        <b/>
        <vertAlign val="subscript"/>
        <sz val="14"/>
        <color theme="1"/>
        <rFont val="Calibri"/>
        <family val="2"/>
        <scheme val="minor"/>
      </rPr>
      <t>Decalculated</t>
    </r>
    <r>
      <rPr>
        <b/>
        <sz val="14"/>
        <color theme="1"/>
        <rFont val="Calibri"/>
        <family val="2"/>
        <scheme val="minor"/>
      </rPr>
      <t xml:space="preserve"> - η</t>
    </r>
    <r>
      <rPr>
        <b/>
        <vertAlign val="subscript"/>
        <sz val="14"/>
        <color theme="1"/>
        <rFont val="Calibri"/>
        <family val="2"/>
        <scheme val="minor"/>
      </rPr>
      <t>Previous</t>
    </r>
  </si>
  <si>
    <r>
      <t>ε = η</t>
    </r>
    <r>
      <rPr>
        <b/>
        <vertAlign val="subscript"/>
        <sz val="14"/>
        <color theme="1"/>
        <rFont val="Calibri"/>
        <family val="2"/>
        <scheme val="minor"/>
      </rPr>
      <t>D calculated</t>
    </r>
    <r>
      <rPr>
        <b/>
        <sz val="14"/>
        <color theme="1"/>
        <rFont val="Calibri"/>
        <family val="2"/>
        <scheme val="minor"/>
      </rPr>
      <t xml:space="preserve"> - η</t>
    </r>
    <r>
      <rPr>
        <b/>
        <vertAlign val="subscript"/>
        <sz val="14"/>
        <color theme="1"/>
        <rFont val="Calibri"/>
        <family val="2"/>
        <scheme val="minor"/>
      </rPr>
      <t>D previous</t>
    </r>
  </si>
  <si>
    <t xml:space="preserve"> &lt;  0.005 </t>
  </si>
  <si>
    <r>
      <t>P</t>
    </r>
    <r>
      <rPr>
        <b/>
        <vertAlign val="subscript"/>
        <sz val="16"/>
        <color theme="1"/>
        <rFont val="Calibri"/>
        <family val="2"/>
        <scheme val="minor"/>
      </rPr>
      <t>D</t>
    </r>
  </si>
  <si>
    <t>Shaft efficiency</t>
  </si>
  <si>
    <r>
      <t>P</t>
    </r>
    <r>
      <rPr>
        <b/>
        <vertAlign val="subscript"/>
        <sz val="16"/>
        <color theme="1"/>
        <rFont val="Calibri"/>
        <family val="2"/>
        <scheme val="minor"/>
      </rPr>
      <t>S</t>
    </r>
  </si>
  <si>
    <t>Engine Efficiency</t>
  </si>
  <si>
    <r>
      <t>P</t>
    </r>
    <r>
      <rPr>
        <b/>
        <vertAlign val="subscript"/>
        <sz val="16"/>
        <color rgb="FF000000"/>
        <rFont val="Calibri"/>
        <family val="2"/>
      </rPr>
      <t>I (Engine power)</t>
    </r>
  </si>
  <si>
    <t>Sea margin</t>
  </si>
  <si>
    <t>Considering 15% Sea Margin</t>
  </si>
  <si>
    <r>
      <t>P</t>
    </r>
    <r>
      <rPr>
        <b/>
        <vertAlign val="subscript"/>
        <sz val="16"/>
        <color theme="1"/>
        <rFont val="Calibri"/>
        <family val="2"/>
        <scheme val="minor"/>
      </rPr>
      <t>B</t>
    </r>
  </si>
  <si>
    <t>Total Installled Power</t>
  </si>
  <si>
    <t>85% MCR</t>
  </si>
  <si>
    <t>HP</t>
  </si>
  <si>
    <t>No Transom stern</t>
  </si>
  <si>
    <r>
      <t>Fn = V/(gL)</t>
    </r>
    <r>
      <rPr>
        <b/>
        <vertAlign val="superscript"/>
        <sz val="14"/>
        <color theme="1"/>
        <rFont val="Calibri"/>
        <family val="2"/>
        <scheme val="minor"/>
      </rPr>
      <t>0.5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</si>
  <si>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F</t>
    </r>
    <r>
      <rPr>
        <b/>
        <sz val="14"/>
        <color theme="1"/>
        <rFont val="Calibri"/>
        <family val="2"/>
        <scheme val="minor"/>
      </rPr>
      <t xml:space="preserve"> = 0.075/(log10Rn-2)</t>
    </r>
    <r>
      <rPr>
        <b/>
        <vertAlign val="superscript"/>
        <sz val="14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</si>
</sst>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0.0"/>
    <numFmt numFmtId="168" formatCode="0.000000"/>
  </numFmts>
  <fonts count="3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vertAlign val="subscript"/>
      <sz val="14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vertAlign val="superscript"/>
      <sz val="14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vertAlign val="subscript"/>
      <sz val="14"/>
      <color rgb="FF000000"/>
      <name val="Calibri"/>
      <family val="2"/>
      <scheme val="minor"/>
    </font>
    <font>
      <sz val="11"/>
      <color rgb="FF545454"/>
      <name val="Calibri"/>
      <family val="2"/>
      <scheme val="minor"/>
    </font>
    <font>
      <b/>
      <sz val="14"/>
      <color rgb="FF222222"/>
      <name val="Calibri"/>
      <family val="2"/>
      <scheme val="minor"/>
    </font>
    <font>
      <sz val="16"/>
      <color rgb="FF000000"/>
      <name val="Calibri"/>
      <family val="2"/>
      <scheme val="minor"/>
    </font>
    <font>
      <vertAlign val="subscript"/>
      <sz val="16"/>
      <color rgb="FF000000"/>
      <name val="Calibri"/>
      <family val="2"/>
      <scheme val="minor"/>
    </font>
    <font>
      <vertAlign val="subscript"/>
      <sz val="14"/>
      <color rgb="FF000000"/>
      <name val="Calibri"/>
      <family val="2"/>
      <scheme val="minor"/>
    </font>
    <font>
      <vertAlign val="superscript"/>
      <sz val="14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vertAlign val="subscript"/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1" fontId="7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2" fontId="7" fillId="0" borderId="0" xfId="0" applyNumberFormat="1" applyFont="1" applyAlignment="1">
      <alignment vertical="center"/>
    </xf>
    <xf numFmtId="0" fontId="10" fillId="0" borderId="13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9" xfId="0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0" borderId="20" xfId="0" applyFont="1" applyBorder="1" applyAlignment="1">
      <alignment vertical="center"/>
    </xf>
    <xf numFmtId="2" fontId="10" fillId="0" borderId="9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2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166" fontId="7" fillId="0" borderId="9" xfId="0" applyNumberFormat="1" applyFont="1" applyBorder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vertical="center"/>
    </xf>
    <xf numFmtId="0" fontId="28" fillId="0" borderId="0" xfId="0" applyFont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21" xfId="0" applyFont="1" applyFill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164" fontId="17" fillId="0" borderId="0" xfId="0" applyNumberFormat="1" applyFont="1" applyAlignment="1">
      <alignment horizontal="center" vertical="center"/>
    </xf>
    <xf numFmtId="11" fontId="7" fillId="0" borderId="9" xfId="0" quotePrefix="1" applyNumberFormat="1" applyFont="1" applyBorder="1" applyAlignment="1">
      <alignment horizontal="center" vertical="center"/>
    </xf>
    <xf numFmtId="11" fontId="7" fillId="0" borderId="0" xfId="0" quotePrefix="1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10" fontId="7" fillId="0" borderId="9" xfId="0" applyNumberFormat="1" applyFont="1" applyBorder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167" fontId="7" fillId="0" borderId="9" xfId="0" applyNumberFormat="1" applyFont="1" applyBorder="1" applyAlignment="1">
      <alignment horizontal="center" vertical="center"/>
    </xf>
    <xf numFmtId="167" fontId="29" fillId="0" borderId="9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10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68" fontId="7" fillId="0" borderId="27" xfId="0" applyNumberFormat="1" applyFont="1" applyBorder="1" applyAlignment="1">
      <alignment horizontal="center" vertical="center"/>
    </xf>
    <xf numFmtId="165" fontId="7" fillId="0" borderId="25" xfId="0" applyNumberFormat="1" applyFont="1" applyBorder="1" applyAlignment="1">
      <alignment horizontal="center" vertical="center"/>
    </xf>
    <xf numFmtId="0" fontId="30" fillId="2" borderId="22" xfId="0" applyFont="1" applyFill="1" applyBorder="1" applyAlignment="1">
      <alignment horizontal="center" vertical="center"/>
    </xf>
    <xf numFmtId="2" fontId="32" fillId="0" borderId="28" xfId="0" applyNumberFormat="1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0" fillId="2" borderId="24" xfId="0" applyFont="1" applyFill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2" fontId="32" fillId="0" borderId="9" xfId="0" applyNumberFormat="1" applyFont="1" applyBorder="1" applyAlignment="1">
      <alignment horizontal="center" vertical="center"/>
    </xf>
    <xf numFmtId="0" fontId="33" fillId="2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left" vertical="center"/>
    </xf>
    <xf numFmtId="0" fontId="30" fillId="0" borderId="0" xfId="0" applyFont="1" applyAlignment="1">
      <alignment vertical="center"/>
    </xf>
    <xf numFmtId="167" fontId="30" fillId="0" borderId="9" xfId="0" applyNumberFormat="1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167" fontId="30" fillId="0" borderId="29" xfId="0" applyNumberFormat="1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2" fontId="7" fillId="3" borderId="9" xfId="0" applyNumberFormat="1" applyFont="1" applyFill="1" applyBorder="1" applyAlignment="1">
      <alignment horizontal="center" vertical="center"/>
    </xf>
    <xf numFmtId="167" fontId="7" fillId="3" borderId="9" xfId="0" applyNumberFormat="1" applyFont="1" applyFill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30" fillId="2" borderId="24" xfId="0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17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1" fontId="14" fillId="2" borderId="1" xfId="0" applyNumberFormat="1" applyFont="1" applyFill="1" applyBorder="1" applyAlignment="1">
      <alignment horizontal="center" vertical="center"/>
    </xf>
    <xf numFmtId="11" fontId="14" fillId="2" borderId="2" xfId="0" applyNumberFormat="1" applyFont="1" applyFill="1" applyBorder="1" applyAlignment="1">
      <alignment horizontal="center" vertical="center"/>
    </xf>
    <xf numFmtId="11" fontId="14" fillId="2" borderId="3" xfId="0" applyNumberFormat="1" applyFont="1" applyFill="1" applyBorder="1" applyAlignment="1">
      <alignment horizontal="center" vertical="center"/>
    </xf>
    <xf numFmtId="11" fontId="14" fillId="2" borderId="7" xfId="0" applyNumberFormat="1" applyFont="1" applyFill="1" applyBorder="1" applyAlignment="1">
      <alignment horizontal="center" vertical="center"/>
    </xf>
    <xf numFmtId="11" fontId="14" fillId="2" borderId="0" xfId="0" applyNumberFormat="1" applyFont="1" applyFill="1" applyAlignment="1">
      <alignment horizontal="center" vertical="center"/>
    </xf>
    <xf numFmtId="11" fontId="14" fillId="2" borderId="8" xfId="0" applyNumberFormat="1" applyFont="1" applyFill="1" applyBorder="1" applyAlignment="1">
      <alignment horizontal="center" vertical="center"/>
    </xf>
    <xf numFmtId="11" fontId="14" fillId="2" borderId="4" xfId="0" applyNumberFormat="1" applyFont="1" applyFill="1" applyBorder="1" applyAlignment="1">
      <alignment horizontal="center" vertical="center"/>
    </xf>
    <xf numFmtId="11" fontId="14" fillId="2" borderId="5" xfId="0" applyNumberFormat="1" applyFont="1" applyFill="1" applyBorder="1" applyAlignment="1">
      <alignment horizontal="center" vertical="center"/>
    </xf>
    <xf numFmtId="11" fontId="14" fillId="2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</a:t>
            </a:r>
            <a:r>
              <a:rPr lang="en-US" baseline="0"/>
              <a:t> Speed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Sheet1!$H$8:$H$17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Sheet1!$I$8:$I$17</c:f>
              <c:numCache>
                <c:formatCode>General</c:formatCode>
                <c:ptCount val="10"/>
                <c:pt idx="0">
                  <c:v>0.9</c:v>
                </c:pt>
                <c:pt idx="1">
                  <c:v>6.7</c:v>
                </c:pt>
                <c:pt idx="2">
                  <c:v>21.3</c:v>
                </c:pt>
                <c:pt idx="3">
                  <c:v>48.9</c:v>
                </c:pt>
                <c:pt idx="4">
                  <c:v>93.1</c:v>
                </c:pt>
                <c:pt idx="5">
                  <c:v>158.4</c:v>
                </c:pt>
                <c:pt idx="6">
                  <c:v>252.7</c:v>
                </c:pt>
                <c:pt idx="7">
                  <c:v>392.7</c:v>
                </c:pt>
                <c:pt idx="8">
                  <c:v>609.70000000000005</c:v>
                </c:pt>
                <c:pt idx="9">
                  <c:v>955.1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F-4A87-893B-B02C7C029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43672"/>
        <c:axId val="413444000"/>
      </c:scatterChart>
      <c:valAx>
        <c:axId val="41344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(knot)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44000"/>
        <c:crosses val="autoZero"/>
        <c:crossBetween val="midCat"/>
      </c:valAx>
      <c:valAx>
        <c:axId val="4134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(HP)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4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3</xdr:row>
      <xdr:rowOff>95250</xdr:rowOff>
    </xdr:from>
    <xdr:to>
      <xdr:col>19</xdr:col>
      <xdr:colOff>175260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207F7-4884-47B0-B80D-4A1D88E5F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%20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H8">
            <v>1</v>
          </cell>
          <cell r="I8">
            <v>0.9</v>
          </cell>
        </row>
        <row r="9">
          <cell r="H9">
            <v>2</v>
          </cell>
          <cell r="I9">
            <v>6.7</v>
          </cell>
        </row>
        <row r="10">
          <cell r="H10">
            <v>3</v>
          </cell>
          <cell r="I10">
            <v>21.3</v>
          </cell>
        </row>
        <row r="11">
          <cell r="H11">
            <v>4</v>
          </cell>
          <cell r="I11">
            <v>48.9</v>
          </cell>
        </row>
        <row r="12">
          <cell r="H12">
            <v>5</v>
          </cell>
          <cell r="I12">
            <v>93.1</v>
          </cell>
        </row>
        <row r="13">
          <cell r="H13">
            <v>6</v>
          </cell>
          <cell r="I13">
            <v>158.4</v>
          </cell>
        </row>
        <row r="14">
          <cell r="H14">
            <v>7</v>
          </cell>
          <cell r="I14">
            <v>252.7</v>
          </cell>
        </row>
        <row r="15">
          <cell r="H15">
            <v>8</v>
          </cell>
          <cell r="I15">
            <v>392.7</v>
          </cell>
        </row>
        <row r="16">
          <cell r="H16">
            <v>9</v>
          </cell>
          <cell r="I16">
            <v>609.70000000000005</v>
          </cell>
        </row>
        <row r="17">
          <cell r="H17">
            <v>10</v>
          </cell>
          <cell r="I17">
            <v>955.1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D20B-5907-40D5-AFC6-32051ED79CDF}">
  <sheetPr>
    <pageSetUpPr fitToPage="1"/>
  </sheetPr>
  <dimension ref="B1:S276"/>
  <sheetViews>
    <sheetView tabSelected="1" zoomScale="70" zoomScaleNormal="70" workbookViewId="0"/>
  </sheetViews>
  <sheetFormatPr defaultRowHeight="14.4" x14ac:dyDescent="0.3"/>
  <cols>
    <col min="1" max="1" width="8.88671875" style="1"/>
    <col min="2" max="2" width="46.5546875" style="1" customWidth="1"/>
    <col min="3" max="3" width="37.44140625" style="1" customWidth="1"/>
    <col min="4" max="4" width="84.109375" style="1" customWidth="1"/>
    <col min="5" max="5" width="24.77734375" style="1" customWidth="1"/>
    <col min="6" max="6" width="23.88671875" style="1" customWidth="1"/>
    <col min="7" max="7" width="41.77734375" style="1" customWidth="1"/>
    <col min="8" max="8" width="11.6640625" style="1" customWidth="1"/>
    <col min="9" max="9" width="20.44140625" style="1" customWidth="1"/>
    <col min="10" max="12" width="32" style="1" customWidth="1"/>
    <col min="13" max="13" width="42.33203125" style="1" customWidth="1"/>
    <col min="14" max="14" width="18.33203125" style="1" customWidth="1"/>
    <col min="15" max="16" width="8.88671875" style="1"/>
    <col min="17" max="17" width="14.77734375" style="1" customWidth="1"/>
    <col min="18" max="18" width="8.88671875" style="1"/>
    <col min="19" max="19" width="14.6640625" style="1" customWidth="1"/>
    <col min="20" max="20" width="16.44140625" style="1" customWidth="1"/>
    <col min="21" max="16384" width="8.88671875" style="1"/>
  </cols>
  <sheetData>
    <row r="1" spans="2:13" ht="25.2" customHeight="1" x14ac:dyDescent="0.3">
      <c r="F1" s="1" t="s">
        <v>0</v>
      </c>
    </row>
    <row r="2" spans="2:13" ht="20.399999999999999" customHeight="1" x14ac:dyDescent="0.3">
      <c r="B2" s="1" t="s">
        <v>0</v>
      </c>
    </row>
    <row r="3" spans="2:13" ht="18" customHeight="1" thickBot="1" x14ac:dyDescent="0.35">
      <c r="B3" s="1" t="s">
        <v>0</v>
      </c>
      <c r="D3" s="2"/>
    </row>
    <row r="4" spans="2:13" ht="31.2" customHeight="1" x14ac:dyDescent="0.3">
      <c r="C4" s="109" t="s">
        <v>1</v>
      </c>
      <c r="D4" s="110"/>
      <c r="E4" s="111"/>
      <c r="F4" s="3" t="s">
        <v>0</v>
      </c>
      <c r="G4" s="3"/>
      <c r="H4" s="4"/>
      <c r="I4" s="4"/>
      <c r="J4" s="4"/>
      <c r="K4" s="5"/>
      <c r="L4" s="5"/>
      <c r="M4" s="6"/>
    </row>
    <row r="5" spans="2:13" ht="31.2" customHeight="1" x14ac:dyDescent="0.3">
      <c r="B5" s="3"/>
      <c r="C5" s="112"/>
      <c r="D5" s="113"/>
      <c r="E5" s="114"/>
      <c r="F5" s="3"/>
      <c r="G5" s="3"/>
      <c r="H5" s="4"/>
      <c r="I5" s="4"/>
      <c r="J5" s="4"/>
      <c r="K5" s="5"/>
      <c r="L5" s="5"/>
      <c r="M5" s="6"/>
    </row>
    <row r="6" spans="2:13" ht="31.2" customHeight="1" thickBot="1" x14ac:dyDescent="0.35">
      <c r="B6" s="3"/>
      <c r="C6" s="115"/>
      <c r="D6" s="116"/>
      <c r="E6" s="117"/>
      <c r="F6" s="3"/>
      <c r="G6" s="3"/>
      <c r="H6" s="4"/>
      <c r="I6" s="4"/>
      <c r="J6" s="4"/>
      <c r="K6" s="5"/>
      <c r="L6" s="5"/>
      <c r="M6" s="6"/>
    </row>
    <row r="7" spans="2:13" ht="15" customHeight="1" x14ac:dyDescent="0.3">
      <c r="B7" s="7"/>
      <c r="C7" s="7"/>
      <c r="D7" s="7"/>
      <c r="E7" s="7"/>
      <c r="F7" s="7"/>
      <c r="G7" s="7"/>
    </row>
    <row r="8" spans="2:13" ht="49.2" customHeight="1" x14ac:dyDescent="0.3">
      <c r="C8" s="118" t="s">
        <v>2</v>
      </c>
      <c r="D8" s="118"/>
      <c r="E8" s="118"/>
    </row>
    <row r="9" spans="2:13" ht="25.05" customHeight="1" x14ac:dyDescent="0.3">
      <c r="C9" s="8" t="s">
        <v>3</v>
      </c>
      <c r="D9" s="9">
        <v>64.760000000000005</v>
      </c>
      <c r="E9" s="10" t="s">
        <v>4</v>
      </c>
    </row>
    <row r="10" spans="2:13" ht="25.05" customHeight="1" x14ac:dyDescent="0.3">
      <c r="C10" s="8" t="s">
        <v>5</v>
      </c>
      <c r="D10" s="10">
        <v>64.55</v>
      </c>
      <c r="E10" s="10" t="s">
        <v>4</v>
      </c>
    </row>
    <row r="11" spans="2:13" ht="25.05" customHeight="1" x14ac:dyDescent="0.3">
      <c r="C11" s="8" t="s">
        <v>6</v>
      </c>
      <c r="D11" s="10">
        <v>10.77</v>
      </c>
      <c r="E11" s="10" t="s">
        <v>4</v>
      </c>
    </row>
    <row r="12" spans="2:13" ht="25.05" customHeight="1" x14ac:dyDescent="0.3">
      <c r="C12" s="8" t="s">
        <v>7</v>
      </c>
      <c r="D12" s="10">
        <v>3.8</v>
      </c>
      <c r="E12" s="10" t="s">
        <v>4</v>
      </c>
    </row>
    <row r="13" spans="2:13" ht="25.05" customHeight="1" x14ac:dyDescent="0.3">
      <c r="C13" s="8" t="s">
        <v>8</v>
      </c>
      <c r="D13" s="10">
        <v>5.05</v>
      </c>
      <c r="E13" s="10" t="s">
        <v>4</v>
      </c>
    </row>
    <row r="14" spans="2:13" ht="25.05" customHeight="1" x14ac:dyDescent="0.3">
      <c r="C14" s="8" t="s">
        <v>9</v>
      </c>
      <c r="D14" s="10">
        <v>2102.4</v>
      </c>
      <c r="E14" s="10" t="s">
        <v>10</v>
      </c>
    </row>
    <row r="15" spans="2:13" ht="25.05" customHeight="1" x14ac:dyDescent="0.3">
      <c r="C15" s="8" t="s">
        <v>11</v>
      </c>
      <c r="D15" s="10">
        <v>1</v>
      </c>
      <c r="E15" s="10" t="s">
        <v>12</v>
      </c>
    </row>
    <row r="16" spans="2:13" ht="25.05" customHeight="1" x14ac:dyDescent="0.3">
      <c r="C16" s="8" t="s">
        <v>13</v>
      </c>
      <c r="D16" s="11">
        <v>1.1400000000000001E-6</v>
      </c>
      <c r="E16" s="10" t="s">
        <v>14</v>
      </c>
    </row>
    <row r="17" spans="3:5" ht="25.05" customHeight="1" x14ac:dyDescent="0.3">
      <c r="C17" s="8" t="s">
        <v>15</v>
      </c>
      <c r="D17" s="10">
        <f>D14</f>
        <v>2102.4</v>
      </c>
      <c r="E17" s="10" t="s">
        <v>16</v>
      </c>
    </row>
    <row r="18" spans="3:5" ht="25.05" customHeight="1" x14ac:dyDescent="0.3">
      <c r="C18" s="8" t="s">
        <v>17</v>
      </c>
      <c r="D18" s="10">
        <v>0.8</v>
      </c>
      <c r="E18" s="10"/>
    </row>
    <row r="19" spans="3:5" ht="25.05" customHeight="1" x14ac:dyDescent="0.3">
      <c r="C19" s="12" t="s">
        <v>18</v>
      </c>
      <c r="D19" s="10">
        <v>0.97</v>
      </c>
      <c r="E19" s="10"/>
    </row>
    <row r="20" spans="3:5" ht="25.05" customHeight="1" x14ac:dyDescent="0.3">
      <c r="C20" s="8" t="s">
        <v>19</v>
      </c>
      <c r="D20" s="10">
        <v>0.91</v>
      </c>
      <c r="E20" s="13"/>
    </row>
    <row r="21" spans="3:5" ht="25.05" customHeight="1" x14ac:dyDescent="0.3">
      <c r="C21" s="8" t="s">
        <v>20</v>
      </c>
      <c r="D21" s="10">
        <v>0.83</v>
      </c>
      <c r="E21" s="10"/>
    </row>
    <row r="22" spans="3:5" ht="25.05" customHeight="1" x14ac:dyDescent="0.3">
      <c r="C22" s="8" t="s">
        <v>21</v>
      </c>
      <c r="D22" s="14">
        <f>D9/D11</f>
        <v>6.0129990714948942</v>
      </c>
      <c r="E22" s="10"/>
    </row>
    <row r="23" spans="3:5" ht="25.05" customHeight="1" x14ac:dyDescent="0.3">
      <c r="C23" s="8" t="s">
        <v>22</v>
      </c>
      <c r="D23" s="14">
        <f>D9/D12</f>
        <v>17.042105263157897</v>
      </c>
      <c r="E23" s="10"/>
    </row>
    <row r="24" spans="3:5" ht="25.05" customHeight="1" x14ac:dyDescent="0.3">
      <c r="C24" s="8" t="s">
        <v>23</v>
      </c>
      <c r="D24" s="14">
        <f>1/D22</f>
        <v>0.16630636195182208</v>
      </c>
      <c r="E24" s="10"/>
    </row>
    <row r="25" spans="3:5" ht="25.05" customHeight="1" x14ac:dyDescent="0.3">
      <c r="C25" s="8" t="s">
        <v>24</v>
      </c>
      <c r="D25" s="10">
        <f>D11/D12</f>
        <v>2.8342105263157893</v>
      </c>
      <c r="E25" s="10"/>
    </row>
    <row r="26" spans="3:5" ht="25.05" customHeight="1" x14ac:dyDescent="0.3">
      <c r="C26" s="8" t="s">
        <v>25</v>
      </c>
      <c r="D26" s="14">
        <f>1/D23</f>
        <v>5.8678196417541684E-2</v>
      </c>
      <c r="E26" s="10"/>
    </row>
    <row r="27" spans="3:5" ht="25.05" customHeight="1" x14ac:dyDescent="0.3">
      <c r="C27" s="8" t="s">
        <v>26</v>
      </c>
      <c r="D27" s="14">
        <f>1/D25</f>
        <v>0.35283194057567319</v>
      </c>
      <c r="E27" s="10"/>
    </row>
    <row r="28" spans="3:5" ht="25.05" customHeight="1" x14ac:dyDescent="0.3">
      <c r="C28" s="8" t="s">
        <v>27</v>
      </c>
      <c r="D28" s="15">
        <v>9</v>
      </c>
      <c r="E28" s="10" t="s">
        <v>28</v>
      </c>
    </row>
    <row r="29" spans="3:5" ht="25.05" customHeight="1" x14ac:dyDescent="0.3">
      <c r="C29" s="16" t="s">
        <v>29</v>
      </c>
      <c r="D29" s="40">
        <f>D9/D10</f>
        <v>1.0032532920216888</v>
      </c>
      <c r="E29" s="10"/>
    </row>
    <row r="30" spans="3:5" ht="25.05" customHeight="1" x14ac:dyDescent="0.3">
      <c r="C30" s="8" t="s">
        <v>30</v>
      </c>
      <c r="D30" s="14">
        <f>D11/D10</f>
        <v>0.16684740511231602</v>
      </c>
      <c r="E30" s="10"/>
    </row>
    <row r="31" spans="3:5" ht="25.05" customHeight="1" x14ac:dyDescent="0.3">
      <c r="C31" s="8" t="s">
        <v>31</v>
      </c>
      <c r="D31" s="14">
        <f>D13/D10</f>
        <v>7.8233927188226179E-2</v>
      </c>
      <c r="E31" s="10"/>
    </row>
    <row r="32" spans="3:5" ht="25.05" customHeight="1" x14ac:dyDescent="0.3">
      <c r="C32" s="8" t="s">
        <v>32</v>
      </c>
      <c r="D32" s="14">
        <f>D13/D12</f>
        <v>1.3289473684210527</v>
      </c>
      <c r="E32" s="10"/>
    </row>
    <row r="33" spans="2:14" ht="25.05" customHeight="1" x14ac:dyDescent="0.3">
      <c r="C33" s="8" t="s">
        <v>33</v>
      </c>
      <c r="D33" s="10">
        <v>0.13</v>
      </c>
      <c r="E33" s="10"/>
    </row>
    <row r="34" spans="2:14" ht="25.05" customHeight="1" x14ac:dyDescent="0.3">
      <c r="C34" s="8" t="s">
        <v>34</v>
      </c>
      <c r="D34" s="30">
        <f>D33/D9</f>
        <v>2.0074119827053734E-3</v>
      </c>
      <c r="E34" s="13"/>
    </row>
    <row r="35" spans="2:14" ht="22.8" customHeight="1" x14ac:dyDescent="0.3">
      <c r="C35" s="17" t="s">
        <v>35</v>
      </c>
      <c r="D35" s="14">
        <f>D9^3/D17</f>
        <v>129.18294243531204</v>
      </c>
      <c r="E35" s="13"/>
    </row>
    <row r="36" spans="2:14" ht="27" customHeight="1" thickBot="1" x14ac:dyDescent="0.35">
      <c r="B36" s="18"/>
      <c r="D36" s="19"/>
    </row>
    <row r="37" spans="2:14" ht="25.8" customHeight="1" x14ac:dyDescent="0.3">
      <c r="B37" s="119" t="s">
        <v>36</v>
      </c>
      <c r="C37" s="120"/>
      <c r="D37" s="120"/>
      <c r="E37" s="120"/>
      <c r="F37" s="121"/>
      <c r="G37" s="127" t="s">
        <v>37</v>
      </c>
    </row>
    <row r="38" spans="2:14" ht="22.8" customHeight="1" x14ac:dyDescent="0.3">
      <c r="B38" s="122"/>
      <c r="C38" s="123"/>
      <c r="D38" s="123"/>
      <c r="E38" s="123"/>
      <c r="F38" s="124"/>
      <c r="G38" s="128"/>
    </row>
    <row r="39" spans="2:14" ht="24" customHeight="1" thickBot="1" x14ac:dyDescent="0.35">
      <c r="B39" s="125"/>
      <c r="C39" s="126"/>
      <c r="D39" s="126"/>
      <c r="E39" s="126"/>
      <c r="F39" s="124"/>
      <c r="G39" s="129"/>
    </row>
    <row r="40" spans="2:14" s="27" customFormat="1" ht="36" x14ac:dyDescent="0.3">
      <c r="B40" s="20" t="s">
        <v>38</v>
      </c>
      <c r="C40" s="21" t="s">
        <v>39</v>
      </c>
      <c r="D40" s="22" t="s">
        <v>40</v>
      </c>
      <c r="E40" s="23">
        <f>1+0.003*H40</f>
        <v>1.03</v>
      </c>
      <c r="F40" s="24"/>
      <c r="G40" s="25" t="s">
        <v>41</v>
      </c>
      <c r="H40" s="26">
        <v>10</v>
      </c>
      <c r="M40" s="28"/>
      <c r="N40" s="28"/>
    </row>
    <row r="41" spans="2:14" ht="28.8" customHeight="1" x14ac:dyDescent="0.3">
      <c r="B41" s="29" t="s">
        <v>42</v>
      </c>
      <c r="C41" s="16" t="s">
        <v>43</v>
      </c>
      <c r="D41" s="10" t="s">
        <v>44</v>
      </c>
      <c r="E41" s="30">
        <f>D26^0.2228446</f>
        <v>0.53157150863517233</v>
      </c>
      <c r="F41" s="31"/>
      <c r="G41" s="32" t="s">
        <v>45</v>
      </c>
    </row>
    <row r="42" spans="2:14" ht="20.399999999999999" x14ac:dyDescent="0.3">
      <c r="B42" s="33" t="s">
        <v>46</v>
      </c>
      <c r="C42" s="16" t="s">
        <v>47</v>
      </c>
      <c r="D42" s="10" t="s">
        <v>48</v>
      </c>
      <c r="E42" s="30">
        <f>D33</f>
        <v>0.13</v>
      </c>
      <c r="F42" s="10" t="s">
        <v>4</v>
      </c>
      <c r="G42" s="34"/>
    </row>
    <row r="43" spans="2:14" ht="40.200000000000003" customHeight="1" x14ac:dyDescent="0.3">
      <c r="B43" s="33" t="s">
        <v>49</v>
      </c>
      <c r="C43" s="16" t="s">
        <v>50</v>
      </c>
      <c r="D43" s="10" t="s">
        <v>51</v>
      </c>
      <c r="E43" s="30">
        <f>D9*(1-D21+(0.06*D21*E42)/(4*D21-1))</f>
        <v>11.189913896551726</v>
      </c>
      <c r="F43" s="10"/>
      <c r="G43" s="34"/>
    </row>
    <row r="44" spans="2:14" ht="20.399999999999999" x14ac:dyDescent="0.3">
      <c r="B44" s="33" t="s">
        <v>52</v>
      </c>
      <c r="C44" s="16" t="s">
        <v>53</v>
      </c>
      <c r="D44" s="10" t="s">
        <v>54</v>
      </c>
      <c r="E44" s="30">
        <f>E40*(0.93+E41*((D11/E43)^0.92497)*((0.95-D21)^-0.521448)*(1-D21+0.0225*E42)^0.6906)</f>
        <v>1.4330797104753144</v>
      </c>
      <c r="F44" s="10"/>
      <c r="G44" s="34"/>
    </row>
    <row r="45" spans="2:14" ht="20.399999999999999" x14ac:dyDescent="0.3">
      <c r="B45" s="33" t="s">
        <v>55</v>
      </c>
      <c r="C45" s="16" t="s">
        <v>56</v>
      </c>
      <c r="D45" s="10" t="s">
        <v>57</v>
      </c>
      <c r="E45" s="30">
        <f>D20</f>
        <v>0.91</v>
      </c>
      <c r="F45" s="10"/>
      <c r="G45" s="34"/>
    </row>
    <row r="46" spans="2:14" ht="20.399999999999999" x14ac:dyDescent="0.3">
      <c r="B46" s="29" t="s">
        <v>58</v>
      </c>
      <c r="C46" s="16" t="s">
        <v>59</v>
      </c>
      <c r="D46" s="10" t="s">
        <v>60</v>
      </c>
      <c r="E46" s="30">
        <f>D9*(2*D12+D11)*SQRT(D19)*(0.453+0.4425*D18-0.2862*D19-0.003467*D25+0.3696*E45)+0</f>
        <v>1002.8194640997734</v>
      </c>
      <c r="F46" s="10"/>
      <c r="G46" s="34" t="s">
        <v>61</v>
      </c>
    </row>
    <row r="47" spans="2:14" ht="20.399999999999999" x14ac:dyDescent="0.3">
      <c r="B47" s="33" t="s">
        <v>62</v>
      </c>
      <c r="C47" s="16" t="s">
        <v>63</v>
      </c>
      <c r="D47" s="10" t="s">
        <v>64</v>
      </c>
      <c r="E47" s="14">
        <f>D24</f>
        <v>0.16630636195182208</v>
      </c>
      <c r="F47" s="10"/>
      <c r="G47" s="34" t="s">
        <v>65</v>
      </c>
    </row>
    <row r="48" spans="2:14" ht="20.399999999999999" x14ac:dyDescent="0.3">
      <c r="B48" s="33" t="s">
        <v>66</v>
      </c>
      <c r="C48" s="16" t="s">
        <v>67</v>
      </c>
      <c r="D48" s="35"/>
      <c r="E48" s="15">
        <v>45</v>
      </c>
      <c r="F48" s="10"/>
      <c r="G48" s="34" t="s">
        <v>68</v>
      </c>
    </row>
    <row r="49" spans="2:7" ht="20.399999999999999" x14ac:dyDescent="0.3">
      <c r="B49" s="33" t="s">
        <v>62</v>
      </c>
      <c r="C49" s="16" t="s">
        <v>69</v>
      </c>
      <c r="D49" s="10" t="s">
        <v>70</v>
      </c>
      <c r="E49" s="30">
        <f>2223105*(E47^3.78613)*(D27^1.07961)*(90-E48)^-1.37565</f>
        <v>4.3104997919805692</v>
      </c>
      <c r="F49" s="10"/>
      <c r="G49" s="36"/>
    </row>
    <row r="50" spans="2:7" ht="20.399999999999999" x14ac:dyDescent="0.3">
      <c r="B50" s="33" t="s">
        <v>71</v>
      </c>
      <c r="C50" s="16"/>
      <c r="D50" s="35"/>
      <c r="E50" s="30">
        <v>0</v>
      </c>
      <c r="F50" s="10"/>
      <c r="G50" s="34"/>
    </row>
    <row r="51" spans="2:7" ht="54" x14ac:dyDescent="0.3">
      <c r="B51" s="33" t="s">
        <v>72</v>
      </c>
      <c r="C51" s="16" t="s">
        <v>73</v>
      </c>
      <c r="D51" s="10" t="s">
        <v>74</v>
      </c>
      <c r="E51" s="30">
        <f>1-(0.048*E50)/(D11*D12*D19)</f>
        <v>1</v>
      </c>
      <c r="F51" s="10"/>
      <c r="G51" s="36"/>
    </row>
    <row r="52" spans="2:7" ht="54" x14ac:dyDescent="0.3">
      <c r="B52" s="33" t="s">
        <v>75</v>
      </c>
      <c r="C52" s="16" t="s">
        <v>76</v>
      </c>
      <c r="D52" s="10" t="s">
        <v>77</v>
      </c>
      <c r="E52" s="30">
        <v>1</v>
      </c>
      <c r="F52" s="13"/>
      <c r="G52" s="34" t="s">
        <v>78</v>
      </c>
    </row>
    <row r="53" spans="2:7" ht="20.399999999999999" x14ac:dyDescent="0.3">
      <c r="B53" s="29" t="s">
        <v>79</v>
      </c>
      <c r="C53" s="16" t="s">
        <v>80</v>
      </c>
      <c r="D53" s="10" t="s">
        <v>81</v>
      </c>
      <c r="E53" s="30">
        <f>0.0140407*D23-1.75254*((D17)^(1/3))/D9-4.79323*D24-E54</f>
        <v>-2.0511864151783499</v>
      </c>
      <c r="F53" s="10"/>
      <c r="G53" s="36"/>
    </row>
    <row r="54" spans="2:7" ht="20.399999999999999" x14ac:dyDescent="0.3">
      <c r="B54" s="33" t="s">
        <v>62</v>
      </c>
      <c r="C54" s="16" t="s">
        <v>82</v>
      </c>
      <c r="D54" s="10" t="s">
        <v>83</v>
      </c>
      <c r="E54" s="37">
        <f>8.07981*D21-13.8673*D21^2+6.984388*D21^3</f>
        <v>1.1466415913559991</v>
      </c>
      <c r="F54" s="13"/>
      <c r="G54" s="38" t="s">
        <v>84</v>
      </c>
    </row>
    <row r="55" spans="2:7" ht="20.399999999999999" x14ac:dyDescent="0.3">
      <c r="B55" s="33" t="s">
        <v>62</v>
      </c>
      <c r="C55" s="16" t="s">
        <v>85</v>
      </c>
      <c r="D55" s="10"/>
      <c r="E55" s="30">
        <v>1.6938500000000001</v>
      </c>
      <c r="F55" s="13"/>
      <c r="G55" s="34" t="s">
        <v>86</v>
      </c>
    </row>
    <row r="56" spans="2:7" ht="20.399999999999999" x14ac:dyDescent="0.3">
      <c r="B56" s="29" t="s">
        <v>49</v>
      </c>
      <c r="C56" s="39" t="s">
        <v>87</v>
      </c>
      <c r="D56" s="10" t="s">
        <v>88</v>
      </c>
      <c r="E56" s="30">
        <f>1.446*D21-0.03*D22</f>
        <v>1.019790027855153</v>
      </c>
      <c r="F56" s="35"/>
      <c r="G56" s="34" t="s">
        <v>89</v>
      </c>
    </row>
    <row r="57" spans="2:7" ht="20.399999999999999" x14ac:dyDescent="0.3">
      <c r="B57" s="33" t="s">
        <v>90</v>
      </c>
      <c r="C57" s="16" t="s">
        <v>91</v>
      </c>
      <c r="D57" s="10"/>
      <c r="E57" s="30">
        <f>E46*0.02</f>
        <v>20.056389281995468</v>
      </c>
      <c r="F57" s="10"/>
      <c r="G57" s="36"/>
    </row>
    <row r="58" spans="2:7" ht="36" x14ac:dyDescent="0.3">
      <c r="B58" s="33" t="s">
        <v>92</v>
      </c>
      <c r="C58" s="16" t="s">
        <v>93</v>
      </c>
      <c r="D58" s="10" t="s">
        <v>94</v>
      </c>
      <c r="E58" s="40">
        <f>(0.105*((150^-9)^(1/3))-0.005579)/D9^(1/3)</f>
        <v>-1.3892646746319372E-3</v>
      </c>
      <c r="F58" s="10"/>
      <c r="G58" s="36"/>
    </row>
    <row r="59" spans="2:7" ht="20.399999999999999" x14ac:dyDescent="0.3">
      <c r="B59" s="29" t="s">
        <v>62</v>
      </c>
      <c r="C59" s="16" t="s">
        <v>95</v>
      </c>
      <c r="D59" s="41"/>
      <c r="E59" s="37">
        <v>0.04</v>
      </c>
      <c r="F59" s="35"/>
      <c r="G59" s="38" t="s">
        <v>96</v>
      </c>
    </row>
    <row r="60" spans="2:7" ht="20.399999999999999" x14ac:dyDescent="0.3">
      <c r="B60" s="33" t="s">
        <v>97</v>
      </c>
      <c r="C60" s="16" t="s">
        <v>98</v>
      </c>
      <c r="D60" s="10" t="s">
        <v>99</v>
      </c>
      <c r="E60" s="40">
        <f>0.006*(D9+100)^-0.16-0.00205+0.003*SQRT(D9/7.5)*D18^4*E52*(0.04-E59)</f>
        <v>6.012761499391249E-4</v>
      </c>
      <c r="F60" s="10"/>
      <c r="G60" s="36"/>
    </row>
    <row r="61" spans="2:7" ht="36" x14ac:dyDescent="0.3">
      <c r="B61" s="33" t="s">
        <v>100</v>
      </c>
      <c r="C61" s="16" t="s">
        <v>101</v>
      </c>
      <c r="D61" s="10"/>
      <c r="E61" s="10">
        <v>0</v>
      </c>
      <c r="F61" s="10" t="s">
        <v>113</v>
      </c>
      <c r="G61" s="34" t="s">
        <v>102</v>
      </c>
    </row>
    <row r="62" spans="2:7" ht="18" x14ac:dyDescent="0.3">
      <c r="B62" s="33" t="s">
        <v>103</v>
      </c>
      <c r="C62" s="16"/>
      <c r="D62" s="10" t="s">
        <v>104</v>
      </c>
      <c r="E62" s="30"/>
      <c r="F62" s="10"/>
      <c r="G62" s="34" t="s">
        <v>200</v>
      </c>
    </row>
    <row r="63" spans="2:7" ht="18" x14ac:dyDescent="0.3">
      <c r="B63" s="29" t="s">
        <v>105</v>
      </c>
      <c r="C63" s="16"/>
      <c r="D63" s="10" t="s">
        <v>0</v>
      </c>
      <c r="E63" s="30">
        <f>D28*0.5144</f>
        <v>4.6295999999999999</v>
      </c>
      <c r="F63" s="10" t="s">
        <v>106</v>
      </c>
      <c r="G63" s="36"/>
    </row>
    <row r="64" spans="2:7" ht="20.399999999999999" x14ac:dyDescent="0.3">
      <c r="B64" s="29" t="s">
        <v>107</v>
      </c>
      <c r="C64" s="16"/>
      <c r="D64" s="10"/>
      <c r="E64" s="30">
        <v>0</v>
      </c>
      <c r="F64" s="10"/>
      <c r="G64" s="34" t="s">
        <v>200</v>
      </c>
    </row>
    <row r="65" spans="2:7" ht="24.6" x14ac:dyDescent="0.3">
      <c r="B65" s="29" t="s">
        <v>108</v>
      </c>
      <c r="C65" s="16"/>
      <c r="D65" s="41" t="s">
        <v>109</v>
      </c>
      <c r="E65" s="40">
        <f>$E$55*0.4*EXP(-0.034*(D91)^-3.29)</f>
        <v>8.6261728505844848E-5</v>
      </c>
      <c r="F65" s="10"/>
      <c r="G65" s="36"/>
    </row>
    <row r="66" spans="2:7" ht="36" x14ac:dyDescent="0.3">
      <c r="B66" s="33" t="s">
        <v>110</v>
      </c>
      <c r="C66" s="16" t="s">
        <v>111</v>
      </c>
      <c r="D66" s="10" t="s">
        <v>112</v>
      </c>
      <c r="E66" s="30">
        <f>0.5*D15*1000*E63*E63*E50*E64</f>
        <v>0</v>
      </c>
      <c r="F66" s="10" t="s">
        <v>113</v>
      </c>
      <c r="G66" s="34" t="s">
        <v>200</v>
      </c>
    </row>
    <row r="67" spans="2:7" ht="18" x14ac:dyDescent="0.3">
      <c r="B67" s="42"/>
      <c r="C67" s="34"/>
      <c r="D67" s="34"/>
      <c r="E67" s="43"/>
      <c r="F67" s="34"/>
      <c r="G67" s="34"/>
    </row>
    <row r="68" spans="2:7" ht="18" x14ac:dyDescent="0.3">
      <c r="B68" s="42"/>
      <c r="C68" s="34"/>
      <c r="D68" s="34"/>
      <c r="E68" s="43"/>
      <c r="F68" s="34"/>
      <c r="G68" s="34"/>
    </row>
    <row r="69" spans="2:7" ht="25.05" customHeight="1" x14ac:dyDescent="0.3">
      <c r="C69" s="130" t="s">
        <v>114</v>
      </c>
      <c r="D69" s="131"/>
      <c r="E69" s="132"/>
    </row>
    <row r="70" spans="2:7" ht="25.05" customHeight="1" x14ac:dyDescent="0.3">
      <c r="C70" s="133"/>
      <c r="D70" s="134"/>
      <c r="E70" s="135"/>
    </row>
    <row r="71" spans="2:7" ht="25.05" customHeight="1" x14ac:dyDescent="0.3">
      <c r="C71" s="44" t="s">
        <v>115</v>
      </c>
      <c r="D71" s="44" t="s">
        <v>116</v>
      </c>
      <c r="E71" s="44" t="s">
        <v>117</v>
      </c>
    </row>
    <row r="72" spans="2:7" ht="25.05" customHeight="1" x14ac:dyDescent="0.3">
      <c r="C72" s="16" t="s">
        <v>118</v>
      </c>
      <c r="D72" s="10">
        <v>1.4</v>
      </c>
      <c r="E72" s="14">
        <f>$E$57*D72</f>
        <v>28.078944994793652</v>
      </c>
    </row>
    <row r="73" spans="2:7" ht="25.05" customHeight="1" x14ac:dyDescent="0.3">
      <c r="C73" s="16" t="s">
        <v>119</v>
      </c>
      <c r="D73" s="10">
        <v>2.8</v>
      </c>
      <c r="E73" s="14">
        <f>$E$57*D73</f>
        <v>56.157889989587304</v>
      </c>
    </row>
    <row r="74" spans="2:7" ht="25.05" customHeight="1" x14ac:dyDescent="0.3">
      <c r="C74" s="16" t="s">
        <v>120</v>
      </c>
      <c r="D74" s="10">
        <v>3</v>
      </c>
      <c r="E74" s="14">
        <f>$E$57*D74</f>
        <v>60.169167845986408</v>
      </c>
    </row>
    <row r="75" spans="2:7" ht="25.05" customHeight="1" x14ac:dyDescent="0.3">
      <c r="C75" s="16" t="s">
        <v>121</v>
      </c>
      <c r="D75" s="10">
        <v>3</v>
      </c>
      <c r="E75" s="14">
        <f>$E$57*D75</f>
        <v>60.169167845986408</v>
      </c>
    </row>
    <row r="76" spans="2:7" ht="25.05" customHeight="1" x14ac:dyDescent="0.3">
      <c r="C76" s="16" t="s">
        <v>122</v>
      </c>
      <c r="D76" s="10">
        <v>2</v>
      </c>
      <c r="E76" s="14">
        <f>$E$57*D76</f>
        <v>40.112778563990936</v>
      </c>
    </row>
    <row r="77" spans="2:7" ht="25.05" customHeight="1" x14ac:dyDescent="0.3">
      <c r="C77" s="16" t="s">
        <v>123</v>
      </c>
      <c r="D77" s="45"/>
      <c r="E77" s="46">
        <f>SUM(E72:E76)</f>
        <v>244.68794924034469</v>
      </c>
    </row>
    <row r="78" spans="2:7" ht="18" x14ac:dyDescent="0.3">
      <c r="B78" s="47"/>
      <c r="C78" s="47"/>
      <c r="D78" s="48"/>
    </row>
    <row r="79" spans="2:7" ht="18" x14ac:dyDescent="0.3">
      <c r="B79" s="34"/>
      <c r="F79" s="48"/>
    </row>
    <row r="80" spans="2:7" ht="36" x14ac:dyDescent="0.3">
      <c r="B80" s="33" t="s">
        <v>124</v>
      </c>
      <c r="C80" s="16" t="s">
        <v>125</v>
      </c>
      <c r="D80" s="10" t="s">
        <v>126</v>
      </c>
      <c r="E80" s="136">
        <f>E77/(5*E57)</f>
        <v>2.44</v>
      </c>
      <c r="F80" s="136"/>
    </row>
    <row r="82" spans="2:14" x14ac:dyDescent="0.3">
      <c r="E82" s="49"/>
      <c r="F82" s="36"/>
    </row>
    <row r="83" spans="2:14" ht="14.4" customHeight="1" thickBot="1" x14ac:dyDescent="0.35"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</row>
    <row r="84" spans="2:14" ht="14.4" customHeight="1" x14ac:dyDescent="0.3">
      <c r="D84" s="137" t="s">
        <v>127</v>
      </c>
      <c r="E84" s="50"/>
      <c r="F84" s="50"/>
      <c r="G84" s="50"/>
      <c r="H84" s="50"/>
      <c r="I84" s="50"/>
      <c r="J84" s="50"/>
      <c r="K84" s="50"/>
      <c r="L84" s="50"/>
      <c r="M84" s="50"/>
      <c r="N84" s="50"/>
    </row>
    <row r="85" spans="2:14" ht="14.4" customHeight="1" x14ac:dyDescent="0.3">
      <c r="D85" s="138"/>
      <c r="E85" s="50"/>
      <c r="F85" s="50"/>
      <c r="G85" s="50"/>
      <c r="H85" s="50"/>
      <c r="I85" s="50"/>
      <c r="J85" s="50"/>
      <c r="K85" s="50"/>
      <c r="L85" s="50"/>
      <c r="M85" s="50"/>
      <c r="N85" s="50"/>
    </row>
    <row r="86" spans="2:14" ht="14.4" customHeight="1" x14ac:dyDescent="0.3">
      <c r="D86" s="138"/>
      <c r="E86" s="50"/>
      <c r="F86" s="50"/>
      <c r="G86" s="50"/>
      <c r="H86" s="50"/>
      <c r="I86" s="50"/>
      <c r="J86" s="50"/>
      <c r="K86" s="50"/>
      <c r="L86" s="50"/>
      <c r="M86" s="50"/>
      <c r="N86" s="50"/>
    </row>
    <row r="87" spans="2:14" ht="14.4" customHeight="1" thickBot="1" x14ac:dyDescent="0.35">
      <c r="B87" s="51"/>
      <c r="C87" s="51"/>
      <c r="D87" s="139"/>
      <c r="E87" s="50"/>
      <c r="F87" s="50"/>
      <c r="G87" s="50"/>
      <c r="H87" s="50"/>
      <c r="I87" s="50"/>
      <c r="J87" s="50"/>
      <c r="K87" s="50"/>
      <c r="L87" s="50"/>
      <c r="M87" s="50"/>
      <c r="N87" s="50"/>
    </row>
    <row r="89" spans="2:14" ht="25.05" customHeight="1" x14ac:dyDescent="0.3">
      <c r="D89" s="44" t="s">
        <v>128</v>
      </c>
    </row>
    <row r="90" spans="2:14" ht="25.05" customHeight="1" x14ac:dyDescent="0.3">
      <c r="D90" s="16" t="s">
        <v>201</v>
      </c>
    </row>
    <row r="91" spans="2:14" ht="25.05" customHeight="1" x14ac:dyDescent="0.3">
      <c r="D91" s="14">
        <f>E63/SQRT(9.81*D9)</f>
        <v>0.1836773248920347</v>
      </c>
    </row>
    <row r="92" spans="2:14" ht="25.05" customHeight="1" x14ac:dyDescent="0.3">
      <c r="D92" s="34"/>
    </row>
    <row r="93" spans="2:14" ht="25.05" customHeight="1" x14ac:dyDescent="0.3">
      <c r="D93" s="44" t="s">
        <v>129</v>
      </c>
      <c r="E93" s="52"/>
      <c r="F93" s="52"/>
      <c r="G93" s="36" t="s">
        <v>0</v>
      </c>
      <c r="H93" s="36"/>
      <c r="I93" s="52"/>
      <c r="J93" s="36"/>
      <c r="K93" s="36"/>
      <c r="L93" s="36"/>
      <c r="M93" s="52"/>
      <c r="N93" s="52"/>
    </row>
    <row r="94" spans="2:14" ht="25.05" customHeight="1" x14ac:dyDescent="0.3">
      <c r="D94" s="16" t="s">
        <v>130</v>
      </c>
      <c r="E94" s="52"/>
      <c r="F94" s="52"/>
      <c r="G94" s="36"/>
      <c r="H94" s="36"/>
    </row>
    <row r="95" spans="2:14" ht="25.05" customHeight="1" x14ac:dyDescent="0.3">
      <c r="D95" s="11">
        <f>(E63*$D$9)/$D$16</f>
        <v>262993768.42105263</v>
      </c>
      <c r="E95" s="52"/>
      <c r="F95" s="52"/>
      <c r="G95" s="36"/>
      <c r="H95" s="36"/>
    </row>
    <row r="96" spans="2:14" ht="25.05" customHeight="1" x14ac:dyDescent="0.3">
      <c r="D96" s="53"/>
      <c r="E96" s="52"/>
      <c r="F96" s="52"/>
      <c r="G96" s="36"/>
      <c r="H96" s="36"/>
    </row>
    <row r="97" spans="4:14" ht="25.05" customHeight="1" x14ac:dyDescent="0.3">
      <c r="D97" s="54" t="s">
        <v>131</v>
      </c>
      <c r="E97" s="52"/>
      <c r="F97" s="52"/>
      <c r="G97" s="36"/>
      <c r="H97" s="36"/>
    </row>
    <row r="98" spans="4:14" ht="25.05" customHeight="1" x14ac:dyDescent="0.3">
      <c r="D98" s="16" t="s">
        <v>202</v>
      </c>
      <c r="E98" s="52"/>
      <c r="F98" s="52"/>
      <c r="G98" s="36"/>
      <c r="H98" s="36"/>
      <c r="I98" s="52"/>
      <c r="J98" s="36"/>
      <c r="K98" s="36"/>
      <c r="L98" s="36"/>
      <c r="M98" s="52"/>
      <c r="N98" s="52"/>
    </row>
    <row r="99" spans="4:14" ht="25.05" customHeight="1" x14ac:dyDescent="0.3">
      <c r="D99" s="55">
        <f>0.075/(LOG10(D95)-2)^2</f>
        <v>1.819694935988814E-3</v>
      </c>
      <c r="E99" s="52"/>
      <c r="F99" s="52"/>
      <c r="G99" s="36"/>
      <c r="H99" s="36"/>
      <c r="I99" s="52"/>
      <c r="J99" s="36"/>
      <c r="K99" s="36"/>
      <c r="L99" s="36"/>
      <c r="M99" s="52"/>
      <c r="N99" s="52"/>
    </row>
    <row r="100" spans="4:14" ht="25.05" customHeight="1" x14ac:dyDescent="0.3">
      <c r="D100" s="53"/>
      <c r="E100" s="52"/>
      <c r="F100" s="52"/>
      <c r="G100" s="36"/>
      <c r="H100" s="36"/>
      <c r="I100" s="52"/>
      <c r="J100" s="36"/>
      <c r="K100" s="36"/>
      <c r="L100" s="36"/>
      <c r="M100" s="52"/>
      <c r="N100" s="52"/>
    </row>
    <row r="101" spans="4:14" ht="25.05" customHeight="1" x14ac:dyDescent="0.3">
      <c r="D101" s="44" t="s">
        <v>132</v>
      </c>
      <c r="E101" s="52"/>
      <c r="F101" s="52"/>
      <c r="G101" s="36"/>
      <c r="H101" s="36"/>
      <c r="I101" s="52"/>
      <c r="J101" s="36"/>
      <c r="K101" s="36"/>
      <c r="L101" s="36"/>
      <c r="M101" s="52"/>
      <c r="N101" s="52"/>
    </row>
    <row r="102" spans="4:14" ht="25.05" customHeight="1" x14ac:dyDescent="0.3">
      <c r="D102" s="16" t="s">
        <v>133</v>
      </c>
      <c r="E102" s="52"/>
      <c r="F102" s="52"/>
      <c r="G102" s="36"/>
      <c r="H102" s="36"/>
      <c r="I102" s="52"/>
      <c r="J102" s="36"/>
      <c r="K102" s="36"/>
      <c r="L102" s="36"/>
      <c r="M102" s="52"/>
      <c r="N102" s="52"/>
    </row>
    <row r="103" spans="4:14" ht="25.05" customHeight="1" x14ac:dyDescent="0.3">
      <c r="D103" s="14">
        <f>D99*(0.5*1000*$E$46*E63^2)</f>
        <v>19555.921455350992</v>
      </c>
      <c r="E103" s="56"/>
      <c r="F103" s="52"/>
      <c r="G103" s="36"/>
      <c r="H103" s="36"/>
      <c r="I103" s="52"/>
      <c r="J103" s="36"/>
      <c r="K103" s="36"/>
      <c r="L103" s="36"/>
      <c r="M103" s="52"/>
      <c r="N103" s="52"/>
    </row>
    <row r="104" spans="4:14" ht="25.05" customHeight="1" x14ac:dyDescent="0.3">
      <c r="D104" s="53"/>
      <c r="E104" s="56"/>
      <c r="F104" s="52"/>
      <c r="G104" s="36"/>
      <c r="H104" s="36"/>
      <c r="I104" s="52"/>
      <c r="J104" s="36"/>
      <c r="K104" s="36"/>
      <c r="L104" s="36"/>
      <c r="M104" s="52"/>
      <c r="N104" s="52"/>
    </row>
    <row r="105" spans="4:14" ht="25.05" customHeight="1" x14ac:dyDescent="0.3">
      <c r="D105" s="54" t="s">
        <v>134</v>
      </c>
      <c r="E105" s="56"/>
      <c r="F105" s="52"/>
      <c r="G105" s="36"/>
      <c r="H105" s="36"/>
      <c r="I105" s="52"/>
      <c r="J105" s="36"/>
      <c r="K105" s="36"/>
      <c r="L105" s="36"/>
      <c r="M105" s="52"/>
      <c r="N105" s="52"/>
    </row>
    <row r="106" spans="4:14" ht="25.05" customHeight="1" x14ac:dyDescent="0.3">
      <c r="D106" s="16" t="s">
        <v>135</v>
      </c>
      <c r="E106" s="56"/>
      <c r="F106" s="52"/>
      <c r="G106" s="36"/>
      <c r="H106" s="36"/>
      <c r="I106" s="52"/>
      <c r="J106" s="36"/>
      <c r="K106" s="36"/>
      <c r="L106" s="36"/>
      <c r="M106" s="52"/>
      <c r="N106" s="52"/>
    </row>
    <row r="107" spans="4:14" ht="25.05" customHeight="1" x14ac:dyDescent="0.3">
      <c r="D107" s="14">
        <f>$E$49*$E$52*$E$51*$D$17*$D$15*1000*9.81*EXP($E$53*D91^-0.9+E65*COS(0.01745*$E$56*D91^-2))</f>
        <v>7161.8201753746334</v>
      </c>
      <c r="E107" s="56"/>
      <c r="F107" s="52"/>
      <c r="G107" s="36"/>
      <c r="H107" s="36"/>
      <c r="I107" s="52"/>
      <c r="J107" s="36"/>
      <c r="K107" s="36"/>
      <c r="L107" s="36"/>
      <c r="M107" s="52"/>
      <c r="N107" s="52"/>
    </row>
    <row r="108" spans="4:14" ht="25.05" customHeight="1" x14ac:dyDescent="0.3">
      <c r="D108" s="53"/>
      <c r="E108" s="56"/>
      <c r="F108" s="52"/>
      <c r="G108" s="36"/>
      <c r="H108" s="36"/>
      <c r="I108" s="52"/>
      <c r="J108" s="36"/>
      <c r="K108" s="36"/>
      <c r="L108" s="36"/>
      <c r="M108" s="52"/>
      <c r="N108" s="52"/>
    </row>
    <row r="109" spans="4:14" ht="25.05" customHeight="1" x14ac:dyDescent="0.3">
      <c r="D109" s="54" t="s">
        <v>136</v>
      </c>
      <c r="E109" s="56"/>
      <c r="F109" s="52"/>
      <c r="G109" s="36"/>
      <c r="H109" s="36"/>
      <c r="I109" s="52"/>
      <c r="J109" s="36"/>
      <c r="K109" s="36"/>
      <c r="L109" s="36"/>
      <c r="M109" s="52"/>
      <c r="N109" s="52"/>
    </row>
    <row r="110" spans="4:14" ht="25.05" customHeight="1" x14ac:dyDescent="0.3">
      <c r="D110" s="16" t="s">
        <v>137</v>
      </c>
      <c r="E110" s="56"/>
      <c r="F110" s="52"/>
      <c r="G110" s="36"/>
      <c r="H110" s="36"/>
      <c r="I110" s="52"/>
      <c r="J110" s="36"/>
      <c r="K110" s="36"/>
      <c r="L110" s="36"/>
      <c r="M110" s="52"/>
      <c r="N110" s="52"/>
    </row>
    <row r="111" spans="4:14" ht="25.05" customHeight="1" x14ac:dyDescent="0.3">
      <c r="D111" s="14">
        <f>0.5*1000*E63^2*$E$57*$E$80*D99</f>
        <v>954.32896702112839</v>
      </c>
      <c r="E111" s="56"/>
      <c r="F111" s="52"/>
      <c r="G111" s="36"/>
      <c r="H111" s="36"/>
      <c r="I111" s="52"/>
      <c r="J111" s="36"/>
      <c r="K111" s="36"/>
      <c r="L111" s="36"/>
      <c r="M111" s="52"/>
      <c r="N111" s="52"/>
    </row>
    <row r="112" spans="4:14" ht="25.05" customHeight="1" x14ac:dyDescent="0.3">
      <c r="D112" s="53"/>
      <c r="E112" s="56"/>
      <c r="F112" s="52"/>
      <c r="G112" s="36"/>
      <c r="H112" s="36"/>
      <c r="I112" s="52"/>
      <c r="J112" s="36"/>
      <c r="K112" s="36"/>
      <c r="L112" s="36"/>
      <c r="M112" s="52"/>
      <c r="N112" s="52"/>
    </row>
    <row r="113" spans="4:14" ht="25.05" customHeight="1" x14ac:dyDescent="0.3">
      <c r="D113" s="54" t="s">
        <v>138</v>
      </c>
      <c r="E113" s="56"/>
      <c r="F113" s="52"/>
      <c r="G113" s="36"/>
      <c r="H113" s="36"/>
      <c r="I113" s="52"/>
      <c r="J113" s="36"/>
      <c r="K113" s="36"/>
      <c r="L113" s="36"/>
      <c r="M113" s="52"/>
      <c r="N113" s="52"/>
    </row>
    <row r="114" spans="4:14" ht="25.05" customHeight="1" x14ac:dyDescent="0.3">
      <c r="D114" s="16" t="s">
        <v>139</v>
      </c>
      <c r="E114" s="56"/>
      <c r="F114" s="52"/>
      <c r="G114" s="36"/>
      <c r="H114" s="36"/>
      <c r="I114" s="52"/>
      <c r="J114" s="36"/>
      <c r="K114" s="36"/>
      <c r="L114" s="36"/>
      <c r="M114" s="52"/>
      <c r="N114" s="52"/>
    </row>
    <row r="115" spans="4:14" ht="25.05" customHeight="1" x14ac:dyDescent="0.3">
      <c r="D115" s="14">
        <f>0.5*1000*E63^2*$E$46*$E$60</f>
        <v>6461.8024310738947</v>
      </c>
      <c r="E115" s="56"/>
      <c r="F115" s="52"/>
      <c r="G115" s="36"/>
      <c r="H115" s="36"/>
      <c r="I115" s="52"/>
      <c r="J115" s="36"/>
      <c r="K115" s="36"/>
      <c r="L115" s="36"/>
      <c r="M115" s="52"/>
      <c r="N115" s="52"/>
    </row>
    <row r="116" spans="4:14" ht="25.05" customHeight="1" x14ac:dyDescent="0.3">
      <c r="D116" s="53"/>
      <c r="E116" s="56"/>
      <c r="F116" s="52"/>
      <c r="G116" s="36"/>
      <c r="H116" s="36"/>
      <c r="I116" s="52"/>
      <c r="J116" s="36"/>
      <c r="K116" s="36"/>
      <c r="L116" s="36"/>
      <c r="M116" s="52"/>
      <c r="N116" s="52"/>
    </row>
    <row r="117" spans="4:14" ht="25.05" customHeight="1" x14ac:dyDescent="0.3">
      <c r="D117" s="54" t="s">
        <v>140</v>
      </c>
      <c r="E117" s="56"/>
      <c r="F117" s="52"/>
      <c r="G117" s="36"/>
      <c r="H117" s="36"/>
      <c r="I117" s="52"/>
      <c r="J117" s="36"/>
      <c r="K117" s="36"/>
      <c r="L117" s="36"/>
      <c r="M117" s="52"/>
      <c r="N117" s="52"/>
    </row>
    <row r="118" spans="4:14" ht="25.05" customHeight="1" x14ac:dyDescent="0.3">
      <c r="D118" s="16" t="s">
        <v>141</v>
      </c>
      <c r="E118" s="56"/>
      <c r="F118" s="52"/>
      <c r="G118" s="36"/>
      <c r="H118" s="36"/>
      <c r="I118" s="52"/>
      <c r="J118" s="36"/>
      <c r="K118" s="36"/>
      <c r="L118" s="36"/>
      <c r="M118" s="52"/>
      <c r="N118" s="52"/>
    </row>
    <row r="119" spans="4:14" ht="25.05" customHeight="1" x14ac:dyDescent="0.3">
      <c r="D119" s="14">
        <f>E66</f>
        <v>0</v>
      </c>
      <c r="E119" s="56"/>
      <c r="F119" s="52"/>
      <c r="G119" s="36"/>
      <c r="H119" s="36"/>
      <c r="I119" s="52"/>
      <c r="J119" s="36"/>
      <c r="K119" s="36"/>
      <c r="L119" s="36"/>
      <c r="M119" s="52"/>
      <c r="N119" s="52"/>
    </row>
    <row r="120" spans="4:14" ht="25.05" customHeight="1" x14ac:dyDescent="0.3">
      <c r="D120" s="53"/>
      <c r="E120" s="56"/>
      <c r="F120" s="52"/>
      <c r="G120" s="36"/>
      <c r="H120" s="36"/>
      <c r="I120" s="52"/>
      <c r="J120" s="36"/>
      <c r="K120" s="36"/>
      <c r="L120" s="36"/>
      <c r="M120" s="52"/>
      <c r="N120" s="52"/>
    </row>
    <row r="121" spans="4:14" ht="25.05" customHeight="1" x14ac:dyDescent="0.3">
      <c r="D121" s="54" t="s">
        <v>142</v>
      </c>
      <c r="E121" s="56"/>
      <c r="F121" s="52"/>
      <c r="G121" s="36"/>
      <c r="H121" s="36"/>
      <c r="I121" s="52"/>
      <c r="J121" s="36"/>
      <c r="K121" s="36"/>
      <c r="L121" s="36"/>
      <c r="M121" s="52"/>
      <c r="N121" s="52"/>
    </row>
    <row r="122" spans="4:14" ht="25.05" customHeight="1" x14ac:dyDescent="0.3">
      <c r="D122" s="16" t="s">
        <v>101</v>
      </c>
      <c r="E122" s="56"/>
      <c r="F122" s="52"/>
      <c r="G122" s="36"/>
      <c r="H122" s="36"/>
      <c r="I122" s="52"/>
      <c r="J122" s="36"/>
      <c r="K122" s="36"/>
      <c r="L122" s="36"/>
      <c r="M122" s="52"/>
      <c r="N122" s="52"/>
    </row>
    <row r="123" spans="4:14" ht="25.05" customHeight="1" x14ac:dyDescent="0.3">
      <c r="D123" s="10">
        <f>E61</f>
        <v>0</v>
      </c>
      <c r="E123" s="56"/>
      <c r="F123" s="52"/>
      <c r="G123" s="36"/>
      <c r="H123" s="36"/>
      <c r="I123" s="52"/>
      <c r="J123" s="36"/>
      <c r="K123" s="36"/>
      <c r="L123" s="36"/>
      <c r="M123" s="52"/>
      <c r="N123" s="52"/>
    </row>
    <row r="124" spans="4:14" ht="25.05" customHeight="1" x14ac:dyDescent="0.3">
      <c r="D124" s="53"/>
      <c r="E124" s="56"/>
      <c r="F124" s="52"/>
      <c r="G124" s="36"/>
      <c r="H124" s="36"/>
      <c r="I124" s="52"/>
      <c r="J124" s="36"/>
      <c r="K124" s="36"/>
      <c r="L124" s="36"/>
      <c r="M124" s="52"/>
      <c r="N124" s="52"/>
    </row>
    <row r="125" spans="4:14" ht="25.05" customHeight="1" x14ac:dyDescent="0.3">
      <c r="D125" s="54" t="s">
        <v>143</v>
      </c>
      <c r="E125" s="56"/>
      <c r="F125" s="52"/>
      <c r="G125" s="36"/>
      <c r="H125" s="36"/>
      <c r="I125" s="52"/>
      <c r="J125" s="36"/>
      <c r="K125" s="36"/>
      <c r="L125" s="36"/>
      <c r="M125" s="52"/>
      <c r="N125" s="52"/>
    </row>
    <row r="126" spans="4:14" ht="25.05" customHeight="1" x14ac:dyDescent="0.3">
      <c r="D126" s="16" t="s">
        <v>144</v>
      </c>
      <c r="E126" s="56"/>
      <c r="F126" s="52"/>
      <c r="G126" s="36"/>
      <c r="H126" s="36"/>
      <c r="I126" s="52"/>
      <c r="J126" s="36"/>
      <c r="K126" s="36"/>
      <c r="L126" s="36"/>
      <c r="M126" s="52"/>
      <c r="N126" s="52"/>
    </row>
    <row r="127" spans="4:14" ht="25.05" customHeight="1" x14ac:dyDescent="0.3">
      <c r="D127" s="14">
        <f>D103*$E$44+D111+D107+$E$61+$E$66+D115+D119</f>
        <v>42603.145830782043</v>
      </c>
      <c r="E127" s="56"/>
      <c r="F127" s="52"/>
      <c r="G127" s="36"/>
      <c r="H127" s="36"/>
      <c r="I127" s="52"/>
      <c r="J127" s="36"/>
      <c r="K127" s="36"/>
      <c r="L127" s="36"/>
      <c r="M127" s="52"/>
      <c r="N127" s="52"/>
    </row>
    <row r="128" spans="4:14" ht="25.05" customHeight="1" x14ac:dyDescent="0.3">
      <c r="D128" s="53"/>
      <c r="E128" s="52"/>
      <c r="F128" s="52"/>
      <c r="G128" s="36"/>
      <c r="H128" s="36"/>
      <c r="I128" s="52"/>
      <c r="J128" s="36"/>
      <c r="K128" s="36"/>
      <c r="L128" s="36"/>
      <c r="M128" s="52"/>
      <c r="N128" s="52"/>
    </row>
    <row r="129" spans="2:14" ht="25.05" customHeight="1" x14ac:dyDescent="0.3">
      <c r="D129" s="54" t="s">
        <v>145</v>
      </c>
      <c r="E129" s="52"/>
      <c r="F129" s="52"/>
      <c r="G129" s="36"/>
      <c r="H129" s="36"/>
      <c r="I129" s="52"/>
      <c r="J129" s="36"/>
      <c r="K129" s="36"/>
      <c r="L129" s="36"/>
      <c r="M129" s="52"/>
      <c r="N129" s="52"/>
    </row>
    <row r="130" spans="2:14" ht="25.05" customHeight="1" x14ac:dyDescent="0.3">
      <c r="D130" s="16" t="s">
        <v>146</v>
      </c>
      <c r="E130" s="52"/>
      <c r="F130" s="52"/>
      <c r="G130" s="36"/>
      <c r="H130" s="36"/>
      <c r="I130" s="52"/>
      <c r="J130" s="36"/>
      <c r="K130" s="36"/>
      <c r="L130" s="36"/>
      <c r="M130" s="52"/>
      <c r="N130" s="52"/>
    </row>
    <row r="131" spans="2:14" ht="25.05" customHeight="1" x14ac:dyDescent="0.3">
      <c r="D131" s="55">
        <f>D127/(0.5*1000*$E$46*E63^2)</f>
        <v>3.9642585445266408E-3</v>
      </c>
      <c r="E131" s="52"/>
      <c r="F131" s="52"/>
      <c r="G131" s="36"/>
      <c r="H131" s="36"/>
      <c r="I131" s="52"/>
      <c r="J131" s="36"/>
      <c r="K131" s="36"/>
      <c r="L131" s="36"/>
      <c r="M131" s="52"/>
      <c r="N131" s="52"/>
    </row>
    <row r="132" spans="2:14" ht="18" x14ac:dyDescent="0.3">
      <c r="D132" s="53"/>
      <c r="E132" s="52"/>
      <c r="F132" s="52"/>
      <c r="G132" s="36"/>
      <c r="H132" s="36"/>
      <c r="I132" s="52"/>
      <c r="J132" s="36"/>
      <c r="K132" s="36"/>
      <c r="L132" s="36"/>
      <c r="M132" s="52"/>
      <c r="N132" s="52"/>
    </row>
    <row r="133" spans="2:14" ht="18" x14ac:dyDescent="0.3">
      <c r="D133" s="53"/>
      <c r="E133" s="52"/>
      <c r="F133" s="52"/>
      <c r="G133" s="36"/>
      <c r="H133" s="36"/>
      <c r="I133" s="52"/>
      <c r="J133" s="36"/>
      <c r="K133" s="36"/>
      <c r="L133" s="36"/>
      <c r="M133" s="52"/>
      <c r="N133" s="52"/>
    </row>
    <row r="134" spans="2:14" x14ac:dyDescent="0.3">
      <c r="I134" s="52"/>
      <c r="J134" s="36"/>
      <c r="K134" s="36"/>
      <c r="L134" s="36"/>
      <c r="M134" s="52"/>
      <c r="N134" s="52"/>
    </row>
    <row r="135" spans="2:14" x14ac:dyDescent="0.3">
      <c r="I135" s="52"/>
      <c r="J135" s="36"/>
      <c r="K135" s="36"/>
      <c r="L135" s="36"/>
      <c r="M135" s="52"/>
      <c r="N135" s="52"/>
    </row>
    <row r="136" spans="2:14" x14ac:dyDescent="0.3">
      <c r="I136" s="52"/>
      <c r="J136" s="36"/>
      <c r="K136" s="36"/>
      <c r="L136" s="36"/>
      <c r="M136" s="52"/>
      <c r="N136" s="52"/>
    </row>
    <row r="137" spans="2:14" x14ac:dyDescent="0.3">
      <c r="I137" s="52"/>
      <c r="J137" s="36"/>
      <c r="K137" s="36"/>
      <c r="L137" s="36"/>
      <c r="M137" s="52"/>
      <c r="N137" s="52"/>
    </row>
    <row r="138" spans="2:14" ht="15" thickBot="1" x14ac:dyDescent="0.35">
      <c r="I138" s="52"/>
      <c r="J138" s="36"/>
      <c r="K138" s="36"/>
      <c r="L138" s="36"/>
      <c r="M138" s="52"/>
      <c r="N138" s="52"/>
    </row>
    <row r="139" spans="2:14" ht="14.4" customHeight="1" x14ac:dyDescent="0.3">
      <c r="C139" s="140" t="s">
        <v>147</v>
      </c>
      <c r="D139" s="141"/>
      <c r="E139" s="141"/>
      <c r="F139" s="141"/>
      <c r="G139" s="142"/>
      <c r="H139" s="57"/>
      <c r="I139" s="52"/>
      <c r="J139" s="36"/>
      <c r="K139" s="36"/>
      <c r="L139" s="36"/>
      <c r="M139" s="52"/>
      <c r="N139" s="52"/>
    </row>
    <row r="140" spans="2:14" ht="18" customHeight="1" x14ac:dyDescent="0.3">
      <c r="B140" s="57"/>
      <c r="C140" s="143"/>
      <c r="D140" s="144"/>
      <c r="E140" s="144"/>
      <c r="F140" s="144"/>
      <c r="G140" s="145"/>
      <c r="H140" s="57"/>
      <c r="I140" s="52"/>
      <c r="J140" s="36"/>
      <c r="K140" s="36"/>
      <c r="L140" s="36"/>
      <c r="M140" s="52"/>
      <c r="N140" s="52"/>
    </row>
    <row r="141" spans="2:14" ht="18" customHeight="1" x14ac:dyDescent="0.3">
      <c r="B141" s="57"/>
      <c r="C141" s="143"/>
      <c r="D141" s="144"/>
      <c r="E141" s="144"/>
      <c r="F141" s="144"/>
      <c r="G141" s="145"/>
      <c r="H141" s="57"/>
      <c r="I141" s="52"/>
      <c r="J141" s="36"/>
      <c r="K141" s="36"/>
      <c r="L141" s="36"/>
      <c r="M141" s="52"/>
      <c r="N141" s="52"/>
    </row>
    <row r="142" spans="2:14" ht="14.4" customHeight="1" x14ac:dyDescent="0.3">
      <c r="B142" s="57"/>
      <c r="C142" s="143"/>
      <c r="D142" s="144"/>
      <c r="E142" s="144"/>
      <c r="F142" s="144"/>
      <c r="G142" s="145"/>
      <c r="H142" s="57"/>
      <c r="I142" s="52"/>
      <c r="J142" s="36"/>
      <c r="K142" s="36"/>
      <c r="L142" s="36"/>
      <c r="M142" s="52"/>
      <c r="N142" s="52"/>
    </row>
    <row r="143" spans="2:14" ht="14.4" customHeight="1" thickBot="1" x14ac:dyDescent="0.35">
      <c r="B143" s="57"/>
      <c r="C143" s="146"/>
      <c r="D143" s="147"/>
      <c r="E143" s="147"/>
      <c r="F143" s="147"/>
      <c r="G143" s="148"/>
      <c r="H143" s="57"/>
      <c r="I143" s="52"/>
      <c r="J143" s="36"/>
      <c r="K143" s="36"/>
      <c r="L143" s="36"/>
      <c r="M143" s="52"/>
      <c r="N143" s="52"/>
    </row>
    <row r="144" spans="2:14" ht="19.2" customHeight="1" x14ac:dyDescent="0.3">
      <c r="J144" s="36"/>
      <c r="K144" s="36"/>
      <c r="L144" s="36"/>
      <c r="M144" s="58"/>
      <c r="N144" s="58"/>
    </row>
    <row r="145" spans="2:14" ht="19.2" customHeight="1" x14ac:dyDescent="0.3">
      <c r="J145" s="36"/>
      <c r="K145" s="36"/>
      <c r="L145" s="36"/>
      <c r="M145" s="58"/>
      <c r="N145" s="58"/>
    </row>
    <row r="146" spans="2:14" ht="26.4" customHeight="1" x14ac:dyDescent="0.3">
      <c r="D146" s="59" t="s">
        <v>148</v>
      </c>
      <c r="E146" s="30">
        <f>0.6*D12</f>
        <v>2.2799999999999998</v>
      </c>
      <c r="F146" s="34" t="s">
        <v>4</v>
      </c>
      <c r="J146" s="36"/>
      <c r="K146" s="36"/>
      <c r="L146" s="36"/>
      <c r="M146" s="58"/>
      <c r="N146" s="58"/>
    </row>
    <row r="147" spans="2:14" ht="25.2" customHeight="1" x14ac:dyDescent="0.3">
      <c r="B147" s="49"/>
      <c r="D147" s="49"/>
      <c r="J147" s="36"/>
      <c r="K147" s="36"/>
      <c r="L147" s="36"/>
      <c r="M147" s="58"/>
      <c r="N147" s="58"/>
    </row>
    <row r="148" spans="2:14" ht="25.05" customHeight="1" x14ac:dyDescent="0.3">
      <c r="D148" s="60" t="s">
        <v>149</v>
      </c>
      <c r="E148" s="37">
        <f>D127*E63/1000</f>
        <v>197.23552393818852</v>
      </c>
      <c r="F148" s="34" t="s">
        <v>150</v>
      </c>
      <c r="G148" s="36"/>
      <c r="K148" s="36"/>
      <c r="L148" s="36"/>
      <c r="M148" s="58"/>
      <c r="N148" s="58"/>
    </row>
    <row r="149" spans="2:14" ht="25.05" customHeight="1" x14ac:dyDescent="0.3">
      <c r="D149" s="61"/>
      <c r="E149" s="62"/>
      <c r="F149" s="34"/>
      <c r="G149" s="36"/>
      <c r="K149" s="36"/>
      <c r="L149" s="36"/>
      <c r="M149" s="58"/>
      <c r="N149" s="58"/>
    </row>
    <row r="150" spans="2:14" ht="25.05" customHeight="1" x14ac:dyDescent="0.3">
      <c r="D150" s="60" t="s">
        <v>151</v>
      </c>
      <c r="E150" s="63">
        <f>(E44*D99)+E60</f>
        <v>3.2090440419593703E-3</v>
      </c>
      <c r="F150" s="34"/>
      <c r="G150" s="36"/>
      <c r="K150" s="36"/>
      <c r="L150" s="36"/>
      <c r="M150" s="58"/>
      <c r="N150" s="58"/>
    </row>
    <row r="151" spans="2:14" ht="25.05" customHeight="1" x14ac:dyDescent="0.3">
      <c r="D151" s="61"/>
      <c r="E151" s="64"/>
      <c r="F151" s="34"/>
      <c r="G151" s="36"/>
      <c r="K151" s="36"/>
      <c r="L151" s="36"/>
      <c r="M151" s="58"/>
      <c r="N151" s="58"/>
    </row>
    <row r="152" spans="2:14" ht="25.05" customHeight="1" x14ac:dyDescent="0.3">
      <c r="D152" s="59" t="s">
        <v>152</v>
      </c>
      <c r="E152" s="30">
        <f>(0.3095*D18+10*E150*D18)-(0.23*(E146/(D11*D12)^0.5))</f>
        <v>0.1913008238863218</v>
      </c>
      <c r="F152" s="149" t="s">
        <v>153</v>
      </c>
      <c r="K152" s="58"/>
      <c r="L152" s="58"/>
    </row>
    <row r="153" spans="2:14" ht="25.05" customHeight="1" x14ac:dyDescent="0.3">
      <c r="D153" s="59" t="s">
        <v>154</v>
      </c>
      <c r="E153" s="30">
        <f>0.325*D18-0.1885*E146/SQRT(D11*D12)</f>
        <v>0.19281898646650839</v>
      </c>
      <c r="F153" s="149"/>
      <c r="K153" s="58"/>
      <c r="L153" s="58"/>
    </row>
    <row r="154" spans="2:14" ht="25.05" customHeight="1" x14ac:dyDescent="0.3">
      <c r="C154" s="65"/>
      <c r="D154" s="59" t="s">
        <v>155</v>
      </c>
      <c r="E154" s="96">
        <v>0.7</v>
      </c>
      <c r="F154" s="34"/>
    </row>
    <row r="155" spans="2:14" ht="25.05" customHeight="1" x14ac:dyDescent="0.3">
      <c r="C155" s="65"/>
      <c r="D155" s="59" t="s">
        <v>156</v>
      </c>
      <c r="E155" s="30">
        <f>0.9737+(0.111*(D21-0.0225*D34*100-0.06325*(E154)))</f>
        <v>1.0604141238573193</v>
      </c>
      <c r="F155" s="34"/>
    </row>
    <row r="156" spans="2:14" ht="25.05" customHeight="1" x14ac:dyDescent="0.3">
      <c r="B156" s="65"/>
      <c r="C156" s="65"/>
      <c r="D156" s="60" t="s">
        <v>157</v>
      </c>
      <c r="E156" s="40">
        <f>(1-E153)/(1-E152)</f>
        <v>0.99812271036619293</v>
      </c>
      <c r="F156" s="34"/>
    </row>
    <row r="157" spans="2:14" ht="25.05" customHeight="1" x14ac:dyDescent="0.3">
      <c r="D157" s="66"/>
      <c r="E157" s="67">
        <f>E156</f>
        <v>0.99812271036619293</v>
      </c>
      <c r="F157" s="34"/>
    </row>
    <row r="158" spans="2:14" ht="25.05" customHeight="1" x14ac:dyDescent="0.3">
      <c r="D158" s="66"/>
      <c r="E158" s="68"/>
      <c r="F158" s="34"/>
    </row>
    <row r="159" spans="2:14" ht="25.05" customHeight="1" x14ac:dyDescent="0.3">
      <c r="B159" s="65"/>
      <c r="C159" s="65"/>
      <c r="D159" s="59" t="s">
        <v>158</v>
      </c>
      <c r="E159" s="30">
        <f>E148/E156</f>
        <v>197.60648855071778</v>
      </c>
      <c r="F159" s="34" t="s">
        <v>150</v>
      </c>
    </row>
    <row r="160" spans="2:14" ht="25.05" customHeight="1" x14ac:dyDescent="0.3">
      <c r="B160" s="65"/>
      <c r="C160" s="65"/>
      <c r="D160" s="60" t="s">
        <v>159</v>
      </c>
      <c r="E160" s="30">
        <f>D127/(1000*(1-E153))</f>
        <v>52.780163453404057</v>
      </c>
      <c r="F160" s="34" t="s">
        <v>160</v>
      </c>
    </row>
    <row r="161" spans="2:7" ht="25.05" customHeight="1" x14ac:dyDescent="0.3">
      <c r="B161" s="65"/>
      <c r="C161" s="65"/>
      <c r="D161" s="61"/>
      <c r="E161" s="43"/>
      <c r="F161" s="34"/>
    </row>
    <row r="162" spans="2:7" ht="25.05" customHeight="1" x14ac:dyDescent="0.3">
      <c r="B162" s="65"/>
      <c r="C162" s="65"/>
      <c r="D162" s="60" t="s">
        <v>161</v>
      </c>
      <c r="E162" s="30">
        <f>E146/2+0.2</f>
        <v>1.3399999999999999</v>
      </c>
      <c r="F162" s="34" t="s">
        <v>4</v>
      </c>
    </row>
    <row r="163" spans="2:7" ht="25.05" customHeight="1" x14ac:dyDescent="0.3">
      <c r="B163" s="65"/>
      <c r="C163" s="65"/>
      <c r="D163" s="59" t="s">
        <v>162</v>
      </c>
      <c r="E163" s="69">
        <v>4</v>
      </c>
      <c r="F163" s="34"/>
    </row>
    <row r="164" spans="2:7" ht="25.05" customHeight="1" x14ac:dyDescent="0.3">
      <c r="C164" s="65"/>
      <c r="D164" s="59" t="s">
        <v>163</v>
      </c>
      <c r="E164" s="70">
        <v>101300</v>
      </c>
      <c r="F164" s="34" t="s">
        <v>164</v>
      </c>
    </row>
    <row r="165" spans="2:7" ht="25.05" customHeight="1" x14ac:dyDescent="0.3">
      <c r="C165" s="65"/>
      <c r="D165" s="59" t="s">
        <v>165</v>
      </c>
      <c r="E165" s="70">
        <v>1646</v>
      </c>
      <c r="F165" s="34" t="s">
        <v>164</v>
      </c>
      <c r="G165" s="65" t="s">
        <v>166</v>
      </c>
    </row>
    <row r="166" spans="2:7" ht="25.05" customHeight="1" x14ac:dyDescent="0.3">
      <c r="C166" s="65"/>
      <c r="D166" s="59" t="s">
        <v>167</v>
      </c>
      <c r="E166" s="30">
        <f>D12-E162</f>
        <v>2.46</v>
      </c>
      <c r="F166" s="34" t="s">
        <v>4</v>
      </c>
    </row>
    <row r="167" spans="2:7" ht="25.05" customHeight="1" x14ac:dyDescent="0.3">
      <c r="C167" s="65"/>
      <c r="D167" s="59" t="s">
        <v>168</v>
      </c>
      <c r="E167" s="70">
        <f>E164+1000*9.8*E166</f>
        <v>125408</v>
      </c>
      <c r="F167" s="34" t="s">
        <v>164</v>
      </c>
    </row>
    <row r="168" spans="2:7" ht="25.05" customHeight="1" x14ac:dyDescent="0.3">
      <c r="C168" s="65"/>
      <c r="D168" s="59" t="s">
        <v>169</v>
      </c>
      <c r="E168" s="30">
        <v>0.1</v>
      </c>
      <c r="F168" s="34" t="s">
        <v>153</v>
      </c>
    </row>
    <row r="169" spans="2:7" ht="25.05" customHeight="1" x14ac:dyDescent="0.3">
      <c r="B169" s="65"/>
      <c r="C169" s="65"/>
      <c r="D169" s="59" t="s">
        <v>170</v>
      </c>
      <c r="E169" s="71">
        <f>((1.3+0.3*E163)*E160*1000)/((E167-E165)*E146*E146)+E168</f>
        <v>0.30509436420685065</v>
      </c>
      <c r="F169" s="34"/>
    </row>
    <row r="170" spans="2:7" ht="25.05" customHeight="1" x14ac:dyDescent="0.3">
      <c r="B170" s="65"/>
      <c r="C170" s="65"/>
      <c r="D170" s="72"/>
      <c r="E170" s="65"/>
    </row>
    <row r="171" spans="2:7" ht="25.05" customHeight="1" x14ac:dyDescent="0.3">
      <c r="B171" s="65"/>
      <c r="C171" s="65"/>
      <c r="D171" s="72"/>
      <c r="E171" s="65"/>
    </row>
    <row r="172" spans="2:7" ht="18" x14ac:dyDescent="0.3">
      <c r="B172" s="65"/>
      <c r="C172" s="65"/>
      <c r="E172" s="65"/>
    </row>
    <row r="173" spans="2:7" ht="25.05" customHeight="1" x14ac:dyDescent="0.3"/>
    <row r="174" spans="2:7" ht="25.05" customHeight="1" thickBot="1" x14ac:dyDescent="0.35"/>
    <row r="175" spans="2:7" ht="25.05" customHeight="1" x14ac:dyDescent="0.3">
      <c r="D175" s="102" t="s">
        <v>171</v>
      </c>
      <c r="E175" s="103"/>
    </row>
    <row r="176" spans="2:7" ht="25.05" customHeight="1" thickBot="1" x14ac:dyDescent="0.35">
      <c r="D176" s="104"/>
      <c r="E176" s="105"/>
    </row>
    <row r="177" spans="3:19" ht="25.05" customHeight="1" x14ac:dyDescent="0.3">
      <c r="D177" s="16" t="s">
        <v>172</v>
      </c>
      <c r="E177" s="73">
        <v>0.55000000000000004</v>
      </c>
    </row>
    <row r="178" spans="3:19" ht="25.05" customHeight="1" x14ac:dyDescent="0.3"/>
    <row r="179" spans="3:19" ht="25.05" customHeight="1" x14ac:dyDescent="0.3"/>
    <row r="180" spans="3:19" ht="25.05" customHeight="1" x14ac:dyDescent="0.3">
      <c r="D180" s="16" t="s">
        <v>173</v>
      </c>
      <c r="E180" s="14">
        <f>E148/E177</f>
        <v>358.61004352397907</v>
      </c>
      <c r="F180" s="34" t="s">
        <v>150</v>
      </c>
    </row>
    <row r="181" spans="3:19" ht="25.05" customHeight="1" x14ac:dyDescent="0.3">
      <c r="D181" s="16" t="s">
        <v>174</v>
      </c>
      <c r="E181" s="15">
        <f>D28</f>
        <v>9</v>
      </c>
      <c r="F181" s="34" t="s">
        <v>28</v>
      </c>
    </row>
    <row r="182" spans="3:19" ht="25.05" customHeight="1" x14ac:dyDescent="0.3">
      <c r="D182" s="16" t="s">
        <v>175</v>
      </c>
      <c r="E182" s="14">
        <f>(E181*(1-E152))</f>
        <v>7.2782925850231033</v>
      </c>
      <c r="F182" s="34" t="s">
        <v>28</v>
      </c>
    </row>
    <row r="183" spans="3:19" ht="25.05" customHeight="1" x14ac:dyDescent="0.3">
      <c r="D183" s="16" t="s">
        <v>176</v>
      </c>
      <c r="E183" s="30">
        <f>E146</f>
        <v>2.2799999999999998</v>
      </c>
      <c r="F183" s="34" t="s">
        <v>177</v>
      </c>
    </row>
    <row r="184" spans="3:19" ht="25.05" customHeight="1" x14ac:dyDescent="0.3">
      <c r="D184" s="16" t="s">
        <v>178</v>
      </c>
      <c r="E184" s="14">
        <f>E183/0.95</f>
        <v>2.4</v>
      </c>
      <c r="F184" s="34" t="s">
        <v>177</v>
      </c>
    </row>
    <row r="185" spans="3:19" ht="25.05" customHeight="1" x14ac:dyDescent="0.3"/>
    <row r="186" spans="3:19" ht="25.05" customHeight="1" x14ac:dyDescent="0.3">
      <c r="S186" s="74"/>
    </row>
    <row r="187" spans="3:19" ht="25.05" customHeight="1" x14ac:dyDescent="0.3">
      <c r="S187" s="74"/>
    </row>
    <row r="188" spans="3:19" ht="25.05" customHeight="1" x14ac:dyDescent="0.3">
      <c r="S188" s="74"/>
    </row>
    <row r="189" spans="3:19" ht="25.05" customHeight="1" x14ac:dyDescent="0.3">
      <c r="C189" s="44" t="s">
        <v>179</v>
      </c>
      <c r="D189" s="44" t="s">
        <v>180</v>
      </c>
      <c r="E189" s="44" t="s">
        <v>181</v>
      </c>
      <c r="F189" s="44" t="s">
        <v>182</v>
      </c>
      <c r="G189" s="44" t="s">
        <v>155</v>
      </c>
    </row>
    <row r="190" spans="3:19" ht="25.05" customHeight="1" x14ac:dyDescent="0.3">
      <c r="C190" s="10">
        <v>190</v>
      </c>
      <c r="D190" s="70">
        <f t="shared" ref="D190:D194" si="0">1.158* ((C190*($E$180)^0.5)/$E$182^2.5)</f>
        <v>29.154098005863865</v>
      </c>
      <c r="E190" s="70">
        <f t="shared" ref="E190:E194" si="1">3.2808*((C190*$E$184)/$E$182)</f>
        <v>205.54886774935156</v>
      </c>
      <c r="F190" s="10">
        <v>0.59499999999999997</v>
      </c>
      <c r="G190" s="9">
        <v>0.81</v>
      </c>
    </row>
    <row r="191" spans="3:19" ht="25.05" customHeight="1" x14ac:dyDescent="0.3">
      <c r="C191" s="9">
        <v>200</v>
      </c>
      <c r="D191" s="97">
        <f t="shared" si="0"/>
        <v>30.688524216698806</v>
      </c>
      <c r="E191" s="97">
        <f t="shared" si="1"/>
        <v>216.36722920984377</v>
      </c>
      <c r="F191" s="9">
        <v>0.59799999999999998</v>
      </c>
      <c r="G191" s="9">
        <v>0.75</v>
      </c>
    </row>
    <row r="192" spans="3:19" ht="25.05" customHeight="1" x14ac:dyDescent="0.3">
      <c r="C192" s="10">
        <v>210</v>
      </c>
      <c r="D192" s="70">
        <f t="shared" si="0"/>
        <v>32.222950427533746</v>
      </c>
      <c r="E192" s="70">
        <f t="shared" si="1"/>
        <v>227.18559067033598</v>
      </c>
      <c r="F192" s="10">
        <v>0.58499999999999996</v>
      </c>
      <c r="G192" s="9">
        <v>0.69</v>
      </c>
    </row>
    <row r="193" spans="3:19" ht="25.05" customHeight="1" x14ac:dyDescent="0.3">
      <c r="C193" s="10">
        <v>220</v>
      </c>
      <c r="D193" s="70">
        <f t="shared" si="0"/>
        <v>33.757376638368683</v>
      </c>
      <c r="E193" s="70">
        <f t="shared" si="1"/>
        <v>238.00395213082814</v>
      </c>
      <c r="F193" s="10">
        <v>0.57799999999999996</v>
      </c>
      <c r="G193" s="9">
        <v>0.61</v>
      </c>
    </row>
    <row r="194" spans="3:19" ht="25.05" customHeight="1" x14ac:dyDescent="0.3">
      <c r="C194" s="10">
        <v>230</v>
      </c>
      <c r="D194" s="70">
        <f t="shared" si="0"/>
        <v>35.291802849203627</v>
      </c>
      <c r="E194" s="70">
        <f t="shared" si="1"/>
        <v>248.82231359132035</v>
      </c>
      <c r="F194" s="10">
        <v>0.56999999999999995</v>
      </c>
      <c r="G194" s="9">
        <v>0.57999999999999996</v>
      </c>
      <c r="S194" s="74"/>
    </row>
    <row r="195" spans="3:19" ht="25.05" customHeight="1" x14ac:dyDescent="0.3">
      <c r="S195" s="74"/>
    </row>
    <row r="196" spans="3:19" ht="25.05" customHeight="1" thickBot="1" x14ac:dyDescent="0.35">
      <c r="S196" s="74"/>
    </row>
    <row r="197" spans="3:19" ht="25.05" customHeight="1" x14ac:dyDescent="0.3">
      <c r="C197" s="99" t="s">
        <v>183</v>
      </c>
      <c r="D197" s="75" t="s">
        <v>113</v>
      </c>
      <c r="E197" s="76">
        <v>200</v>
      </c>
      <c r="S197" s="74"/>
    </row>
    <row r="198" spans="3:19" ht="25.05" customHeight="1" x14ac:dyDescent="0.3">
      <c r="C198" s="100"/>
      <c r="D198" s="77" t="s">
        <v>184</v>
      </c>
      <c r="E198" s="78">
        <f>F191</f>
        <v>0.59799999999999998</v>
      </c>
      <c r="S198" s="74"/>
    </row>
    <row r="199" spans="3:19" ht="25.05" customHeight="1" x14ac:dyDescent="0.3">
      <c r="C199" s="100"/>
      <c r="D199" s="77" t="s">
        <v>185</v>
      </c>
      <c r="E199" s="78">
        <f>E155*E198*E156</f>
        <v>0.63293720481020543</v>
      </c>
      <c r="S199" s="74"/>
    </row>
    <row r="200" spans="3:19" ht="25.05" customHeight="1" thickBot="1" x14ac:dyDescent="0.35">
      <c r="C200" s="101"/>
      <c r="D200" s="79" t="s">
        <v>186</v>
      </c>
      <c r="E200" s="80">
        <f>E199-E177</f>
        <v>8.2937204810205389E-2</v>
      </c>
      <c r="S200" s="74"/>
    </row>
    <row r="201" spans="3:19" ht="25.05" customHeight="1" x14ac:dyDescent="0.3">
      <c r="S201" s="74"/>
    </row>
    <row r="202" spans="3:19" ht="25.05" customHeight="1" x14ac:dyDescent="0.3">
      <c r="S202" s="74"/>
    </row>
    <row r="203" spans="3:19" ht="25.05" customHeight="1" x14ac:dyDescent="0.3">
      <c r="S203" s="74"/>
    </row>
    <row r="204" spans="3:19" ht="25.05" customHeight="1" thickBot="1" x14ac:dyDescent="0.35">
      <c r="S204" s="74"/>
    </row>
    <row r="205" spans="3:19" ht="25.05" customHeight="1" x14ac:dyDescent="0.3">
      <c r="D205" s="102" t="s">
        <v>171</v>
      </c>
      <c r="E205" s="103"/>
      <c r="S205" s="74"/>
    </row>
    <row r="206" spans="3:19" ht="25.05" customHeight="1" thickBot="1" x14ac:dyDescent="0.35">
      <c r="D206" s="104"/>
      <c r="E206" s="105"/>
      <c r="S206" s="74"/>
    </row>
    <row r="207" spans="3:19" ht="25.05" customHeight="1" x14ac:dyDescent="0.3">
      <c r="D207" s="16" t="s">
        <v>172</v>
      </c>
      <c r="E207" s="10">
        <v>0.6</v>
      </c>
      <c r="S207" s="74"/>
    </row>
    <row r="208" spans="3:19" ht="25.05" customHeight="1" x14ac:dyDescent="0.3">
      <c r="S208" s="74"/>
    </row>
    <row r="209" spans="3:19" ht="25.05" customHeight="1" x14ac:dyDescent="0.3">
      <c r="D209" s="36"/>
      <c r="S209" s="74"/>
    </row>
    <row r="210" spans="3:19" ht="25.05" customHeight="1" x14ac:dyDescent="0.3">
      <c r="D210" s="16" t="s">
        <v>173</v>
      </c>
      <c r="E210" s="14">
        <f>E148/E207</f>
        <v>328.72587323031422</v>
      </c>
      <c r="F210" s="34" t="s">
        <v>150</v>
      </c>
      <c r="S210" s="74"/>
    </row>
    <row r="211" spans="3:19" ht="25.05" customHeight="1" x14ac:dyDescent="0.3">
      <c r="D211" s="16" t="s">
        <v>174</v>
      </c>
      <c r="E211" s="15">
        <f>E181</f>
        <v>9</v>
      </c>
      <c r="F211" s="34" t="s">
        <v>28</v>
      </c>
      <c r="S211" s="74"/>
    </row>
    <row r="212" spans="3:19" ht="25.05" customHeight="1" x14ac:dyDescent="0.3">
      <c r="D212" s="16" t="s">
        <v>175</v>
      </c>
      <c r="E212" s="14">
        <f>E182</f>
        <v>7.2782925850231033</v>
      </c>
      <c r="F212" s="34" t="s">
        <v>28</v>
      </c>
      <c r="S212" s="74"/>
    </row>
    <row r="213" spans="3:19" ht="25.05" customHeight="1" x14ac:dyDescent="0.3">
      <c r="D213" s="16" t="s">
        <v>176</v>
      </c>
      <c r="E213" s="30">
        <f>E183</f>
        <v>2.2799999999999998</v>
      </c>
      <c r="F213" s="34" t="s">
        <v>4</v>
      </c>
      <c r="S213" s="74"/>
    </row>
    <row r="214" spans="3:19" ht="25.05" customHeight="1" x14ac:dyDescent="0.3">
      <c r="D214" s="16" t="s">
        <v>178</v>
      </c>
      <c r="E214" s="14">
        <f>E184</f>
        <v>2.4</v>
      </c>
      <c r="F214" s="34" t="s">
        <v>4</v>
      </c>
      <c r="S214" s="74"/>
    </row>
    <row r="215" spans="3:19" ht="25.05" customHeight="1" x14ac:dyDescent="0.3">
      <c r="S215" s="74"/>
    </row>
    <row r="216" spans="3:19" ht="25.05" customHeight="1" x14ac:dyDescent="0.3">
      <c r="S216" s="74"/>
    </row>
    <row r="217" spans="3:19" ht="25.05" customHeight="1" x14ac:dyDescent="0.3">
      <c r="S217" s="74"/>
    </row>
    <row r="218" spans="3:19" ht="25.05" customHeight="1" x14ac:dyDescent="0.3">
      <c r="S218" s="74"/>
    </row>
    <row r="219" spans="3:19" ht="25.05" customHeight="1" x14ac:dyDescent="0.3"/>
    <row r="220" spans="3:19" ht="25.05" customHeight="1" x14ac:dyDescent="0.3">
      <c r="C220" s="44" t="s">
        <v>179</v>
      </c>
      <c r="D220" s="44" t="s">
        <v>180</v>
      </c>
      <c r="E220" s="44" t="s">
        <v>181</v>
      </c>
      <c r="F220" s="44" t="s">
        <v>182</v>
      </c>
      <c r="G220" s="44" t="s">
        <v>155</v>
      </c>
    </row>
    <row r="221" spans="3:19" ht="25.05" customHeight="1" x14ac:dyDescent="0.3">
      <c r="C221" s="10">
        <v>190</v>
      </c>
      <c r="D221" s="70">
        <f>1.158* ((C221*($E$210)^0.5)/$E$182^2.5)</f>
        <v>27.912923732999069</v>
      </c>
      <c r="E221" s="70">
        <f t="shared" ref="E221:E224" si="2">3.2808*((C221*$E$184)/$E$182)</f>
        <v>205.54886774935156</v>
      </c>
      <c r="F221" s="10">
        <v>0.59799999999999998</v>
      </c>
      <c r="G221" s="9">
        <v>0.79</v>
      </c>
    </row>
    <row r="222" spans="3:19" ht="25.05" customHeight="1" x14ac:dyDescent="0.3">
      <c r="C222" s="9">
        <v>200</v>
      </c>
      <c r="D222" s="97">
        <f>1.158* ((C222*($E$210)^0.5)/$E$182^2.5)</f>
        <v>29.38202498210428</v>
      </c>
      <c r="E222" s="97">
        <f t="shared" si="2"/>
        <v>216.36722920984377</v>
      </c>
      <c r="F222" s="9">
        <v>0.6</v>
      </c>
      <c r="G222" s="9">
        <v>0.72499999999999998</v>
      </c>
    </row>
    <row r="223" spans="3:19" ht="25.05" customHeight="1" x14ac:dyDescent="0.3">
      <c r="C223" s="10">
        <v>210</v>
      </c>
      <c r="D223" s="70">
        <f>1.158* ((C223*($E$210)^0.5)/$E$182^2.5)</f>
        <v>30.851126231209495</v>
      </c>
      <c r="E223" s="70">
        <f t="shared" si="2"/>
        <v>227.18559067033598</v>
      </c>
      <c r="F223" s="10">
        <v>0.59199999999999997</v>
      </c>
      <c r="G223" s="9">
        <v>0.62</v>
      </c>
    </row>
    <row r="224" spans="3:19" ht="25.05" customHeight="1" x14ac:dyDescent="0.3">
      <c r="C224" s="10">
        <v>220</v>
      </c>
      <c r="D224" s="70">
        <f>1.158* ((C224*($E$210)^0.5)/$E$182^2.5)</f>
        <v>32.320227480314713</v>
      </c>
      <c r="E224" s="70">
        <f t="shared" si="2"/>
        <v>238.00395213082814</v>
      </c>
      <c r="F224" s="10">
        <v>0.57999999999999996</v>
      </c>
      <c r="G224" s="9">
        <v>0.59</v>
      </c>
    </row>
    <row r="225" spans="3:19" ht="25.05" customHeight="1" x14ac:dyDescent="0.3">
      <c r="C225" s="10">
        <v>230</v>
      </c>
      <c r="D225" s="70">
        <f>1.158* ((C225*($E$210)^0.5)/$E$182^2.5)</f>
        <v>33.789328729419921</v>
      </c>
      <c r="E225" s="70">
        <f>3.2808*((C225*$E$184)/$E$182)</f>
        <v>248.82231359132035</v>
      </c>
      <c r="F225" s="10">
        <v>0.56499999999999995</v>
      </c>
      <c r="G225" s="9">
        <v>0.56000000000000005</v>
      </c>
      <c r="S225" s="74"/>
    </row>
    <row r="226" spans="3:19" ht="25.05" customHeight="1" thickBot="1" x14ac:dyDescent="0.35">
      <c r="S226" s="74"/>
    </row>
    <row r="227" spans="3:19" ht="25.05" customHeight="1" x14ac:dyDescent="0.3">
      <c r="C227" s="99" t="s">
        <v>183</v>
      </c>
      <c r="D227" s="75" t="s">
        <v>113</v>
      </c>
      <c r="E227" s="76">
        <v>200</v>
      </c>
      <c r="S227" s="74"/>
    </row>
    <row r="228" spans="3:19" ht="25.05" customHeight="1" x14ac:dyDescent="0.3">
      <c r="C228" s="100"/>
      <c r="D228" s="77" t="s">
        <v>184</v>
      </c>
      <c r="E228" s="78">
        <v>0.6</v>
      </c>
      <c r="S228" s="74"/>
    </row>
    <row r="229" spans="3:19" ht="25.05" customHeight="1" x14ac:dyDescent="0.3">
      <c r="C229" s="100"/>
      <c r="D229" s="77" t="s">
        <v>185</v>
      </c>
      <c r="E229" s="78">
        <f>E155*E228*E156</f>
        <v>0.63505405164903561</v>
      </c>
      <c r="S229" s="74"/>
    </row>
    <row r="230" spans="3:19" ht="25.05" customHeight="1" thickBot="1" x14ac:dyDescent="0.35">
      <c r="C230" s="101"/>
      <c r="D230" s="79" t="s">
        <v>187</v>
      </c>
      <c r="E230" s="80">
        <f>E229-E207</f>
        <v>3.5054051649035634E-2</v>
      </c>
      <c r="S230" s="74"/>
    </row>
    <row r="231" spans="3:19" ht="25.05" customHeight="1" x14ac:dyDescent="0.3">
      <c r="S231" s="74"/>
    </row>
    <row r="232" spans="3:19" ht="25.05" customHeight="1" x14ac:dyDescent="0.3">
      <c r="S232" s="74"/>
    </row>
    <row r="233" spans="3:19" ht="25.05" customHeight="1" x14ac:dyDescent="0.3">
      <c r="S233" s="74"/>
    </row>
    <row r="234" spans="3:19" ht="25.05" customHeight="1" x14ac:dyDescent="0.3">
      <c r="D234" s="106" t="s">
        <v>171</v>
      </c>
      <c r="E234" s="106"/>
      <c r="S234" s="74"/>
    </row>
    <row r="235" spans="3:19" ht="25.05" customHeight="1" x14ac:dyDescent="0.3">
      <c r="D235" s="106"/>
      <c r="E235" s="106"/>
      <c r="S235" s="74"/>
    </row>
    <row r="236" spans="3:19" ht="25.05" customHeight="1" x14ac:dyDescent="0.3">
      <c r="D236" s="16" t="s">
        <v>172</v>
      </c>
      <c r="E236" s="10">
        <v>0.64</v>
      </c>
      <c r="S236" s="74"/>
    </row>
    <row r="237" spans="3:19" ht="25.05" customHeight="1" x14ac:dyDescent="0.3">
      <c r="S237" s="74"/>
    </row>
    <row r="238" spans="3:19" ht="25.05" customHeight="1" x14ac:dyDescent="0.3">
      <c r="S238" s="74"/>
    </row>
    <row r="239" spans="3:19" ht="25.05" customHeight="1" x14ac:dyDescent="0.3">
      <c r="D239" s="16" t="s">
        <v>173</v>
      </c>
      <c r="E239" s="14">
        <f>E148/E236</f>
        <v>308.18050615341957</v>
      </c>
      <c r="F239" s="34" t="s">
        <v>150</v>
      </c>
      <c r="S239" s="74"/>
    </row>
    <row r="240" spans="3:19" ht="25.05" customHeight="1" x14ac:dyDescent="0.3">
      <c r="D240" s="16" t="s">
        <v>174</v>
      </c>
      <c r="E240" s="10">
        <f>E211</f>
        <v>9</v>
      </c>
      <c r="F240" s="34" t="s">
        <v>28</v>
      </c>
      <c r="S240" s="74"/>
    </row>
    <row r="241" spans="3:19" ht="25.05" customHeight="1" x14ac:dyDescent="0.3">
      <c r="D241" s="16" t="s">
        <v>175</v>
      </c>
      <c r="E241" s="14">
        <f>E212</f>
        <v>7.2782925850231033</v>
      </c>
      <c r="F241" s="34" t="s">
        <v>28</v>
      </c>
      <c r="S241" s="74"/>
    </row>
    <row r="242" spans="3:19" ht="25.05" customHeight="1" x14ac:dyDescent="0.3">
      <c r="D242" s="16" t="s">
        <v>176</v>
      </c>
      <c r="E242" s="10">
        <f>E213</f>
        <v>2.2799999999999998</v>
      </c>
      <c r="F242" s="34" t="s">
        <v>4</v>
      </c>
      <c r="S242" s="74"/>
    </row>
    <row r="243" spans="3:19" ht="25.05" customHeight="1" x14ac:dyDescent="0.3">
      <c r="D243" s="16" t="s">
        <v>178</v>
      </c>
      <c r="E243" s="14">
        <f>E214</f>
        <v>2.4</v>
      </c>
      <c r="F243" s="34" t="s">
        <v>4</v>
      </c>
      <c r="S243" s="74"/>
    </row>
    <row r="244" spans="3:19" ht="25.05" customHeight="1" x14ac:dyDescent="0.3">
      <c r="S244" s="74"/>
    </row>
    <row r="245" spans="3:19" ht="25.05" customHeight="1" x14ac:dyDescent="0.3">
      <c r="S245" s="74"/>
    </row>
    <row r="246" spans="3:19" ht="25.05" customHeight="1" x14ac:dyDescent="0.3">
      <c r="S246" s="74"/>
    </row>
    <row r="247" spans="3:19" ht="25.05" customHeight="1" x14ac:dyDescent="0.3">
      <c r="C247" s="44" t="s">
        <v>179</v>
      </c>
      <c r="D247" s="44" t="s">
        <v>180</v>
      </c>
      <c r="E247" s="44" t="s">
        <v>181</v>
      </c>
      <c r="F247" s="44" t="s">
        <v>182</v>
      </c>
      <c r="G247" s="44" t="s">
        <v>155</v>
      </c>
    </row>
    <row r="248" spans="3:19" ht="25.05" customHeight="1" x14ac:dyDescent="0.3">
      <c r="C248" s="10">
        <v>190</v>
      </c>
      <c r="D248" s="70">
        <f>1.158* ((C248*($E$239)^0.5)/$E$182^2.5)</f>
        <v>27.026572190465792</v>
      </c>
      <c r="E248" s="70">
        <f t="shared" ref="E248:E251" si="3">3.2808*((C248*$E$184)/$E$182)</f>
        <v>205.54886774935156</v>
      </c>
      <c r="F248" s="10">
        <v>0.60199999999999998</v>
      </c>
      <c r="G248" s="9">
        <v>0.75</v>
      </c>
    </row>
    <row r="249" spans="3:19" ht="25.05" customHeight="1" x14ac:dyDescent="0.3">
      <c r="C249" s="9">
        <v>200</v>
      </c>
      <c r="D249" s="97">
        <f>1.158* ((C249*($E$239)^0.5)/$E$182^2.5)</f>
        <v>28.449023358385045</v>
      </c>
      <c r="E249" s="97">
        <f t="shared" si="3"/>
        <v>216.36722920984377</v>
      </c>
      <c r="F249" s="9">
        <v>0.60499999999999998</v>
      </c>
      <c r="G249" s="9">
        <v>0.7</v>
      </c>
    </row>
    <row r="250" spans="3:19" ht="25.05" customHeight="1" x14ac:dyDescent="0.3">
      <c r="C250" s="10">
        <v>210</v>
      </c>
      <c r="D250" s="70">
        <f>1.158* ((C250*($E$239)^0.5)/$E$182^2.5)</f>
        <v>29.871474526304297</v>
      </c>
      <c r="E250" s="70">
        <f t="shared" si="3"/>
        <v>227.18559067033598</v>
      </c>
      <c r="F250" s="10">
        <v>0.59499999999999997</v>
      </c>
      <c r="G250" s="9">
        <v>0.61</v>
      </c>
    </row>
    <row r="251" spans="3:19" ht="25.05" customHeight="1" x14ac:dyDescent="0.3">
      <c r="C251" s="10">
        <v>220</v>
      </c>
      <c r="D251" s="70">
        <f>1.158* ((C251*($E$239)^0.5)/$E$182^2.5)</f>
        <v>31.293925694223546</v>
      </c>
      <c r="E251" s="70">
        <f t="shared" si="3"/>
        <v>238.00395213082814</v>
      </c>
      <c r="F251" s="10">
        <v>0.58199999999999996</v>
      </c>
      <c r="G251" s="9">
        <v>0.56999999999999995</v>
      </c>
    </row>
    <row r="252" spans="3:19" ht="25.05" customHeight="1" x14ac:dyDescent="0.3">
      <c r="C252" s="10">
        <v>230</v>
      </c>
      <c r="D252" s="70">
        <f>1.158* ((C252*($E$239)^0.5)/$E$182^2.5)</f>
        <v>32.716376862142802</v>
      </c>
      <c r="E252" s="70">
        <f t="shared" ref="E252" si="4">3.2808*((C252*$E$184)/$E$182)</f>
        <v>248.82231359132035</v>
      </c>
      <c r="F252" s="10">
        <v>0.56999999999999995</v>
      </c>
      <c r="G252" s="9">
        <v>0.55000000000000004</v>
      </c>
      <c r="S252" s="74"/>
    </row>
    <row r="253" spans="3:19" ht="25.05" customHeight="1" x14ac:dyDescent="0.3">
      <c r="S253" s="74"/>
    </row>
    <row r="254" spans="3:19" ht="25.05" customHeight="1" thickBot="1" x14ac:dyDescent="0.35">
      <c r="E254" s="65"/>
    </row>
    <row r="255" spans="3:19" ht="25.05" customHeight="1" x14ac:dyDescent="0.3">
      <c r="C255" s="99" t="s">
        <v>183</v>
      </c>
      <c r="D255" s="75" t="s">
        <v>113</v>
      </c>
      <c r="E255" s="76">
        <v>200</v>
      </c>
    </row>
    <row r="256" spans="3:19" ht="25.05" customHeight="1" x14ac:dyDescent="0.3">
      <c r="C256" s="100"/>
      <c r="D256" s="77" t="s">
        <v>184</v>
      </c>
      <c r="E256" s="78">
        <v>0.60499999999999998</v>
      </c>
    </row>
    <row r="257" spans="3:6" ht="25.05" customHeight="1" x14ac:dyDescent="0.3">
      <c r="C257" s="100"/>
      <c r="D257" s="77" t="s">
        <v>185</v>
      </c>
      <c r="E257" s="81">
        <f>E155*E256*E156</f>
        <v>0.64034616874611083</v>
      </c>
    </row>
    <row r="258" spans="3:6" ht="25.05" customHeight="1" thickBot="1" x14ac:dyDescent="0.35">
      <c r="C258" s="101"/>
      <c r="D258" s="79" t="s">
        <v>187</v>
      </c>
      <c r="E258" s="80">
        <f>E257-E236</f>
        <v>3.4616874611081982E-4</v>
      </c>
      <c r="F258" s="65" t="s">
        <v>188</v>
      </c>
    </row>
    <row r="259" spans="3:6" ht="25.05" customHeight="1" x14ac:dyDescent="0.3"/>
    <row r="260" spans="3:6" ht="25.05" customHeight="1" thickBot="1" x14ac:dyDescent="0.35"/>
    <row r="261" spans="3:6" ht="25.05" customHeight="1" x14ac:dyDescent="0.3">
      <c r="C261" s="82" t="s">
        <v>189</v>
      </c>
      <c r="D261" s="83">
        <f>E239</f>
        <v>308.18050615341957</v>
      </c>
      <c r="E261" s="84" t="s">
        <v>150</v>
      </c>
    </row>
    <row r="262" spans="3:6" ht="25.05" customHeight="1" x14ac:dyDescent="0.3">
      <c r="C262" s="85" t="s">
        <v>190</v>
      </c>
      <c r="D262" s="86">
        <v>0.96499999999999997</v>
      </c>
      <c r="E262" s="87"/>
    </row>
    <row r="263" spans="3:6" ht="24.6" x14ac:dyDescent="0.3">
      <c r="C263" s="85" t="s">
        <v>191</v>
      </c>
      <c r="D263" s="88">
        <f>D261/D262</f>
        <v>319.35803746468349</v>
      </c>
      <c r="E263" s="87" t="s">
        <v>150</v>
      </c>
    </row>
    <row r="264" spans="3:6" ht="21" x14ac:dyDescent="0.3">
      <c r="C264" s="85" t="s">
        <v>192</v>
      </c>
      <c r="D264" s="88">
        <v>0.95</v>
      </c>
      <c r="E264" s="87"/>
    </row>
    <row r="265" spans="3:6" ht="24.6" x14ac:dyDescent="0.3">
      <c r="C265" s="89" t="s">
        <v>193</v>
      </c>
      <c r="D265" s="88">
        <f>D263/0.95</f>
        <v>336.16635522598261</v>
      </c>
      <c r="E265" s="87" t="s">
        <v>150</v>
      </c>
    </row>
    <row r="266" spans="3:6" ht="21" x14ac:dyDescent="0.3">
      <c r="C266" s="85" t="s">
        <v>194</v>
      </c>
      <c r="D266" s="88">
        <v>0.15</v>
      </c>
      <c r="E266" s="90"/>
      <c r="F266" s="91" t="s">
        <v>195</v>
      </c>
    </row>
    <row r="267" spans="3:6" ht="24.6" x14ac:dyDescent="0.3">
      <c r="C267" s="85" t="s">
        <v>196</v>
      </c>
      <c r="D267" s="88">
        <f>D265*1.15</f>
        <v>386.59130850987998</v>
      </c>
      <c r="E267" s="87" t="s">
        <v>150</v>
      </c>
    </row>
    <row r="268" spans="3:6" ht="21" x14ac:dyDescent="0.3">
      <c r="C268" s="107" t="s">
        <v>197</v>
      </c>
      <c r="D268" s="92">
        <f>D267/0.85</f>
        <v>454.81330412927059</v>
      </c>
      <c r="E268" s="93" t="s">
        <v>150</v>
      </c>
      <c r="F268" s="98" t="s">
        <v>198</v>
      </c>
    </row>
    <row r="269" spans="3:6" ht="25.05" customHeight="1" thickBot="1" x14ac:dyDescent="0.35">
      <c r="C269" s="108"/>
      <c r="D269" s="94">
        <f>D268/0.746</f>
        <v>609.66930848427694</v>
      </c>
      <c r="E269" s="95" t="s">
        <v>199</v>
      </c>
      <c r="F269" s="98"/>
    </row>
    <row r="270" spans="3:6" ht="25.05" customHeight="1" x14ac:dyDescent="0.3"/>
    <row r="271" spans="3:6" ht="25.05" customHeight="1" x14ac:dyDescent="0.3"/>
    <row r="272" spans="3:6" ht="25.05" customHeight="1" x14ac:dyDescent="0.3"/>
    <row r="273" ht="25.05" customHeight="1" x14ac:dyDescent="0.3"/>
    <row r="274" ht="25.05" customHeight="1" x14ac:dyDescent="0.3"/>
    <row r="275" ht="25.05" customHeight="1" x14ac:dyDescent="0.3"/>
    <row r="276" ht="25.05" customHeight="1" x14ac:dyDescent="0.3"/>
  </sheetData>
  <mergeCells count="17">
    <mergeCell ref="D175:E176"/>
    <mergeCell ref="C4:E6"/>
    <mergeCell ref="C8:E8"/>
    <mergeCell ref="B37:F39"/>
    <mergeCell ref="G37:G39"/>
    <mergeCell ref="C69:E70"/>
    <mergeCell ref="E80:F80"/>
    <mergeCell ref="D84:D87"/>
    <mergeCell ref="C139:G143"/>
    <mergeCell ref="F152:F153"/>
    <mergeCell ref="F268:F269"/>
    <mergeCell ref="C197:C200"/>
    <mergeCell ref="D205:E206"/>
    <mergeCell ref="C227:C230"/>
    <mergeCell ref="D234:E235"/>
    <mergeCell ref="C255:C258"/>
    <mergeCell ref="C268:C269"/>
  </mergeCells>
  <printOptions horizontalCentered="1" verticalCentered="1"/>
  <pageMargins left="0" right="0" top="0" bottom="0" header="0" footer="0"/>
  <pageSetup paperSize="8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3EEA-5C79-4A7C-A712-07F20F0FA573}">
  <dimension ref="H7:I17"/>
  <sheetViews>
    <sheetView workbookViewId="0"/>
  </sheetViews>
  <sheetFormatPr defaultRowHeight="14.4" x14ac:dyDescent="0.3"/>
  <sheetData>
    <row r="7" spans="8:9" x14ac:dyDescent="0.3">
      <c r="H7" s="150" t="s">
        <v>28</v>
      </c>
      <c r="I7" s="150" t="s">
        <v>199</v>
      </c>
    </row>
    <row r="8" spans="8:9" x14ac:dyDescent="0.3">
      <c r="H8">
        <v>1</v>
      </c>
      <c r="I8">
        <v>0.9</v>
      </c>
    </row>
    <row r="9" spans="8:9" x14ac:dyDescent="0.3">
      <c r="H9">
        <v>2</v>
      </c>
      <c r="I9">
        <v>6.7</v>
      </c>
    </row>
    <row r="10" spans="8:9" x14ac:dyDescent="0.3">
      <c r="H10">
        <v>3</v>
      </c>
      <c r="I10">
        <v>21.3</v>
      </c>
    </row>
    <row r="11" spans="8:9" x14ac:dyDescent="0.3">
      <c r="H11">
        <v>4</v>
      </c>
      <c r="I11">
        <v>48.9</v>
      </c>
    </row>
    <row r="12" spans="8:9" x14ac:dyDescent="0.3">
      <c r="H12">
        <v>5</v>
      </c>
      <c r="I12">
        <v>93.1</v>
      </c>
    </row>
    <row r="13" spans="8:9" x14ac:dyDescent="0.3">
      <c r="H13">
        <v>6</v>
      </c>
      <c r="I13">
        <v>158.4</v>
      </c>
    </row>
    <row r="14" spans="8:9" x14ac:dyDescent="0.3">
      <c r="H14">
        <v>7</v>
      </c>
      <c r="I14">
        <v>252.7</v>
      </c>
    </row>
    <row r="15" spans="8:9" x14ac:dyDescent="0.3">
      <c r="H15">
        <v>8</v>
      </c>
      <c r="I15">
        <v>392.7</v>
      </c>
    </row>
    <row r="16" spans="8:9" x14ac:dyDescent="0.3">
      <c r="H16">
        <v>9</v>
      </c>
      <c r="I16">
        <v>609.70000000000005</v>
      </c>
    </row>
    <row r="17" spans="8:9" x14ac:dyDescent="0.3">
      <c r="H17">
        <v>10</v>
      </c>
      <c r="I17">
        <v>955.1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F415CBB8F654D879B98ED3DADA52F" ma:contentTypeVersion="9" ma:contentTypeDescription="Create a new document." ma:contentTypeScope="" ma:versionID="5fa83767f7d8a90cddf6555643658851">
  <xsd:schema xmlns:xsd="http://www.w3.org/2001/XMLSchema" xmlns:xs="http://www.w3.org/2001/XMLSchema" xmlns:p="http://schemas.microsoft.com/office/2006/metadata/properties" xmlns:ns2="54506b8c-445c-4f3d-898f-38feb0004166" xmlns:ns3="b1534b24-0596-41db-9a51-3f294bfbbee0" targetNamespace="http://schemas.microsoft.com/office/2006/metadata/properties" ma:root="true" ma:fieldsID="96ce9e05da52b5f688371bd9f2d274db" ns2:_="" ns3:_="">
    <xsd:import namespace="54506b8c-445c-4f3d-898f-38feb0004166"/>
    <xsd:import namespace="b1534b24-0596-41db-9a51-3f294bfbb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506b8c-445c-4f3d-898f-38feb0004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6e39378-e5b3-4363-9849-d730c44b92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34b24-0596-41db-9a51-3f294bfbbe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2b462b0-74c3-47d6-a952-df5b32294fde}" ma:internalName="TaxCatchAll" ma:showField="CatchAllData" ma:web="b1534b24-0596-41db-9a51-3f294bfbb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534b24-0596-41db-9a51-3f294bfbbee0" xsi:nil="true"/>
    <lcf76f155ced4ddcb4097134ff3c332f xmlns="54506b8c-445c-4f3d-898f-38feb000416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5CC2D1-38FC-46B5-A94E-42EF98937D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506b8c-445c-4f3d-898f-38feb0004166"/>
    <ds:schemaRef ds:uri="b1534b24-0596-41db-9a51-3f294bfbb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DBB5E1-A1B9-426E-BAB0-5B3EAA64B223}">
  <ds:schemaRefs>
    <ds:schemaRef ds:uri="http://schemas.microsoft.com/office/2006/metadata/properties"/>
    <ds:schemaRef ds:uri="http://schemas.microsoft.com/office/infopath/2007/PartnerControls"/>
    <ds:schemaRef ds:uri="b1534b24-0596-41db-9a51-3f294bfbbee0"/>
    <ds:schemaRef ds:uri="54506b8c-445c-4f3d-898f-38feb0004166"/>
  </ds:schemaRefs>
</ds:datastoreItem>
</file>

<file path=customXml/itemProps3.xml><?xml version="1.0" encoding="utf-8"?>
<ds:datastoreItem xmlns:ds="http://schemas.openxmlformats.org/officeDocument/2006/customXml" ds:itemID="{E78063EC-4813-44D5-A223-121CA68DA5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Resistance &amp; Power Calculation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2022-12-01T17:40:43Z</dcterms:created>
  <dcterms:modified xsi:type="dcterms:W3CDTF">2023-02-21T18:45:53Z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0x010100529F415CBB8F654D879B98ED3DADA52F</vt:lpwstr>
  </property>
</Properties>
</file>