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3-T2\Sessional\NAME 338\Lecture Files\Rudder and Steering Gear\"/>
    </mc:Choice>
  </mc:AlternateContent>
  <xr:revisionPtr revIDLastSave="0" documentId="13_ncr:1_{8F4043D2-DCCC-4940-B5CD-59E9D325ED0B}" xr6:coauthVersionLast="47" xr6:coauthVersionMax="47" xr10:uidLastSave="{00000000-0000-0000-0000-000000000000}"/>
  <bookViews>
    <workbookView xWindow="-108" yWindow="-108" windowWidth="23256" windowHeight="12576" xr2:uid="{D52022B7-EBAD-4CCE-B9E2-2E7DF8652C47}"/>
  </bookViews>
  <sheets>
    <sheet name="Rudder" sheetId="2" r:id="rId1"/>
    <sheet name="Steering Gea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3" l="1"/>
  <c r="F109" i="2"/>
  <c r="D11" i="3"/>
  <c r="G66" i="2" l="1"/>
  <c r="F59" i="2"/>
  <c r="H166" i="2" s="1"/>
  <c r="D12" i="2"/>
  <c r="I193" i="2" s="1"/>
  <c r="I196" i="2" s="1"/>
  <c r="E88" i="3" l="1"/>
  <c r="E85" i="3"/>
  <c r="G65" i="3"/>
  <c r="F58" i="3"/>
  <c r="G33" i="3"/>
  <c r="G30" i="3"/>
  <c r="G26" i="3"/>
  <c r="H174" i="2"/>
  <c r="I184" i="2" s="1"/>
  <c r="H164" i="2"/>
  <c r="F111" i="2"/>
  <c r="E89" i="2"/>
  <c r="E86" i="2"/>
  <c r="G34" i="2"/>
  <c r="G31" i="2"/>
  <c r="G27" i="2"/>
  <c r="F37" i="2" s="1"/>
  <c r="F39" i="2" s="1"/>
  <c r="G45" i="3" l="1"/>
  <c r="G46" i="3" s="1"/>
  <c r="E83" i="3" s="1"/>
  <c r="H75" i="3"/>
  <c r="H76" i="3"/>
  <c r="F99" i="2"/>
  <c r="F113" i="2"/>
  <c r="G46" i="2" l="1"/>
  <c r="G47" i="2" s="1"/>
  <c r="E84" i="2" s="1"/>
  <c r="H77" i="2"/>
  <c r="H76" i="2"/>
  <c r="E89" i="3"/>
  <c r="E86" i="3"/>
  <c r="F93" i="3"/>
  <c r="F92" i="3"/>
  <c r="F100" i="3" s="1"/>
  <c r="H130" i="2" l="1"/>
  <c r="E90" i="2"/>
  <c r="F93" i="2" s="1"/>
  <c r="E87" i="2"/>
  <c r="H158" i="2"/>
  <c r="H155" i="2" s="1"/>
  <c r="F94" i="2" l="1"/>
  <c r="F102" i="2" s="1"/>
  <c r="H176" i="2"/>
  <c r="H180" i="2" s="1"/>
  <c r="H186" i="2" s="1"/>
  <c r="H138" i="2"/>
  <c r="H132" i="2"/>
  <c r="H135" i="2" s="1"/>
  <c r="H147" i="2" s="1"/>
  <c r="F117" i="2"/>
  <c r="H120" i="2" l="1"/>
  <c r="H123" i="2" s="1"/>
</calcChain>
</file>

<file path=xl/sharedStrings.xml><?xml version="1.0" encoding="utf-8"?>
<sst xmlns="http://schemas.openxmlformats.org/spreadsheetml/2006/main" count="375" uniqueCount="159">
  <si>
    <t xml:space="preserve"> </t>
  </si>
  <si>
    <t>Principal Particulars</t>
  </si>
  <si>
    <r>
      <t>Length,L</t>
    </r>
    <r>
      <rPr>
        <b/>
        <vertAlign val="subscript"/>
        <sz val="12"/>
        <color rgb="FF000000"/>
        <rFont val="Calibri"/>
        <family val="2"/>
        <scheme val="minor"/>
      </rPr>
      <t>OA</t>
    </r>
  </si>
  <si>
    <t>m.</t>
  </si>
  <si>
    <r>
      <t>Length,L</t>
    </r>
    <r>
      <rPr>
        <b/>
        <vertAlign val="subscript"/>
        <sz val="12"/>
        <color rgb="FF000000"/>
        <rFont val="Calibri"/>
        <family val="2"/>
        <scheme val="minor"/>
      </rPr>
      <t>BP</t>
    </r>
  </si>
  <si>
    <r>
      <t>Length,L</t>
    </r>
    <r>
      <rPr>
        <b/>
        <vertAlign val="subscript"/>
        <sz val="12"/>
        <color rgb="FF000000"/>
        <rFont val="Calibri"/>
        <family val="2"/>
        <scheme val="minor"/>
      </rPr>
      <t>WL</t>
    </r>
  </si>
  <si>
    <t>Breadth,B</t>
  </si>
  <si>
    <t>Depth,D</t>
  </si>
  <si>
    <t>Draft,T</t>
  </si>
  <si>
    <t>Speed,V</t>
  </si>
  <si>
    <t>knots</t>
  </si>
  <si>
    <t>Scantling Length,L</t>
  </si>
  <si>
    <t xml:space="preserve">Area </t>
  </si>
  <si>
    <t>GL-13, Rules I part -1 chapter-1 Section 14 (A.3)</t>
  </si>
  <si>
    <r>
      <t>Factor for the ship type , c</t>
    </r>
    <r>
      <rPr>
        <b/>
        <vertAlign val="subscript"/>
        <sz val="12"/>
        <color theme="1"/>
        <rFont val="Calibri"/>
        <family val="2"/>
        <scheme val="minor"/>
      </rPr>
      <t>1</t>
    </r>
  </si>
  <si>
    <r>
      <t>Factor for the rudder type, c</t>
    </r>
    <r>
      <rPr>
        <b/>
        <vertAlign val="subscript"/>
        <sz val="12"/>
        <color theme="1"/>
        <rFont val="Calibri"/>
        <family val="2"/>
        <scheme val="minor"/>
      </rPr>
      <t>2</t>
    </r>
  </si>
  <si>
    <r>
      <t>Factor for the rudder profile, c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</si>
  <si>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Factor for the rudder arrangement,c</t>
    </r>
    <r>
      <rPr>
        <b/>
        <vertAlign val="subscript"/>
        <sz val="12"/>
        <color theme="1"/>
        <rFont val="Calibri"/>
        <family val="2"/>
        <scheme val="minor"/>
      </rPr>
      <t>4</t>
    </r>
  </si>
  <si>
    <r>
      <t>A = c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x c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x c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 x c</t>
    </r>
    <r>
      <rPr>
        <b/>
        <vertAlign val="subscript"/>
        <sz val="12"/>
        <color theme="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 xml:space="preserve"> x (1.75 x L xT) / 100</t>
    </r>
  </si>
  <si>
    <t>=</t>
  </si>
  <si>
    <r>
      <t>m</t>
    </r>
    <r>
      <rPr>
        <vertAlign val="superscript"/>
        <sz val="12"/>
        <color theme="1"/>
        <rFont val="Calibri"/>
        <family val="2"/>
        <scheme val="minor"/>
      </rPr>
      <t>2</t>
    </r>
  </si>
  <si>
    <t>From 'Applied Naval Architecture' Munro &amp; Smith</t>
  </si>
  <si>
    <t>Area = (L*T)/60</t>
  </si>
  <si>
    <t>From DNV Rulebook</t>
  </si>
  <si>
    <r>
      <t>Area = (T L/100)*(1+25(B/L)</t>
    </r>
    <r>
      <rPr>
        <b/>
        <vertAlign val="superscript"/>
        <sz val="12"/>
        <color rgb="FF000000"/>
        <rFont val="Calibri"/>
        <family val="2"/>
        <scheme val="minor"/>
      </rPr>
      <t>2</t>
    </r>
    <r>
      <rPr>
        <b/>
        <sz val="12"/>
        <color rgb="FF000000"/>
        <rFont val="Calibri"/>
        <family val="2"/>
        <scheme val="minor"/>
      </rPr>
      <t>)</t>
    </r>
  </si>
  <si>
    <t>Maximum Area of Rudder</t>
  </si>
  <si>
    <t>Area of Single Rudder</t>
  </si>
  <si>
    <t>Aspect Ratio</t>
  </si>
  <si>
    <t>GL-13, Rules I part -1 chapter-1 Section 14 (A.4)</t>
  </si>
  <si>
    <r>
      <t>Aspect Ratio , b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/A=</t>
    </r>
  </si>
  <si>
    <t>Mean height of rudder,b=</t>
  </si>
  <si>
    <t>Span Length</t>
  </si>
  <si>
    <t>Mean breadth of rudder ,c=A/b</t>
  </si>
  <si>
    <t>Cord Length</t>
  </si>
  <si>
    <t>Materials</t>
  </si>
  <si>
    <t>GL-13, Rules I part -1 chapter-1 Section 14 (C.2)</t>
  </si>
  <si>
    <t xml:space="preserve">Material Used </t>
  </si>
  <si>
    <t>Mild Steel</t>
  </si>
  <si>
    <t xml:space="preserve"> = </t>
  </si>
  <si>
    <t>Mpa</t>
  </si>
  <si>
    <r>
      <t>K</t>
    </r>
    <r>
      <rPr>
        <b/>
        <vertAlign val="subscript"/>
        <sz val="12"/>
        <color rgb="FF000000"/>
        <rFont val="Calibri"/>
        <family val="2"/>
        <scheme val="minor"/>
      </rPr>
      <t>r</t>
    </r>
    <r>
      <rPr>
        <b/>
        <sz val="12"/>
        <color rgb="FF000000"/>
        <rFont val="Calibri"/>
        <family val="2"/>
        <scheme val="minor"/>
      </rPr>
      <t>= (235/R</t>
    </r>
    <r>
      <rPr>
        <b/>
        <vertAlign val="subscript"/>
        <sz val="12"/>
        <color rgb="FF000000"/>
        <rFont val="Calibri"/>
        <family val="2"/>
        <scheme val="minor"/>
      </rPr>
      <t>eH</t>
    </r>
    <r>
      <rPr>
        <b/>
        <sz val="12"/>
        <color rgb="FF000000"/>
        <rFont val="Calibri"/>
        <family val="2"/>
        <scheme val="minor"/>
      </rPr>
      <t>)</t>
    </r>
    <r>
      <rPr>
        <b/>
        <vertAlign val="superscript"/>
        <sz val="12"/>
        <color rgb="FF000000"/>
        <rFont val="Calibri"/>
        <family val="2"/>
        <scheme val="minor"/>
      </rPr>
      <t>0.75</t>
    </r>
  </si>
  <si>
    <r>
      <t>R</t>
    </r>
    <r>
      <rPr>
        <vertAlign val="subscript"/>
        <sz val="12"/>
        <color rgb="FF000000"/>
        <rFont val="Calibri"/>
        <family val="2"/>
        <scheme val="minor"/>
      </rPr>
      <t>eH</t>
    </r>
    <r>
      <rPr>
        <sz val="12"/>
        <color rgb="FF000000"/>
        <rFont val="Calibri"/>
        <family val="2"/>
        <scheme val="minor"/>
      </rPr>
      <t xml:space="preserve"> &gt; 235 </t>
    </r>
  </si>
  <si>
    <t>N/mm2</t>
  </si>
  <si>
    <r>
      <t>K</t>
    </r>
    <r>
      <rPr>
        <b/>
        <vertAlign val="subscript"/>
        <sz val="12"/>
        <color rgb="FF000000"/>
        <rFont val="Calibri"/>
        <family val="2"/>
        <scheme val="minor"/>
      </rPr>
      <t xml:space="preserve">r </t>
    </r>
    <r>
      <rPr>
        <b/>
        <sz val="12"/>
        <color rgb="FF000000"/>
        <rFont val="Calibri"/>
        <family val="2"/>
        <scheme val="minor"/>
      </rPr>
      <t>= (235/R</t>
    </r>
    <r>
      <rPr>
        <b/>
        <vertAlign val="subscript"/>
        <sz val="12"/>
        <color rgb="FF000000"/>
        <rFont val="Calibri"/>
        <family val="2"/>
        <scheme val="minor"/>
      </rPr>
      <t>eH</t>
    </r>
    <r>
      <rPr>
        <b/>
        <sz val="12"/>
        <color rgb="FF000000"/>
        <rFont val="Calibri"/>
        <family val="2"/>
        <scheme val="minor"/>
      </rPr>
      <t>)</t>
    </r>
  </si>
  <si>
    <r>
      <t>R</t>
    </r>
    <r>
      <rPr>
        <vertAlign val="subscript"/>
        <sz val="12"/>
        <color rgb="FF000000"/>
        <rFont val="Calibri"/>
        <family val="2"/>
        <scheme val="minor"/>
      </rPr>
      <t>eH</t>
    </r>
    <r>
      <rPr>
        <sz val="12"/>
        <color rgb="FF000000"/>
        <rFont val="Calibri"/>
        <family val="2"/>
        <scheme val="minor"/>
      </rPr>
      <t xml:space="preserve"> ≤ 235 </t>
    </r>
  </si>
  <si>
    <r>
      <t>N/mm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</si>
  <si>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K</t>
    </r>
    <r>
      <rPr>
        <b/>
        <vertAlign val="subscript"/>
        <sz val="12"/>
        <color rgb="FF000000"/>
        <rFont val="Calibri"/>
        <family val="2"/>
        <scheme val="minor"/>
      </rPr>
      <t>r</t>
    </r>
  </si>
  <si>
    <t xml:space="preserve">Rudder Force </t>
  </si>
  <si>
    <t xml:space="preserve">GL-13, Rules I part -1 chapter-1 Section 14 (D.1.1) </t>
  </si>
  <si>
    <r>
      <t>Coefficient, depending on the aspect ratio k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= (Aspect ratio+2)/3</t>
    </r>
  </si>
  <si>
    <r>
      <t>Coefficient, depending on the type of the rudder and the rudder profile,k</t>
    </r>
    <r>
      <rPr>
        <b/>
        <vertAlign val="subscript"/>
        <sz val="12"/>
        <color theme="1"/>
        <rFont val="Calibri"/>
        <family val="2"/>
        <scheme val="minor"/>
      </rPr>
      <t>2</t>
    </r>
  </si>
  <si>
    <t>Astern</t>
  </si>
  <si>
    <t>Ahead</t>
  </si>
  <si>
    <r>
      <t>Coefficient, depending on the location of the rudder, k</t>
    </r>
    <r>
      <rPr>
        <b/>
        <vertAlign val="subscript"/>
        <sz val="12"/>
        <color theme="1"/>
        <rFont val="Calibri"/>
        <family val="2"/>
        <scheme val="minor"/>
      </rPr>
      <t>3</t>
    </r>
  </si>
  <si>
    <r>
      <t>Coefficient depending on the thrust,k</t>
    </r>
    <r>
      <rPr>
        <b/>
        <vertAlign val="subscript"/>
        <sz val="12"/>
        <color theme="1"/>
        <rFont val="Calibri"/>
        <family val="2"/>
        <scheme val="minor"/>
      </rPr>
      <t>t</t>
    </r>
  </si>
  <si>
    <r>
      <t>RUDDER FORCE, C</t>
    </r>
    <r>
      <rPr>
        <b/>
        <vertAlign val="subscript"/>
        <sz val="12"/>
        <color theme="1"/>
        <rFont val="Calibri"/>
        <family val="2"/>
        <scheme val="minor"/>
      </rPr>
      <t>R</t>
    </r>
  </si>
  <si>
    <r>
      <t>132 A V</t>
    </r>
    <r>
      <rPr>
        <b/>
        <vertAlign val="superscript"/>
        <sz val="12"/>
        <color theme="1"/>
        <rFont val="Calibri"/>
        <family val="2"/>
        <scheme val="minor"/>
      </rPr>
      <t xml:space="preserve">2 </t>
    </r>
    <r>
      <rPr>
        <b/>
        <sz val="12"/>
        <color theme="1"/>
        <rFont val="Calibri"/>
        <family val="2"/>
        <scheme val="minor"/>
      </rPr>
      <t>k</t>
    </r>
    <r>
      <rPr>
        <b/>
        <vertAlign val="subscript"/>
        <sz val="12"/>
        <color theme="1"/>
        <rFont val="Calibri"/>
        <family val="2"/>
        <scheme val="minor"/>
      </rPr>
      <t xml:space="preserve">1  </t>
    </r>
    <r>
      <rPr>
        <b/>
        <sz val="12"/>
        <color theme="1"/>
        <rFont val="Calibri"/>
        <family val="2"/>
        <scheme val="minor"/>
      </rPr>
      <t>k</t>
    </r>
    <r>
      <rPr>
        <b/>
        <vertAlign val="subscript"/>
        <sz val="12"/>
        <color theme="1"/>
        <rFont val="Calibri"/>
        <family val="2"/>
        <scheme val="minor"/>
      </rPr>
      <t xml:space="preserve">2  </t>
    </r>
    <r>
      <rPr>
        <b/>
        <sz val="12"/>
        <color theme="1"/>
        <rFont val="Calibri"/>
        <family val="2"/>
        <scheme val="minor"/>
      </rPr>
      <t>k</t>
    </r>
    <r>
      <rPr>
        <b/>
        <vertAlign val="subscript"/>
        <sz val="12"/>
        <color theme="1"/>
        <rFont val="Calibri"/>
        <family val="2"/>
        <scheme val="minor"/>
      </rPr>
      <t xml:space="preserve">3  </t>
    </r>
    <r>
      <rPr>
        <b/>
        <sz val="12"/>
        <color theme="1"/>
        <rFont val="Calibri"/>
        <family val="2"/>
        <scheme val="minor"/>
      </rPr>
      <t>k</t>
    </r>
    <r>
      <rPr>
        <b/>
        <vertAlign val="subscript"/>
        <sz val="12"/>
        <color theme="1"/>
        <rFont val="Calibri"/>
        <family val="2"/>
        <scheme val="minor"/>
      </rPr>
      <t>t</t>
    </r>
  </si>
  <si>
    <t>N</t>
  </si>
  <si>
    <t>Rudder Torque</t>
  </si>
  <si>
    <t xml:space="preserve">GL-13, Rules I part -1 chapter-1 Section 14 (D.1.2) </t>
  </si>
  <si>
    <t xml:space="preserve">c </t>
  </si>
  <si>
    <t>α</t>
  </si>
  <si>
    <t xml:space="preserve">r = 0.1c </t>
  </si>
  <si>
    <r>
      <t>r = c x (α-K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</t>
    </r>
  </si>
  <si>
    <t xml:space="preserve">&lt; r = 0.1c </t>
  </si>
  <si>
    <r>
      <t>K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 xml:space="preserve">=Af/A </t>
    </r>
  </si>
  <si>
    <t>where Af = 30% of A</t>
  </si>
  <si>
    <r>
      <t>Torque, Q</t>
    </r>
    <r>
      <rPr>
        <b/>
        <vertAlign val="subscript"/>
        <sz val="12"/>
        <color theme="1"/>
        <rFont val="Calibri"/>
        <family val="2"/>
        <scheme val="minor"/>
      </rPr>
      <t>R</t>
    </r>
    <r>
      <rPr>
        <b/>
        <sz val="12"/>
        <color theme="1"/>
        <rFont val="Calibri"/>
        <family val="2"/>
        <scheme val="minor"/>
      </rPr>
      <t xml:space="preserve">  = C</t>
    </r>
    <r>
      <rPr>
        <b/>
        <vertAlign val="subscript"/>
        <sz val="12"/>
        <color theme="1"/>
        <rFont val="Calibri"/>
        <family val="2"/>
        <scheme val="minor"/>
      </rPr>
      <t>R</t>
    </r>
    <r>
      <rPr>
        <b/>
        <sz val="12"/>
        <color theme="1"/>
        <rFont val="Calibri"/>
        <family val="2"/>
        <scheme val="minor"/>
      </rPr>
      <t xml:space="preserve"> * r</t>
    </r>
  </si>
  <si>
    <t>Nm.</t>
  </si>
  <si>
    <t>Rudder Stock Diameter</t>
  </si>
  <si>
    <t xml:space="preserve">GL-13, Rules I part -1 chapter-1 Section 14 (E.1.1) </t>
  </si>
  <si>
    <r>
      <t>D</t>
    </r>
    <r>
      <rPr>
        <b/>
        <vertAlign val="subscript"/>
        <sz val="12"/>
        <color rgb="FF444444"/>
        <rFont val="Calibri"/>
        <family val="2"/>
        <scheme val="minor"/>
      </rPr>
      <t xml:space="preserve">t </t>
    </r>
    <r>
      <rPr>
        <b/>
        <sz val="12"/>
        <color rgb="FF444444"/>
        <rFont val="Calibri"/>
        <family val="2"/>
        <scheme val="minor"/>
      </rPr>
      <t>= 4.2 (Q</t>
    </r>
    <r>
      <rPr>
        <b/>
        <vertAlign val="subscript"/>
        <sz val="12"/>
        <color rgb="FF444444"/>
        <rFont val="Calibri"/>
        <family val="2"/>
        <scheme val="minor"/>
      </rPr>
      <t>r</t>
    </r>
    <r>
      <rPr>
        <b/>
        <sz val="12"/>
        <color rgb="FF444444"/>
        <rFont val="Calibri"/>
        <family val="2"/>
        <scheme val="minor"/>
      </rPr>
      <t>*K</t>
    </r>
    <r>
      <rPr>
        <b/>
        <vertAlign val="subscript"/>
        <sz val="12"/>
        <color rgb="FF444444"/>
        <rFont val="Calibri"/>
        <family val="2"/>
        <scheme val="minor"/>
      </rPr>
      <t>r</t>
    </r>
    <r>
      <rPr>
        <b/>
        <sz val="12"/>
        <color rgb="FF444444"/>
        <rFont val="Calibri"/>
        <family val="2"/>
        <scheme val="minor"/>
      </rPr>
      <t>)</t>
    </r>
    <r>
      <rPr>
        <b/>
        <vertAlign val="superscript"/>
        <sz val="12"/>
        <color rgb="FF444444"/>
        <rFont val="Calibri"/>
        <family val="2"/>
        <scheme val="minor"/>
      </rPr>
      <t>1/3</t>
    </r>
  </si>
  <si>
    <t>mm.</t>
  </si>
  <si>
    <t>≈</t>
  </si>
  <si>
    <t>Rudder Couplings</t>
  </si>
  <si>
    <t xml:space="preserve">GL-13, Rules I part -1 chapter-1 Section 14 (F.2.1) </t>
  </si>
  <si>
    <t>Rudder Stock Diameter, D</t>
  </si>
  <si>
    <t>mm</t>
  </si>
  <si>
    <t>Material Facrtor</t>
  </si>
  <si>
    <t>No of Bolts, n</t>
  </si>
  <si>
    <t>Mean distances of bolts, e</t>
  </si>
  <si>
    <t xml:space="preserve">GL-13, Rules I part -1 chapter-1 Section 14 (F.1.2) </t>
  </si>
  <si>
    <t>Bolts Diameter</t>
  </si>
  <si>
    <r>
      <t>d</t>
    </r>
    <r>
      <rPr>
        <b/>
        <vertAlign val="subscript"/>
        <sz val="12"/>
        <color theme="1"/>
        <rFont val="Calibri"/>
        <family val="2"/>
        <scheme val="minor"/>
      </rPr>
      <t xml:space="preserve">b </t>
    </r>
    <r>
      <rPr>
        <b/>
        <sz val="12"/>
        <color theme="1"/>
        <rFont val="Calibri"/>
        <family val="2"/>
        <scheme val="minor"/>
      </rPr>
      <t>= 0.62 * ((D</t>
    </r>
    <r>
      <rPr>
        <b/>
        <vertAlign val="superscript"/>
        <sz val="12"/>
        <color theme="1"/>
        <rFont val="Calibri"/>
        <family val="2"/>
        <scheme val="minor"/>
      </rPr>
      <t xml:space="preserve">3 </t>
    </r>
    <r>
      <rPr>
        <b/>
        <sz val="12"/>
        <color theme="1"/>
        <rFont val="Calibri"/>
        <family val="2"/>
        <scheme val="minor"/>
      </rPr>
      <t>* K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) / (K</t>
    </r>
    <r>
      <rPr>
        <b/>
        <vertAlign val="subscript"/>
        <sz val="12"/>
        <color theme="1"/>
        <rFont val="Calibri"/>
        <family val="2"/>
        <scheme val="minor"/>
      </rPr>
      <t>r</t>
    </r>
    <r>
      <rPr>
        <b/>
        <sz val="12"/>
        <color theme="1"/>
        <rFont val="Calibri"/>
        <family val="2"/>
        <scheme val="minor"/>
      </rPr>
      <t>* n *e))</t>
    </r>
    <r>
      <rPr>
        <b/>
        <vertAlign val="superscript"/>
        <sz val="12"/>
        <color theme="1"/>
        <rFont val="Calibri"/>
        <family val="2"/>
        <scheme val="minor"/>
      </rPr>
      <t>1/2</t>
    </r>
  </si>
  <si>
    <t>Flange thickness</t>
  </si>
  <si>
    <r>
      <t xml:space="preserve"> t</t>
    </r>
    <r>
      <rPr>
        <b/>
        <vertAlign val="subscript"/>
        <sz val="12"/>
        <color theme="1"/>
        <rFont val="Calibri"/>
        <family val="2"/>
        <scheme val="minor"/>
      </rPr>
      <t xml:space="preserve">f </t>
    </r>
    <r>
      <rPr>
        <b/>
        <sz val="12"/>
        <color theme="1"/>
        <rFont val="Calibri"/>
        <family val="2"/>
        <scheme val="minor"/>
      </rPr>
      <t>= 0.62 * ((D</t>
    </r>
    <r>
      <rPr>
        <b/>
        <vertAlign val="superscript"/>
        <sz val="12"/>
        <color theme="1"/>
        <rFont val="Calibri"/>
        <family val="2"/>
        <scheme val="minor"/>
      </rPr>
      <t xml:space="preserve">3 </t>
    </r>
    <r>
      <rPr>
        <b/>
        <sz val="12"/>
        <color theme="1"/>
        <rFont val="Calibri"/>
        <family val="2"/>
        <scheme val="minor"/>
      </rPr>
      <t>* K</t>
    </r>
    <r>
      <rPr>
        <b/>
        <vertAlign val="subscript"/>
        <sz val="12"/>
        <color theme="1"/>
        <rFont val="Calibri"/>
        <family val="2"/>
        <scheme val="minor"/>
      </rPr>
      <t>f</t>
    </r>
    <r>
      <rPr>
        <b/>
        <sz val="12"/>
        <color theme="1"/>
        <rFont val="Calibri"/>
        <family val="2"/>
        <scheme val="minor"/>
      </rPr>
      <t>) / (K</t>
    </r>
    <r>
      <rPr>
        <b/>
        <vertAlign val="subscript"/>
        <sz val="12"/>
        <color theme="1"/>
        <rFont val="Calibri"/>
        <family val="2"/>
        <scheme val="minor"/>
      </rPr>
      <t xml:space="preserve">f </t>
    </r>
    <r>
      <rPr>
        <b/>
        <sz val="12"/>
        <color theme="1"/>
        <rFont val="Calibri"/>
        <family val="2"/>
        <scheme val="minor"/>
      </rPr>
      <t>* n *e))</t>
    </r>
    <r>
      <rPr>
        <b/>
        <vertAlign val="superscript"/>
        <sz val="12"/>
        <color theme="1"/>
        <rFont val="Calibri"/>
        <family val="2"/>
        <scheme val="minor"/>
      </rPr>
      <t>1/2</t>
    </r>
  </si>
  <si>
    <t xml:space="preserve">GL-13, Rules I part -1 chapter-1 Section 14 (F.2.2) </t>
  </si>
  <si>
    <t>Pintles</t>
  </si>
  <si>
    <t xml:space="preserve">GL-13, Rules I part -1 chapter-1 Section 14 (G.5) </t>
  </si>
  <si>
    <r>
      <t>B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 =  Cr*(b/c)</t>
    </r>
  </si>
  <si>
    <t xml:space="preserve">GL-13, Rules-I, Part-1, Chapter-1 Section 13 A.1 </t>
  </si>
  <si>
    <t>Pintle Diameter</t>
  </si>
  <si>
    <r>
      <t>d = 0.35*( B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*K</t>
    </r>
    <r>
      <rPr>
        <b/>
        <vertAlign val="subscript"/>
        <sz val="12"/>
        <color theme="1"/>
        <rFont val="Calibri"/>
        <family val="2"/>
        <scheme val="minor"/>
      </rPr>
      <t xml:space="preserve">r </t>
    </r>
    <r>
      <rPr>
        <b/>
        <sz val="12"/>
        <color theme="1"/>
        <rFont val="Calibri"/>
        <family val="2"/>
        <scheme val="minor"/>
      </rPr>
      <t>)</t>
    </r>
    <r>
      <rPr>
        <b/>
        <vertAlign val="superscript"/>
        <sz val="12"/>
        <color theme="1"/>
        <rFont val="Calibri"/>
        <family val="2"/>
        <scheme val="minor"/>
      </rPr>
      <t>0.5</t>
    </r>
  </si>
  <si>
    <t>Bush Diameter</t>
  </si>
  <si>
    <r>
      <t>d</t>
    </r>
    <r>
      <rPr>
        <b/>
        <vertAlign val="subscript"/>
        <sz val="12"/>
        <color theme="1"/>
        <rFont val="Calibri"/>
        <family val="2"/>
        <scheme val="minor"/>
      </rPr>
      <t>b</t>
    </r>
  </si>
  <si>
    <t xml:space="preserve">Thickness of Bush </t>
  </si>
  <si>
    <r>
      <t>t = 0.01 * B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vertAlign val="superscript"/>
        <sz val="12"/>
        <color theme="1"/>
        <rFont val="Calibri"/>
        <family val="2"/>
        <scheme val="minor"/>
      </rPr>
      <t>0.5</t>
    </r>
  </si>
  <si>
    <r>
      <t xml:space="preserve"> t</t>
    </r>
    <r>
      <rPr>
        <b/>
        <vertAlign val="subscript"/>
        <sz val="12"/>
        <color theme="1"/>
        <rFont val="Calibri"/>
        <family val="2"/>
        <scheme val="minor"/>
      </rPr>
      <t>min</t>
    </r>
  </si>
  <si>
    <t>Bearing Clearance</t>
  </si>
  <si>
    <t xml:space="preserve">Bearing Clearance </t>
  </si>
  <si>
    <r>
      <t>(d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b/>
        <sz val="12"/>
        <color theme="1"/>
        <rFont val="Calibri"/>
        <family val="2"/>
        <scheme val="minor"/>
      </rPr>
      <t>/1000)+1</t>
    </r>
  </si>
  <si>
    <t>Rudder Plating</t>
  </si>
  <si>
    <t xml:space="preserve">GL-13, Rules I part -1 chapter-1 Section 14 (G.2) </t>
  </si>
  <si>
    <t xml:space="preserve">a </t>
  </si>
  <si>
    <t xml:space="preserve">Rudder Plate Thickness </t>
  </si>
  <si>
    <r>
      <t>t = 1.74 a (P</t>
    </r>
    <r>
      <rPr>
        <b/>
        <vertAlign val="subscript"/>
        <sz val="12"/>
        <color theme="1"/>
        <rFont val="Calibri"/>
        <family val="2"/>
        <scheme val="minor"/>
      </rPr>
      <t>R</t>
    </r>
    <r>
      <rPr>
        <b/>
        <sz val="12"/>
        <color theme="1"/>
        <rFont val="Calibri"/>
        <family val="2"/>
        <scheme val="minor"/>
      </rPr>
      <t xml:space="preserve"> * k)</t>
    </r>
    <r>
      <rPr>
        <b/>
        <vertAlign val="superscript"/>
        <sz val="12"/>
        <color theme="1"/>
        <rFont val="Calibri"/>
        <family val="2"/>
        <scheme val="minor"/>
      </rPr>
      <t>1/2</t>
    </r>
    <r>
      <rPr>
        <b/>
        <sz val="12"/>
        <color theme="1"/>
        <rFont val="Calibri"/>
        <family val="2"/>
        <scheme val="minor"/>
      </rPr>
      <t xml:space="preserve"> + 2.5 </t>
    </r>
  </si>
  <si>
    <t>Design Pressure</t>
  </si>
  <si>
    <r>
      <t>P</t>
    </r>
    <r>
      <rPr>
        <b/>
        <vertAlign val="subscript"/>
        <sz val="12"/>
        <color theme="1"/>
        <rFont val="Calibri"/>
        <family val="2"/>
        <scheme val="minor"/>
      </rPr>
      <t>R</t>
    </r>
    <r>
      <rPr>
        <b/>
        <sz val="12"/>
        <color theme="1"/>
        <rFont val="Calibri"/>
        <family val="2"/>
        <scheme val="minor"/>
      </rPr>
      <t xml:space="preserve"> = 10 T + C</t>
    </r>
    <r>
      <rPr>
        <b/>
        <vertAlign val="subscript"/>
        <sz val="12"/>
        <color theme="1"/>
        <rFont val="Calibri"/>
        <family val="2"/>
        <scheme val="minor"/>
      </rPr>
      <t>R</t>
    </r>
    <r>
      <rPr>
        <b/>
        <sz val="12"/>
        <color theme="1"/>
        <rFont val="Calibri"/>
        <family val="2"/>
        <scheme val="minor"/>
      </rPr>
      <t>/(10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 A)</t>
    </r>
  </si>
  <si>
    <r>
      <t>kN/mm</t>
    </r>
    <r>
      <rPr>
        <vertAlign val="superscript"/>
        <sz val="12"/>
        <color theme="1"/>
        <rFont val="Calibri"/>
        <family val="2"/>
        <scheme val="minor"/>
      </rPr>
      <t>2</t>
    </r>
  </si>
  <si>
    <t xml:space="preserve">GL-13, Rules I part -1 chapter-1 Section 14 (G.2.5) </t>
  </si>
  <si>
    <t>Rudder Webs</t>
  </si>
  <si>
    <t>Thickness of Web  = 0.7 * t</t>
  </si>
  <si>
    <r>
      <t>Minimum Thickness, t</t>
    </r>
    <r>
      <rPr>
        <b/>
        <vertAlign val="subscript"/>
        <sz val="12"/>
        <color theme="1"/>
        <rFont val="Calibri"/>
        <family val="2"/>
        <scheme val="minor"/>
      </rPr>
      <t>min</t>
    </r>
  </si>
  <si>
    <t xml:space="preserve">Thickness of the Web </t>
  </si>
  <si>
    <t>Rudder Bearings</t>
  </si>
  <si>
    <t xml:space="preserve">GL-13, Rules I part -1 chapter-1 Section 14 (G.4) </t>
  </si>
  <si>
    <r>
      <t>t</t>
    </r>
    <r>
      <rPr>
        <b/>
        <vertAlign val="subscript"/>
        <sz val="12"/>
        <color theme="1"/>
        <rFont val="Calibri"/>
        <family val="2"/>
        <scheme val="minor"/>
      </rPr>
      <t>min</t>
    </r>
  </si>
  <si>
    <r>
      <t>Support reaction at the pintle B</t>
    </r>
    <r>
      <rPr>
        <b/>
        <vertAlign val="subscript"/>
        <sz val="12"/>
        <color theme="1"/>
        <rFont val="Calibri"/>
        <family val="2"/>
        <scheme val="minor"/>
      </rPr>
      <t xml:space="preserve">1 </t>
    </r>
    <r>
      <rPr>
        <b/>
        <sz val="12"/>
        <color theme="1"/>
        <rFont val="Calibri"/>
        <family val="2"/>
        <scheme val="minor"/>
      </rPr>
      <t>= C</t>
    </r>
    <r>
      <rPr>
        <b/>
        <vertAlign val="subscript"/>
        <sz val="12"/>
        <color theme="1"/>
        <rFont val="Calibri"/>
        <family val="2"/>
        <scheme val="minor"/>
      </rPr>
      <t xml:space="preserve">r </t>
    </r>
    <r>
      <rPr>
        <b/>
        <sz val="12"/>
        <color theme="1"/>
        <rFont val="Calibri"/>
        <family val="2"/>
        <scheme val="minor"/>
      </rPr>
      <t>* (b/c)</t>
    </r>
  </si>
  <si>
    <t>Permissible Surface Pressure, q</t>
  </si>
  <si>
    <t xml:space="preserve">q = 7 </t>
  </si>
  <si>
    <t>for steel</t>
  </si>
  <si>
    <r>
      <t>Bearing Surface, A</t>
    </r>
    <r>
      <rPr>
        <b/>
        <vertAlign val="subscript"/>
        <sz val="12"/>
        <color theme="1"/>
        <rFont val="Calibri"/>
        <family val="2"/>
        <scheme val="minor"/>
      </rPr>
      <t xml:space="preserve">b </t>
    </r>
    <r>
      <rPr>
        <b/>
        <sz val="12"/>
        <color theme="1"/>
        <rFont val="Calibri"/>
        <family val="2"/>
        <scheme val="minor"/>
      </rPr>
      <t>= B</t>
    </r>
    <r>
      <rPr>
        <b/>
        <vertAlign val="subscript"/>
        <sz val="12"/>
        <color theme="1"/>
        <rFont val="Calibri"/>
        <family val="2"/>
        <scheme val="minor"/>
      </rPr>
      <t xml:space="preserve">1 </t>
    </r>
    <r>
      <rPr>
        <b/>
        <sz val="12"/>
        <color theme="1"/>
        <rFont val="Calibri"/>
        <family val="2"/>
        <scheme val="minor"/>
      </rPr>
      <t>/ q</t>
    </r>
  </si>
  <si>
    <r>
      <t>A</t>
    </r>
    <r>
      <rPr>
        <b/>
        <vertAlign val="subscript"/>
        <sz val="12"/>
        <color theme="1"/>
        <rFont val="Calibri"/>
        <family val="2"/>
        <scheme val="minor"/>
      </rPr>
      <t xml:space="preserve">b </t>
    </r>
    <r>
      <rPr>
        <b/>
        <sz val="12"/>
        <color theme="1"/>
        <rFont val="Calibri"/>
        <family val="2"/>
        <scheme val="minor"/>
      </rPr>
      <t>= Bearing height x External diameter of liner</t>
    </r>
  </si>
  <si>
    <t xml:space="preserve">External diameter of liner </t>
  </si>
  <si>
    <r>
      <t>(D</t>
    </r>
    <r>
      <rPr>
        <vertAlign val="subscript"/>
        <sz val="12"/>
        <color indexed="8"/>
        <rFont val="Calibri"/>
        <family val="2"/>
      </rPr>
      <t>t</t>
    </r>
    <r>
      <rPr>
        <sz val="12"/>
        <color theme="1"/>
        <rFont val="Calibri"/>
        <family val="2"/>
        <scheme val="minor"/>
      </rPr>
      <t>+t</t>
    </r>
    <r>
      <rPr>
        <vertAlign val="subscript"/>
        <sz val="12"/>
        <color indexed="8"/>
        <rFont val="Calibri"/>
        <family val="2"/>
      </rPr>
      <t>1</t>
    </r>
    <r>
      <rPr>
        <sz val="12"/>
        <color theme="1"/>
        <rFont val="Calibri"/>
        <family val="2"/>
        <scheme val="minor"/>
      </rPr>
      <t>x2)</t>
    </r>
  </si>
  <si>
    <t>Bearing height</t>
  </si>
  <si>
    <t>Rudder Frame</t>
  </si>
  <si>
    <t>NKK</t>
  </si>
  <si>
    <t>Horizontal Rudder Frame</t>
  </si>
  <si>
    <r>
      <t>a</t>
    </r>
    <r>
      <rPr>
        <b/>
        <vertAlign val="subscript"/>
        <sz val="12"/>
        <color theme="1"/>
        <rFont val="Calibri"/>
        <family val="2"/>
        <scheme val="minor"/>
      </rPr>
      <t>h</t>
    </r>
    <r>
      <rPr>
        <b/>
        <sz val="12"/>
        <color theme="1"/>
        <rFont val="Calibri"/>
        <family val="2"/>
        <scheme val="minor"/>
      </rPr>
      <t>=(0.2 L /100)+0.4</t>
    </r>
  </si>
  <si>
    <t>taking</t>
  </si>
  <si>
    <t>Vertical Rudder Frame</t>
  </si>
  <si>
    <r>
      <t>a</t>
    </r>
    <r>
      <rPr>
        <b/>
        <vertAlign val="subscript"/>
        <sz val="12"/>
        <color theme="1"/>
        <rFont val="Calibri"/>
        <family val="2"/>
        <scheme val="minor"/>
      </rPr>
      <t>v</t>
    </r>
    <r>
      <rPr>
        <b/>
        <sz val="12"/>
        <color theme="1"/>
        <rFont val="Calibri"/>
        <family val="2"/>
        <scheme val="minor"/>
      </rPr>
      <t xml:space="preserve"> = 1.5 * a</t>
    </r>
    <r>
      <rPr>
        <b/>
        <vertAlign val="subscript"/>
        <sz val="12"/>
        <color theme="1"/>
        <rFont val="Calibri"/>
        <family val="2"/>
        <scheme val="minor"/>
      </rPr>
      <t>h</t>
    </r>
  </si>
  <si>
    <r>
      <t>Safe torque for the Rudder = 1.25 * Max C</t>
    </r>
    <r>
      <rPr>
        <b/>
        <vertAlign val="subscript"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 xml:space="preserve"> * 2</t>
    </r>
  </si>
  <si>
    <t>N/m</t>
  </si>
  <si>
    <t>kN/m</t>
  </si>
  <si>
    <t>Summary</t>
  </si>
  <si>
    <t>Items</t>
  </si>
  <si>
    <t>Dimensions</t>
  </si>
  <si>
    <t>Area</t>
  </si>
  <si>
    <t>550 mm</t>
  </si>
  <si>
    <t>800 mm</t>
  </si>
  <si>
    <t xml:space="preserve">Bearing height </t>
  </si>
  <si>
    <t>100 mm</t>
  </si>
  <si>
    <t>Bush thickness</t>
  </si>
  <si>
    <t>8 mm</t>
  </si>
  <si>
    <r>
      <t>4.18 m</t>
    </r>
    <r>
      <rPr>
        <vertAlign val="superscript"/>
        <sz val="12"/>
        <color theme="1"/>
        <rFont val="Calibri"/>
        <family val="2"/>
        <scheme val="minor"/>
      </rPr>
      <t>2</t>
    </r>
  </si>
  <si>
    <t>11 mm</t>
  </si>
  <si>
    <t>Rudder Coupling Bolt Thickness</t>
  </si>
  <si>
    <t>Rudder Coupling Flange Thickness</t>
  </si>
  <si>
    <t>10 mm</t>
  </si>
  <si>
    <t>65 mm</t>
  </si>
  <si>
    <t>85 mm</t>
  </si>
  <si>
    <t>1.94 m</t>
  </si>
  <si>
    <t>1.08 m</t>
  </si>
  <si>
    <t>Rudder Type</t>
  </si>
  <si>
    <t>Balanced</t>
  </si>
  <si>
    <t>Shape</t>
  </si>
  <si>
    <t>Rectangular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</si>
</sst>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vertAlign val="subscript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C55A1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444444"/>
      <name val="Calibri"/>
      <family val="2"/>
      <scheme val="minor"/>
    </font>
    <font>
      <b/>
      <vertAlign val="subscript"/>
      <sz val="12"/>
      <color rgb="FF444444"/>
      <name val="Calibri"/>
      <family val="2"/>
      <scheme val="minor"/>
    </font>
    <font>
      <b/>
      <vertAlign val="superscript"/>
      <sz val="12"/>
      <color rgb="FF444444"/>
      <name val="Calibri"/>
      <family val="2"/>
      <scheme val="minor"/>
    </font>
    <font>
      <b/>
      <sz val="10"/>
      <color rgb="FF202124"/>
      <name val="Arial"/>
      <family val="2"/>
    </font>
    <font>
      <sz val="12"/>
      <color rgb="FF006100"/>
      <name val="Calibri"/>
      <family val="2"/>
      <scheme val="minor"/>
    </font>
    <font>
      <sz val="12"/>
      <color rgb="FF444444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2"/>
      <color indexed="8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 readingOrder="1"/>
    </xf>
    <xf numFmtId="0" fontId="13" fillId="0" borderId="0" xfId="0" applyFont="1" applyAlignment="1">
      <alignment vertical="center" readingOrder="1"/>
    </xf>
    <xf numFmtId="0" fontId="8" fillId="0" borderId="0" xfId="0" applyFont="1" applyAlignment="1">
      <alignment vertical="center" readingOrder="1"/>
    </xf>
    <xf numFmtId="2" fontId="4" fillId="0" borderId="0" xfId="0" applyNumberFormat="1" applyFont="1" applyAlignment="1">
      <alignment horizontal="center" vertical="center" readingOrder="1"/>
    </xf>
    <xf numFmtId="2" fontId="4" fillId="0" borderId="0" xfId="0" applyNumberFormat="1" applyFont="1" applyAlignment="1">
      <alignment vertical="center"/>
    </xf>
    <xf numFmtId="0" fontId="15" fillId="0" borderId="0" xfId="0" applyFont="1" applyAlignment="1">
      <alignment vertical="center" readingOrder="1"/>
    </xf>
    <xf numFmtId="0" fontId="4" fillId="0" borderId="0" xfId="0" applyFont="1" applyAlignment="1">
      <alignment vertical="center" readingOrder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64" fontId="4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1" applyFont="1" applyFill="1" applyBorder="1" applyAlignment="1">
      <alignment vertical="center"/>
    </xf>
    <xf numFmtId="0" fontId="9" fillId="0" borderId="0" xfId="2" applyFont="1" applyFill="1" applyBorder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24" fillId="0" borderId="0" xfId="0" quotePrefix="1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1" fontId="4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2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3" fontId="4" fillId="0" borderId="1" xfId="3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readingOrder="1"/>
    </xf>
    <xf numFmtId="0" fontId="6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4">
    <cellStyle name="20% - Accent2" xfId="2" builtinId="34"/>
    <cellStyle name="Comma" xfId="3" builtinId="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5D69-3738-4ADE-BE61-C25A5961CF0F}">
  <dimension ref="B1:Q234"/>
  <sheetViews>
    <sheetView tabSelected="1" zoomScale="70" zoomScaleNormal="70" workbookViewId="0"/>
  </sheetViews>
  <sheetFormatPr defaultColWidth="8.88671875" defaultRowHeight="15.6" x14ac:dyDescent="0.3"/>
  <cols>
    <col min="1" max="2" width="8.88671875" style="1"/>
    <col min="3" max="3" width="23.33203125" style="1" customWidth="1"/>
    <col min="4" max="4" width="28.109375" style="1" customWidth="1"/>
    <col min="5" max="5" width="26.33203125" style="1" customWidth="1"/>
    <col min="6" max="6" width="14.33203125" style="1" customWidth="1"/>
    <col min="7" max="7" width="12.88671875" style="1" customWidth="1"/>
    <col min="8" max="8" width="11.88671875" style="1" customWidth="1"/>
    <col min="9" max="9" width="12.44140625" style="1" customWidth="1"/>
    <col min="10" max="10" width="13.6640625" style="1" customWidth="1"/>
    <col min="11" max="11" width="13.77734375" style="1" customWidth="1"/>
    <col min="12" max="12" width="9.33203125" style="1" bestFit="1" customWidth="1"/>
    <col min="13" max="16384" width="8.88671875" style="1"/>
  </cols>
  <sheetData>
    <row r="1" spans="2:14" x14ac:dyDescent="0.3">
      <c r="B1" s="1" t="s">
        <v>0</v>
      </c>
    </row>
    <row r="2" spans="2:14" ht="15.6" customHeight="1" x14ac:dyDescent="0.3">
      <c r="C2" s="58" t="s">
        <v>1</v>
      </c>
      <c r="D2" s="58"/>
      <c r="E2" s="58"/>
    </row>
    <row r="3" spans="2:14" ht="15.6" customHeight="1" x14ac:dyDescent="0.3">
      <c r="C3" s="58"/>
      <c r="D3" s="58"/>
      <c r="E3" s="58"/>
    </row>
    <row r="4" spans="2:14" ht="17.399999999999999" customHeight="1" x14ac:dyDescent="0.3">
      <c r="C4" s="58"/>
      <c r="D4" s="58"/>
      <c r="E4" s="58"/>
    </row>
    <row r="5" spans="2:14" ht="18" x14ac:dyDescent="0.3">
      <c r="B5" s="1" t="s">
        <v>0</v>
      </c>
      <c r="C5" s="2" t="s">
        <v>2</v>
      </c>
      <c r="D5" s="3">
        <v>68.53</v>
      </c>
      <c r="E5" s="3" t="s">
        <v>3</v>
      </c>
    </row>
    <row r="6" spans="2:14" ht="18" x14ac:dyDescent="0.3">
      <c r="C6" s="2" t="s">
        <v>4</v>
      </c>
      <c r="D6" s="3">
        <v>64.55</v>
      </c>
      <c r="E6" s="3" t="s">
        <v>3</v>
      </c>
    </row>
    <row r="7" spans="2:14" ht="18" x14ac:dyDescent="0.3">
      <c r="C7" s="2" t="s">
        <v>5</v>
      </c>
      <c r="D7" s="3">
        <v>64.760000000000005</v>
      </c>
      <c r="E7" s="3" t="s">
        <v>3</v>
      </c>
    </row>
    <row r="8" spans="2:14" x14ac:dyDescent="0.3">
      <c r="C8" s="2" t="s">
        <v>6</v>
      </c>
      <c r="D8" s="3">
        <v>10.77</v>
      </c>
      <c r="E8" s="3" t="s">
        <v>3</v>
      </c>
    </row>
    <row r="9" spans="2:14" x14ac:dyDescent="0.3">
      <c r="C9" s="2" t="s">
        <v>7</v>
      </c>
      <c r="D9" s="3">
        <v>5.05</v>
      </c>
      <c r="E9" s="3" t="s">
        <v>3</v>
      </c>
    </row>
    <row r="10" spans="2:14" x14ac:dyDescent="0.3">
      <c r="C10" s="2" t="s">
        <v>8</v>
      </c>
      <c r="D10" s="3">
        <v>3.8</v>
      </c>
      <c r="E10" s="3" t="s">
        <v>3</v>
      </c>
    </row>
    <row r="11" spans="2:14" x14ac:dyDescent="0.3">
      <c r="C11" s="2" t="s">
        <v>9</v>
      </c>
      <c r="D11" s="3">
        <v>9</v>
      </c>
      <c r="E11" s="3" t="s">
        <v>10</v>
      </c>
    </row>
    <row r="12" spans="2:14" x14ac:dyDescent="0.3">
      <c r="C12" s="4" t="s">
        <v>11</v>
      </c>
      <c r="D12" s="5">
        <f>D7*0.97</f>
        <v>62.8172</v>
      </c>
      <c r="E12" s="3" t="s">
        <v>3</v>
      </c>
    </row>
    <row r="13" spans="2:14" x14ac:dyDescent="0.3">
      <c r="C13" s="6"/>
      <c r="D13" s="7"/>
      <c r="E13" s="8"/>
    </row>
    <row r="14" spans="2:14" x14ac:dyDescent="0.3">
      <c r="C14" s="6"/>
      <c r="D14" s="7"/>
      <c r="E14" s="8"/>
    </row>
    <row r="16" spans="2:14" ht="15.6" customHeight="1" x14ac:dyDescent="0.3">
      <c r="C16" s="58" t="s">
        <v>12</v>
      </c>
      <c r="D16" s="58"/>
      <c r="J16" s="59" t="s">
        <v>13</v>
      </c>
      <c r="K16" s="59"/>
      <c r="L16" s="59"/>
      <c r="M16" s="59"/>
      <c r="N16" s="59"/>
    </row>
    <row r="17" spans="3:14" ht="15.6" customHeight="1" x14ac:dyDescent="0.3">
      <c r="C17" s="58"/>
      <c r="D17" s="58"/>
      <c r="J17" s="59"/>
      <c r="K17" s="59"/>
      <c r="L17" s="59"/>
      <c r="M17" s="59"/>
      <c r="N17" s="59"/>
    </row>
    <row r="18" spans="3:14" x14ac:dyDescent="0.3">
      <c r="H18" s="9"/>
      <c r="I18" s="9"/>
    </row>
    <row r="19" spans="3:14" ht="18" x14ac:dyDescent="0.3">
      <c r="D19" s="6" t="s">
        <v>14</v>
      </c>
      <c r="E19" s="6"/>
      <c r="F19" s="10">
        <v>1</v>
      </c>
    </row>
    <row r="20" spans="3:14" x14ac:dyDescent="0.3">
      <c r="D20" s="6"/>
      <c r="E20" s="6"/>
      <c r="F20" s="10"/>
    </row>
    <row r="21" spans="3:14" ht="18" x14ac:dyDescent="0.3">
      <c r="D21" s="6" t="s">
        <v>15</v>
      </c>
      <c r="E21" s="6"/>
      <c r="F21" s="10">
        <v>1</v>
      </c>
    </row>
    <row r="22" spans="3:14" x14ac:dyDescent="0.3">
      <c r="D22" s="6"/>
      <c r="E22" s="6"/>
      <c r="F22" s="10"/>
    </row>
    <row r="23" spans="3:14" ht="18" x14ac:dyDescent="0.3">
      <c r="D23" s="6" t="s">
        <v>16</v>
      </c>
      <c r="E23" s="6"/>
      <c r="F23" s="10">
        <v>1</v>
      </c>
    </row>
    <row r="24" spans="3:14" x14ac:dyDescent="0.3">
      <c r="D24" s="6"/>
      <c r="E24" s="6"/>
      <c r="F24" s="10"/>
    </row>
    <row r="25" spans="3:14" ht="18" x14ac:dyDescent="0.3">
      <c r="D25" s="6" t="s">
        <v>17</v>
      </c>
      <c r="E25" s="6"/>
      <c r="F25" s="10">
        <v>1</v>
      </c>
    </row>
    <row r="27" spans="3:14" ht="18" x14ac:dyDescent="0.3">
      <c r="D27" s="60" t="s">
        <v>18</v>
      </c>
      <c r="E27" s="60"/>
      <c r="F27" s="11" t="s">
        <v>19</v>
      </c>
      <c r="G27" s="7">
        <f>(F19*F21*F23*F25*D12*D10*1.75)/100</f>
        <v>4.1773438000000001</v>
      </c>
      <c r="H27" s="1" t="s">
        <v>20</v>
      </c>
    </row>
    <row r="28" spans="3:14" x14ac:dyDescent="0.3">
      <c r="F28" s="6"/>
      <c r="G28" s="10"/>
    </row>
    <row r="29" spans="3:14" ht="22.2" customHeight="1" x14ac:dyDescent="0.3">
      <c r="C29" s="12" t="s">
        <v>21</v>
      </c>
      <c r="D29" s="13"/>
      <c r="F29" s="6"/>
      <c r="G29" s="10"/>
      <c r="H29" s="14"/>
    </row>
    <row r="30" spans="3:14" ht="15.6" customHeight="1" x14ac:dyDescent="0.3">
      <c r="C30" s="13"/>
      <c r="D30" s="13"/>
      <c r="F30" s="6"/>
      <c r="G30" s="10"/>
      <c r="H30" s="14"/>
    </row>
    <row r="31" spans="3:14" ht="15.6" customHeight="1" x14ac:dyDescent="0.3">
      <c r="C31" s="13"/>
      <c r="D31" s="61" t="s">
        <v>22</v>
      </c>
      <c r="E31" s="61"/>
      <c r="F31" s="11" t="s">
        <v>19</v>
      </c>
      <c r="G31" s="15">
        <f>D7*D10/60</f>
        <v>4.1014666666666661</v>
      </c>
      <c r="H31" s="1" t="s">
        <v>20</v>
      </c>
    </row>
    <row r="32" spans="3:14" x14ac:dyDescent="0.3">
      <c r="F32" s="6"/>
      <c r="G32" s="10"/>
    </row>
    <row r="33" spans="3:14" x14ac:dyDescent="0.3">
      <c r="F33" s="6"/>
      <c r="G33" s="10"/>
    </row>
    <row r="34" spans="3:14" ht="17.399999999999999" x14ac:dyDescent="0.3">
      <c r="C34" s="12" t="s">
        <v>23</v>
      </c>
      <c r="D34" s="57" t="s">
        <v>24</v>
      </c>
      <c r="E34" s="57"/>
      <c r="F34" s="11" t="s">
        <v>19</v>
      </c>
      <c r="G34" s="15">
        <f>((D10*D7)/100)*(1+25*(D8/D7)^2)</f>
        <v>4.1624435423100667</v>
      </c>
      <c r="H34" s="1" t="s">
        <v>20</v>
      </c>
    </row>
    <row r="37" spans="3:14" ht="17.399999999999999" x14ac:dyDescent="0.3">
      <c r="E37" s="6" t="s">
        <v>25</v>
      </c>
      <c r="F37" s="7">
        <f>G27</f>
        <v>4.1773438000000001</v>
      </c>
      <c r="G37" s="1" t="s">
        <v>20</v>
      </c>
    </row>
    <row r="38" spans="3:14" x14ac:dyDescent="0.3">
      <c r="D38" s="6"/>
      <c r="F38" s="16"/>
    </row>
    <row r="39" spans="3:14" ht="17.399999999999999" x14ac:dyDescent="0.3">
      <c r="C39" s="17"/>
      <c r="E39" s="6" t="s">
        <v>26</v>
      </c>
      <c r="F39" s="7">
        <f>F37/2</f>
        <v>2.0886719</v>
      </c>
      <c r="G39" s="1" t="s">
        <v>20</v>
      </c>
    </row>
    <row r="40" spans="3:14" x14ac:dyDescent="0.3">
      <c r="D40" s="18"/>
      <c r="E40" s="10"/>
    </row>
    <row r="41" spans="3:14" x14ac:dyDescent="0.3">
      <c r="D41" s="14"/>
    </row>
    <row r="42" spans="3:14" ht="15.6" customHeight="1" x14ac:dyDescent="0.3">
      <c r="C42" s="58" t="s">
        <v>27</v>
      </c>
      <c r="D42" s="58"/>
      <c r="J42" s="59" t="s">
        <v>28</v>
      </c>
      <c r="K42" s="59"/>
      <c r="L42" s="59"/>
      <c r="M42" s="59"/>
      <c r="N42" s="59"/>
    </row>
    <row r="43" spans="3:14" ht="15.6" customHeight="1" x14ac:dyDescent="0.3">
      <c r="C43" s="58"/>
      <c r="D43" s="58"/>
      <c r="J43" s="59"/>
      <c r="K43" s="59"/>
      <c r="L43" s="59"/>
      <c r="M43" s="59"/>
      <c r="N43" s="59"/>
    </row>
    <row r="44" spans="3:14" ht="15.6" customHeight="1" x14ac:dyDescent="0.3">
      <c r="C44" s="19"/>
      <c r="D44" s="19"/>
      <c r="J44" s="20"/>
      <c r="K44" s="20"/>
      <c r="L44" s="20"/>
      <c r="M44" s="20"/>
      <c r="N44" s="20"/>
    </row>
    <row r="45" spans="3:14" ht="18" customHeight="1" x14ac:dyDescent="0.3">
      <c r="C45" s="19"/>
      <c r="D45" s="21" t="s">
        <v>29</v>
      </c>
      <c r="E45" s="6"/>
      <c r="F45" s="6"/>
      <c r="G45" s="7">
        <v>1.8</v>
      </c>
      <c r="K45" s="20"/>
      <c r="L45" s="20"/>
      <c r="M45" s="20"/>
      <c r="N45" s="20"/>
    </row>
    <row r="46" spans="3:14" x14ac:dyDescent="0.3">
      <c r="D46" s="22" t="s">
        <v>30</v>
      </c>
      <c r="E46" s="22"/>
      <c r="F46" s="22"/>
      <c r="G46" s="50">
        <f>(G45*F39)^0.5</f>
        <v>1.9389712272233439</v>
      </c>
      <c r="H46" s="8" t="s">
        <v>3</v>
      </c>
      <c r="J46" s="1" t="s">
        <v>31</v>
      </c>
    </row>
    <row r="47" spans="3:14" x14ac:dyDescent="0.3">
      <c r="D47" s="6" t="s">
        <v>32</v>
      </c>
      <c r="E47" s="6"/>
      <c r="F47" s="6"/>
      <c r="G47" s="7">
        <f>F39/G46</f>
        <v>1.0772062373463021</v>
      </c>
      <c r="H47" s="8" t="s">
        <v>3</v>
      </c>
      <c r="J47" s="1" t="s">
        <v>33</v>
      </c>
    </row>
    <row r="48" spans="3:14" x14ac:dyDescent="0.3">
      <c r="D48" s="10"/>
      <c r="E48" s="10"/>
      <c r="F48" s="10"/>
      <c r="G48" s="10"/>
      <c r="H48" s="16"/>
    </row>
    <row r="49" spans="3:16" x14ac:dyDescent="0.3">
      <c r="D49" s="10"/>
      <c r="E49" s="10"/>
      <c r="F49" s="10"/>
      <c r="G49" s="10"/>
      <c r="H49" s="16"/>
    </row>
    <row r="50" spans="3:16" ht="15.6" customHeight="1" x14ac:dyDescent="0.3">
      <c r="C50" s="58" t="s">
        <v>34</v>
      </c>
      <c r="D50" s="58"/>
      <c r="J50" s="59" t="s">
        <v>35</v>
      </c>
      <c r="K50" s="59"/>
      <c r="L50" s="59"/>
      <c r="M50" s="59"/>
      <c r="N50" s="59"/>
    </row>
    <row r="51" spans="3:16" ht="15.6" customHeight="1" x14ac:dyDescent="0.3">
      <c r="C51" s="58"/>
      <c r="D51" s="58"/>
      <c r="J51" s="59"/>
      <c r="K51" s="59"/>
      <c r="L51" s="59"/>
      <c r="M51" s="59"/>
      <c r="N51" s="59"/>
    </row>
    <row r="52" spans="3:16" x14ac:dyDescent="0.3">
      <c r="L52" s="62"/>
      <c r="M52" s="62"/>
      <c r="N52" s="62"/>
      <c r="O52" s="62"/>
      <c r="P52" s="62"/>
    </row>
    <row r="53" spans="3:16" x14ac:dyDescent="0.3">
      <c r="D53" s="6" t="s">
        <v>36</v>
      </c>
      <c r="E53" s="11" t="s">
        <v>37</v>
      </c>
      <c r="F53" s="11" t="s">
        <v>38</v>
      </c>
      <c r="G53" s="10">
        <v>240</v>
      </c>
      <c r="H53" s="1" t="s">
        <v>39</v>
      </c>
    </row>
    <row r="55" spans="3:16" ht="18" x14ac:dyDescent="0.3">
      <c r="D55" s="24" t="s">
        <v>40</v>
      </c>
      <c r="E55" s="25"/>
      <c r="F55" s="25"/>
      <c r="G55" s="25" t="s">
        <v>41</v>
      </c>
      <c r="H55" s="25" t="s">
        <v>42</v>
      </c>
    </row>
    <row r="56" spans="3:16" x14ac:dyDescent="0.3">
      <c r="D56" s="24"/>
      <c r="E56" s="25"/>
      <c r="F56" s="25"/>
      <c r="G56" s="25"/>
      <c r="H56" s="25"/>
    </row>
    <row r="57" spans="3:16" ht="18" x14ac:dyDescent="0.3">
      <c r="D57" s="24" t="s">
        <v>43</v>
      </c>
      <c r="E57" s="25"/>
      <c r="F57" s="25"/>
      <c r="G57" s="25" t="s">
        <v>44</v>
      </c>
      <c r="H57" s="25" t="s">
        <v>45</v>
      </c>
    </row>
    <row r="59" spans="3:16" ht="18" x14ac:dyDescent="0.3">
      <c r="D59" s="24" t="s">
        <v>46</v>
      </c>
      <c r="E59" s="11" t="s">
        <v>38</v>
      </c>
      <c r="F59" s="26">
        <f>(235/G53)^0.75</f>
        <v>0.98433395248701994</v>
      </c>
    </row>
    <row r="62" spans="3:16" x14ac:dyDescent="0.3">
      <c r="C62" s="58" t="s">
        <v>47</v>
      </c>
      <c r="D62" s="58"/>
      <c r="J62" s="59" t="s">
        <v>48</v>
      </c>
      <c r="K62" s="59"/>
      <c r="L62" s="59"/>
      <c r="M62" s="59"/>
      <c r="N62" s="59"/>
    </row>
    <row r="63" spans="3:16" x14ac:dyDescent="0.3">
      <c r="C63" s="58"/>
      <c r="D63" s="58"/>
      <c r="J63" s="59"/>
      <c r="K63" s="59"/>
      <c r="L63" s="59"/>
      <c r="M63" s="59"/>
      <c r="N63" s="59"/>
    </row>
    <row r="66" spans="3:13" ht="18" x14ac:dyDescent="0.3">
      <c r="C66" s="6" t="s">
        <v>49</v>
      </c>
      <c r="D66" s="6"/>
      <c r="E66" s="6"/>
      <c r="G66" s="7">
        <f>(G45+2)/3</f>
        <v>1.2666666666666666</v>
      </c>
      <c r="I66" s="27"/>
      <c r="J66" s="27"/>
      <c r="K66" s="27"/>
      <c r="L66" s="27"/>
      <c r="M66" s="27"/>
    </row>
    <row r="67" spans="3:13" x14ac:dyDescent="0.3">
      <c r="C67" s="6"/>
      <c r="D67" s="6"/>
      <c r="E67" s="6"/>
      <c r="G67" s="7"/>
      <c r="I67" s="27"/>
      <c r="J67" s="27"/>
      <c r="K67" s="27"/>
      <c r="L67" s="27"/>
      <c r="M67" s="27"/>
    </row>
    <row r="68" spans="3:13" ht="18" x14ac:dyDescent="0.3">
      <c r="C68" s="6" t="s">
        <v>50</v>
      </c>
      <c r="D68" s="6"/>
      <c r="E68" s="6"/>
      <c r="G68" s="10">
        <v>0.8</v>
      </c>
      <c r="H68" s="11" t="s">
        <v>51</v>
      </c>
    </row>
    <row r="69" spans="3:13" x14ac:dyDescent="0.3">
      <c r="C69" s="6"/>
      <c r="D69" s="6"/>
      <c r="E69" s="6"/>
      <c r="G69" s="10">
        <v>1.1000000000000001</v>
      </c>
      <c r="H69" s="11" t="s">
        <v>52</v>
      </c>
    </row>
    <row r="70" spans="3:13" x14ac:dyDescent="0.3">
      <c r="C70" s="6"/>
      <c r="D70" s="6"/>
      <c r="E70" s="6"/>
      <c r="G70" s="10"/>
    </row>
    <row r="71" spans="3:13" ht="18" x14ac:dyDescent="0.3">
      <c r="C71" s="6" t="s">
        <v>53</v>
      </c>
      <c r="D71" s="6"/>
      <c r="E71" s="6"/>
      <c r="G71" s="10">
        <v>1</v>
      </c>
    </row>
    <row r="72" spans="3:13" x14ac:dyDescent="0.3">
      <c r="C72" s="6"/>
      <c r="D72" s="6"/>
      <c r="E72" s="6"/>
      <c r="G72" s="10"/>
    </row>
    <row r="73" spans="3:13" ht="18" x14ac:dyDescent="0.3">
      <c r="C73" s="6" t="s">
        <v>54</v>
      </c>
      <c r="D73" s="6"/>
      <c r="E73" s="6"/>
      <c r="G73" s="10">
        <v>1</v>
      </c>
    </row>
    <row r="76" spans="3:13" ht="18" x14ac:dyDescent="0.3">
      <c r="D76" s="6" t="s">
        <v>55</v>
      </c>
      <c r="E76" s="60" t="s">
        <v>56</v>
      </c>
      <c r="F76" s="60"/>
      <c r="G76" s="11" t="s">
        <v>19</v>
      </c>
      <c r="H76" s="7">
        <f>132*F39*((D11*0.6)^2)*G66*G68*G71*G73</f>
        <v>8146.7427675110375</v>
      </c>
      <c r="I76" s="1" t="s">
        <v>57</v>
      </c>
      <c r="J76" s="11" t="s">
        <v>51</v>
      </c>
    </row>
    <row r="77" spans="3:13" x14ac:dyDescent="0.3">
      <c r="G77" s="11" t="s">
        <v>19</v>
      </c>
      <c r="H77" s="1">
        <f>132*F39*(D11^2)*G66*G69*G71*G73</f>
        <v>31116.031403688001</v>
      </c>
      <c r="I77" s="1" t="s">
        <v>57</v>
      </c>
      <c r="J77" s="11" t="s">
        <v>52</v>
      </c>
    </row>
    <row r="79" spans="3:13" x14ac:dyDescent="0.3">
      <c r="E79" s="10"/>
    </row>
    <row r="80" spans="3:13" x14ac:dyDescent="0.3">
      <c r="E80" s="10"/>
    </row>
    <row r="81" spans="3:15" x14ac:dyDescent="0.3">
      <c r="C81" s="58" t="s">
        <v>58</v>
      </c>
      <c r="D81" s="58"/>
      <c r="J81" s="59" t="s">
        <v>59</v>
      </c>
      <c r="K81" s="59"/>
      <c r="L81" s="59"/>
      <c r="M81" s="59"/>
      <c r="N81" s="59"/>
    </row>
    <row r="82" spans="3:15" x14ac:dyDescent="0.3">
      <c r="C82" s="58"/>
      <c r="D82" s="58"/>
      <c r="J82" s="59"/>
      <c r="K82" s="59"/>
      <c r="L82" s="59"/>
      <c r="M82" s="59"/>
      <c r="N82" s="59"/>
    </row>
    <row r="84" spans="3:15" x14ac:dyDescent="0.3">
      <c r="D84" s="11" t="s">
        <v>60</v>
      </c>
      <c r="E84" s="7">
        <f>G47</f>
        <v>1.0772062373463021</v>
      </c>
      <c r="I84" s="27"/>
      <c r="J84" s="27"/>
      <c r="K84" s="27"/>
      <c r="L84" s="27"/>
      <c r="M84" s="27"/>
      <c r="N84" s="27"/>
      <c r="O84" s="27"/>
    </row>
    <row r="85" spans="3:15" x14ac:dyDescent="0.3">
      <c r="D85" s="11"/>
      <c r="E85" s="7"/>
      <c r="I85" s="27"/>
      <c r="J85" s="27"/>
      <c r="K85" s="27"/>
      <c r="L85" s="27"/>
      <c r="M85" s="27"/>
      <c r="N85" s="27"/>
      <c r="O85" s="27"/>
    </row>
    <row r="86" spans="3:15" x14ac:dyDescent="0.3">
      <c r="D86" s="28" t="s">
        <v>61</v>
      </c>
      <c r="E86" s="10">
        <f>0.33</f>
        <v>0.33</v>
      </c>
      <c r="F86" s="11" t="s">
        <v>52</v>
      </c>
      <c r="I86" s="27"/>
      <c r="J86" s="27"/>
      <c r="K86" s="27"/>
      <c r="L86" s="27"/>
      <c r="M86" s="27"/>
      <c r="N86" s="27"/>
      <c r="O86" s="27"/>
    </row>
    <row r="87" spans="3:15" x14ac:dyDescent="0.3">
      <c r="D87" s="11" t="s">
        <v>62</v>
      </c>
      <c r="E87" s="7">
        <f>0.1*E84</f>
        <v>0.10772062373463021</v>
      </c>
      <c r="F87" s="10" t="s">
        <v>3</v>
      </c>
      <c r="I87" s="27"/>
      <c r="J87" s="27"/>
      <c r="K87" s="27"/>
      <c r="L87" s="27"/>
      <c r="M87" s="27"/>
      <c r="N87" s="27"/>
      <c r="O87" s="27"/>
    </row>
    <row r="88" spans="3:15" x14ac:dyDescent="0.3">
      <c r="D88" s="28"/>
      <c r="E88" s="10"/>
      <c r="F88" s="11"/>
      <c r="I88" s="27"/>
      <c r="J88" s="27"/>
      <c r="K88" s="27"/>
      <c r="L88" s="27"/>
      <c r="M88" s="27"/>
      <c r="N88" s="27"/>
      <c r="O88" s="27"/>
    </row>
    <row r="89" spans="3:15" x14ac:dyDescent="0.3">
      <c r="D89" s="28" t="s">
        <v>61</v>
      </c>
      <c r="E89" s="10">
        <f>0.9</f>
        <v>0.9</v>
      </c>
      <c r="F89" s="11" t="s">
        <v>51</v>
      </c>
    </row>
    <row r="90" spans="3:15" ht="18" x14ac:dyDescent="0.3">
      <c r="D90" s="11" t="s">
        <v>63</v>
      </c>
      <c r="E90" s="7">
        <f>E84*(E89-E91)</f>
        <v>0.64632374240778134</v>
      </c>
      <c r="F90" s="10" t="s">
        <v>3</v>
      </c>
      <c r="G90" s="1" t="s">
        <v>64</v>
      </c>
    </row>
    <row r="91" spans="3:15" ht="18" customHeight="1" x14ac:dyDescent="0.3">
      <c r="D91" s="11" t="s">
        <v>65</v>
      </c>
      <c r="E91" s="10">
        <v>0.3</v>
      </c>
      <c r="G91" s="1" t="s">
        <v>66</v>
      </c>
    </row>
    <row r="93" spans="3:15" ht="18" x14ac:dyDescent="0.3">
      <c r="D93" s="11" t="s">
        <v>67</v>
      </c>
      <c r="E93" s="11" t="s">
        <v>19</v>
      </c>
      <c r="F93" s="29">
        <f>H76*E90</f>
        <v>5265.4332739312595</v>
      </c>
      <c r="G93" s="1" t="s">
        <v>68</v>
      </c>
      <c r="H93" s="11" t="s">
        <v>51</v>
      </c>
    </row>
    <row r="94" spans="3:15" x14ac:dyDescent="0.3">
      <c r="E94" s="11" t="s">
        <v>19</v>
      </c>
      <c r="F94" s="1">
        <f>H77*E87</f>
        <v>3351.8383109516126</v>
      </c>
      <c r="G94" s="1" t="s">
        <v>68</v>
      </c>
      <c r="H94" s="11" t="s">
        <v>52</v>
      </c>
    </row>
    <row r="96" spans="3:15" x14ac:dyDescent="0.3">
      <c r="C96" s="58" t="s">
        <v>69</v>
      </c>
      <c r="D96" s="58"/>
      <c r="J96" s="59" t="s">
        <v>70</v>
      </c>
      <c r="K96" s="59"/>
      <c r="L96" s="59"/>
      <c r="M96" s="59"/>
      <c r="N96" s="59"/>
    </row>
    <row r="97" spans="3:17" x14ac:dyDescent="0.3">
      <c r="C97" s="58"/>
      <c r="D97" s="58"/>
      <c r="J97" s="59"/>
      <c r="K97" s="59"/>
      <c r="L97" s="59"/>
      <c r="M97" s="59"/>
      <c r="N97" s="59"/>
    </row>
    <row r="99" spans="3:17" ht="18" x14ac:dyDescent="0.3">
      <c r="D99" s="24" t="s">
        <v>46</v>
      </c>
      <c r="E99" s="11" t="s">
        <v>38</v>
      </c>
      <c r="F99" s="26">
        <f>F59</f>
        <v>0.98433395248701994</v>
      </c>
    </row>
    <row r="100" spans="3:17" x14ac:dyDescent="0.3">
      <c r="D100" s="24"/>
      <c r="E100" s="11"/>
      <c r="F100" s="26"/>
    </row>
    <row r="101" spans="3:17" x14ac:dyDescent="0.3">
      <c r="D101" s="24"/>
      <c r="E101" s="11"/>
      <c r="F101" s="26"/>
    </row>
    <row r="102" spans="3:17" ht="23.4" customHeight="1" x14ac:dyDescent="0.3">
      <c r="D102" s="28" t="s">
        <v>71</v>
      </c>
      <c r="E102" s="11" t="s">
        <v>38</v>
      </c>
      <c r="F102" s="7">
        <f>4.2*(F94*F99)^(1/3)</f>
        <v>62.525590083044733</v>
      </c>
      <c r="G102" s="10" t="s">
        <v>72</v>
      </c>
      <c r="K102" s="27"/>
      <c r="L102" s="27"/>
      <c r="M102" s="27"/>
      <c r="N102" s="27"/>
      <c r="O102" s="27"/>
    </row>
    <row r="103" spans="3:17" x14ac:dyDescent="0.3">
      <c r="E103" s="30" t="s">
        <v>73</v>
      </c>
      <c r="F103" s="10">
        <v>65</v>
      </c>
      <c r="G103" s="10" t="s">
        <v>72</v>
      </c>
    </row>
    <row r="105" spans="3:17" x14ac:dyDescent="0.3">
      <c r="C105" s="58" t="s">
        <v>74</v>
      </c>
      <c r="D105" s="58"/>
      <c r="J105" s="59" t="s">
        <v>75</v>
      </c>
      <c r="K105" s="59"/>
      <c r="L105" s="59"/>
      <c r="M105" s="59"/>
      <c r="N105" s="59"/>
    </row>
    <row r="106" spans="3:17" x14ac:dyDescent="0.3">
      <c r="C106" s="58"/>
      <c r="D106" s="58"/>
      <c r="J106" s="59"/>
      <c r="K106" s="59"/>
      <c r="L106" s="59"/>
      <c r="M106" s="59"/>
      <c r="N106" s="59"/>
    </row>
    <row r="107" spans="3:17" x14ac:dyDescent="0.3">
      <c r="E107" s="31"/>
      <c r="F107" s="31"/>
      <c r="G107" s="31"/>
      <c r="H107" s="31"/>
      <c r="K107" s="27"/>
      <c r="L107" s="27"/>
      <c r="M107" s="27"/>
      <c r="N107" s="27"/>
      <c r="O107" s="27"/>
      <c r="P107" s="27"/>
      <c r="Q107" s="27"/>
    </row>
    <row r="109" spans="3:17" ht="21" customHeight="1" x14ac:dyDescent="0.3">
      <c r="D109" s="32" t="s">
        <v>76</v>
      </c>
      <c r="E109" s="11" t="s">
        <v>38</v>
      </c>
      <c r="F109" s="33">
        <f>F103</f>
        <v>65</v>
      </c>
      <c r="G109" s="34" t="s">
        <v>77</v>
      </c>
      <c r="H109" s="10"/>
      <c r="I109" s="10"/>
    </row>
    <row r="110" spans="3:17" x14ac:dyDescent="0.3">
      <c r="D110" s="32"/>
      <c r="E110" s="11"/>
      <c r="F110" s="33"/>
      <c r="G110" s="34"/>
      <c r="H110" s="10"/>
      <c r="I110" s="10"/>
    </row>
    <row r="111" spans="3:17" x14ac:dyDescent="0.3">
      <c r="D111" s="32" t="s">
        <v>78</v>
      </c>
      <c r="E111" s="11" t="s">
        <v>38</v>
      </c>
      <c r="F111" s="34">
        <f>E91</f>
        <v>0.3</v>
      </c>
      <c r="G111" s="34"/>
      <c r="H111" s="10"/>
      <c r="I111" s="10"/>
    </row>
    <row r="112" spans="3:17" x14ac:dyDescent="0.3">
      <c r="D112" s="32"/>
      <c r="E112" s="11"/>
      <c r="F112" s="34"/>
      <c r="G112" s="34"/>
      <c r="H112" s="10"/>
      <c r="I112" s="10"/>
    </row>
    <row r="113" spans="3:14" ht="18" x14ac:dyDescent="0.3">
      <c r="D113" s="24" t="s">
        <v>46</v>
      </c>
      <c r="E113" s="11" t="s">
        <v>38</v>
      </c>
      <c r="F113" s="26">
        <f>F59</f>
        <v>0.98433395248701994</v>
      </c>
      <c r="G113" s="34"/>
      <c r="H113" s="10"/>
      <c r="I113" s="10"/>
    </row>
    <row r="114" spans="3:14" x14ac:dyDescent="0.3">
      <c r="D114" s="24"/>
      <c r="E114" s="11"/>
      <c r="F114" s="26"/>
      <c r="G114" s="34"/>
      <c r="H114" s="10"/>
      <c r="I114" s="10"/>
    </row>
    <row r="115" spans="3:14" ht="15.6" customHeight="1" x14ac:dyDescent="0.3">
      <c r="D115" s="32" t="s">
        <v>79</v>
      </c>
      <c r="E115" s="11" t="s">
        <v>38</v>
      </c>
      <c r="F115" s="34">
        <v>6</v>
      </c>
      <c r="G115" s="34"/>
      <c r="H115" s="10"/>
      <c r="I115" s="10"/>
    </row>
    <row r="116" spans="3:14" ht="15.6" customHeight="1" x14ac:dyDescent="0.3">
      <c r="D116" s="32"/>
      <c r="E116" s="11"/>
      <c r="F116" s="34"/>
      <c r="G116" s="34"/>
      <c r="H116" s="10"/>
      <c r="I116" s="10"/>
    </row>
    <row r="117" spans="3:14" x14ac:dyDescent="0.3">
      <c r="D117" s="32" t="s">
        <v>80</v>
      </c>
      <c r="E117" s="11" t="s">
        <v>38</v>
      </c>
      <c r="F117" s="35">
        <f>0.7*F109</f>
        <v>45.5</v>
      </c>
      <c r="G117" s="34" t="s">
        <v>77</v>
      </c>
      <c r="H117" s="10"/>
      <c r="I117" s="10"/>
      <c r="J117" s="59" t="s">
        <v>81</v>
      </c>
      <c r="K117" s="59"/>
      <c r="L117" s="59"/>
      <c r="M117" s="59"/>
      <c r="N117" s="59"/>
    </row>
    <row r="118" spans="3:14" x14ac:dyDescent="0.3">
      <c r="D118" s="10"/>
      <c r="E118" s="10"/>
      <c r="F118" s="10"/>
      <c r="G118" s="10"/>
      <c r="H118" s="10"/>
      <c r="I118" s="10"/>
    </row>
    <row r="119" spans="3:14" x14ac:dyDescent="0.3">
      <c r="D119" s="10"/>
      <c r="E119" s="10"/>
      <c r="F119" s="10"/>
      <c r="G119" s="10"/>
      <c r="H119" s="10"/>
      <c r="I119" s="10"/>
    </row>
    <row r="120" spans="3:14" ht="28.95" customHeight="1" x14ac:dyDescent="0.3">
      <c r="D120" s="11" t="s">
        <v>82</v>
      </c>
      <c r="E120" s="60" t="s">
        <v>83</v>
      </c>
      <c r="F120" s="60"/>
      <c r="G120" s="11" t="s">
        <v>38</v>
      </c>
      <c r="H120" s="7">
        <f>0.62*((F109^3*F111)/(F113*F115*F117))^(1/2)</f>
        <v>10.855999023629066</v>
      </c>
      <c r="I120" s="10" t="s">
        <v>72</v>
      </c>
    </row>
    <row r="121" spans="3:14" x14ac:dyDescent="0.3">
      <c r="D121" s="11"/>
      <c r="E121" s="10"/>
      <c r="F121" s="10"/>
      <c r="G121" s="30" t="s">
        <v>73</v>
      </c>
      <c r="H121" s="10">
        <v>11</v>
      </c>
      <c r="I121" s="10" t="s">
        <v>72</v>
      </c>
    </row>
    <row r="122" spans="3:14" x14ac:dyDescent="0.3">
      <c r="D122" s="10"/>
      <c r="E122" s="10"/>
      <c r="F122" s="10"/>
      <c r="G122" s="10"/>
      <c r="H122" s="10"/>
      <c r="I122" s="10"/>
    </row>
    <row r="123" spans="3:14" ht="19.2" customHeight="1" x14ac:dyDescent="0.3">
      <c r="D123" s="11" t="s">
        <v>84</v>
      </c>
      <c r="E123" s="60" t="s">
        <v>85</v>
      </c>
      <c r="F123" s="60"/>
      <c r="G123" s="11" t="s">
        <v>38</v>
      </c>
      <c r="H123" s="36">
        <f>0.9*H120</f>
        <v>9.7703991212661592</v>
      </c>
      <c r="I123" s="10" t="s">
        <v>72</v>
      </c>
      <c r="J123" s="63" t="s">
        <v>86</v>
      </c>
      <c r="K123" s="64"/>
      <c r="L123" s="64"/>
      <c r="M123" s="64"/>
      <c r="N123" s="65"/>
    </row>
    <row r="124" spans="3:14" x14ac:dyDescent="0.3">
      <c r="E124" s="10"/>
      <c r="G124" s="30" t="s">
        <v>73</v>
      </c>
      <c r="H124" s="10">
        <v>10</v>
      </c>
    </row>
    <row r="125" spans="3:14" x14ac:dyDescent="0.3">
      <c r="I125" s="10"/>
    </row>
    <row r="127" spans="3:14" x14ac:dyDescent="0.3">
      <c r="C127" s="58" t="s">
        <v>87</v>
      </c>
      <c r="D127" s="58"/>
      <c r="J127" s="59" t="s">
        <v>88</v>
      </c>
      <c r="K127" s="59"/>
      <c r="L127" s="59"/>
      <c r="M127" s="59"/>
      <c r="N127" s="59"/>
    </row>
    <row r="128" spans="3:14" x14ac:dyDescent="0.3">
      <c r="C128" s="58"/>
      <c r="D128" s="58"/>
      <c r="J128" s="59"/>
      <c r="K128" s="59"/>
      <c r="L128" s="59"/>
      <c r="M128" s="59"/>
      <c r="N128" s="59"/>
    </row>
    <row r="130" spans="3:15" ht="18" x14ac:dyDescent="0.3">
      <c r="E130" s="60" t="s">
        <v>89</v>
      </c>
      <c r="F130" s="60"/>
      <c r="G130" s="11" t="s">
        <v>38</v>
      </c>
      <c r="H130" s="7">
        <f>H77*(G46/G47)</f>
        <v>56008.85652663841</v>
      </c>
      <c r="J130" s="59" t="s">
        <v>90</v>
      </c>
      <c r="K130" s="59"/>
      <c r="L130" s="59"/>
      <c r="M130" s="59"/>
      <c r="N130" s="59"/>
      <c r="O130" s="37"/>
    </row>
    <row r="131" spans="3:15" x14ac:dyDescent="0.3">
      <c r="E131" s="11"/>
      <c r="J131" s="20"/>
      <c r="K131" s="20"/>
      <c r="L131" s="20"/>
      <c r="M131" s="20"/>
      <c r="N131" s="20"/>
      <c r="O131" s="37"/>
    </row>
    <row r="132" spans="3:15" ht="18" x14ac:dyDescent="0.3">
      <c r="D132" s="6" t="s">
        <v>91</v>
      </c>
      <c r="E132" s="60" t="s">
        <v>92</v>
      </c>
      <c r="F132" s="60"/>
      <c r="G132" s="11" t="s">
        <v>38</v>
      </c>
      <c r="H132" s="7">
        <f>0.35*(H130*F59)^(1/2)</f>
        <v>82.180282562760695</v>
      </c>
      <c r="I132" s="10" t="s">
        <v>72</v>
      </c>
    </row>
    <row r="133" spans="3:15" x14ac:dyDescent="0.3">
      <c r="G133" s="30" t="s">
        <v>73</v>
      </c>
      <c r="H133" s="10">
        <v>85</v>
      </c>
      <c r="I133" s="10" t="s">
        <v>72</v>
      </c>
    </row>
    <row r="134" spans="3:15" x14ac:dyDescent="0.3">
      <c r="G134" s="30"/>
      <c r="H134" s="10"/>
      <c r="I134" s="10"/>
    </row>
    <row r="135" spans="3:15" ht="18" x14ac:dyDescent="0.3">
      <c r="D135" s="66" t="s">
        <v>93</v>
      </c>
      <c r="E135" s="66"/>
      <c r="F135" s="11" t="s">
        <v>94</v>
      </c>
      <c r="G135" s="11" t="s">
        <v>38</v>
      </c>
      <c r="H135" s="7">
        <f>H132</f>
        <v>82.180282562760695</v>
      </c>
      <c r="I135" s="10" t="s">
        <v>72</v>
      </c>
    </row>
    <row r="136" spans="3:15" x14ac:dyDescent="0.3">
      <c r="G136" s="30" t="s">
        <v>73</v>
      </c>
      <c r="H136" s="10">
        <v>85</v>
      </c>
      <c r="I136" s="10" t="s">
        <v>72</v>
      </c>
    </row>
    <row r="137" spans="3:15" x14ac:dyDescent="0.3">
      <c r="G137" s="30"/>
      <c r="H137" s="10"/>
      <c r="I137" s="10"/>
    </row>
    <row r="138" spans="3:15" ht="18" x14ac:dyDescent="0.3">
      <c r="D138" s="6" t="s">
        <v>95</v>
      </c>
      <c r="E138" s="60" t="s">
        <v>96</v>
      </c>
      <c r="F138" s="60"/>
      <c r="G138" s="11" t="s">
        <v>38</v>
      </c>
      <c r="H138" s="7">
        <f>0.01*(H130)^0.5</f>
        <v>2.3666190341210056</v>
      </c>
      <c r="I138" s="10" t="s">
        <v>72</v>
      </c>
      <c r="J138" s="9"/>
      <c r="K138" s="9"/>
      <c r="L138" s="9"/>
      <c r="M138" s="9"/>
      <c r="N138" s="9"/>
    </row>
    <row r="139" spans="3:15" x14ac:dyDescent="0.3">
      <c r="E139" s="11"/>
      <c r="F139" s="11"/>
      <c r="G139" s="11"/>
      <c r="I139" s="10"/>
      <c r="J139" s="20"/>
      <c r="K139" s="20"/>
      <c r="L139" s="20"/>
      <c r="M139" s="20"/>
      <c r="N139" s="20"/>
    </row>
    <row r="140" spans="3:15" ht="18" x14ac:dyDescent="0.3">
      <c r="F140" s="11" t="s">
        <v>97</v>
      </c>
      <c r="G140" s="11" t="s">
        <v>38</v>
      </c>
      <c r="H140" s="10">
        <v>8</v>
      </c>
      <c r="I140" s="10" t="s">
        <v>72</v>
      </c>
    </row>
    <row r="143" spans="3:15" x14ac:dyDescent="0.3">
      <c r="C143" s="58" t="s">
        <v>98</v>
      </c>
      <c r="D143" s="58"/>
      <c r="J143" s="59" t="s">
        <v>88</v>
      </c>
      <c r="K143" s="59"/>
      <c r="L143" s="59"/>
      <c r="M143" s="59"/>
      <c r="N143" s="59"/>
    </row>
    <row r="144" spans="3:15" x14ac:dyDescent="0.3">
      <c r="C144" s="58"/>
      <c r="D144" s="58"/>
      <c r="J144" s="59"/>
      <c r="K144" s="59"/>
      <c r="L144" s="59"/>
      <c r="M144" s="59"/>
      <c r="N144" s="59"/>
    </row>
    <row r="145" spans="3:14" x14ac:dyDescent="0.3">
      <c r="C145" s="25"/>
    </row>
    <row r="146" spans="3:14" x14ac:dyDescent="0.3">
      <c r="D146" s="38"/>
    </row>
    <row r="147" spans="3:14" ht="18" x14ac:dyDescent="0.3">
      <c r="D147" s="6" t="s">
        <v>99</v>
      </c>
      <c r="E147" s="60" t="s">
        <v>100</v>
      </c>
      <c r="F147" s="60"/>
      <c r="G147" s="11" t="s">
        <v>38</v>
      </c>
      <c r="H147" s="39">
        <f>(H135/1000)+1</f>
        <v>1.0821802825627607</v>
      </c>
      <c r="I147" s="10" t="s">
        <v>72</v>
      </c>
    </row>
    <row r="150" spans="3:14" x14ac:dyDescent="0.3">
      <c r="C150" s="58" t="s">
        <v>101</v>
      </c>
      <c r="D150" s="58"/>
      <c r="J150" s="59" t="s">
        <v>102</v>
      </c>
      <c r="K150" s="59"/>
      <c r="L150" s="59"/>
      <c r="M150" s="59"/>
      <c r="N150" s="59"/>
    </row>
    <row r="151" spans="3:14" x14ac:dyDescent="0.3">
      <c r="C151" s="58"/>
      <c r="D151" s="58"/>
      <c r="J151" s="59"/>
      <c r="K151" s="59"/>
      <c r="L151" s="59"/>
      <c r="M151" s="59"/>
      <c r="N151" s="59"/>
    </row>
    <row r="152" spans="3:14" ht="16.2" customHeight="1" x14ac:dyDescent="0.3">
      <c r="C152" s="19"/>
      <c r="D152" s="19"/>
    </row>
    <row r="153" spans="3:14" x14ac:dyDescent="0.3">
      <c r="F153" s="11" t="s">
        <v>103</v>
      </c>
      <c r="G153" s="11" t="s">
        <v>38</v>
      </c>
      <c r="H153" s="7">
        <v>0.5</v>
      </c>
    </row>
    <row r="154" spans="3:14" x14ac:dyDescent="0.3">
      <c r="F154" s="11"/>
      <c r="G154" s="11"/>
      <c r="H154" s="7"/>
    </row>
    <row r="155" spans="3:14" ht="17.399999999999999" customHeight="1" x14ac:dyDescent="0.3">
      <c r="D155" s="6" t="s">
        <v>104</v>
      </c>
      <c r="E155" s="60" t="s">
        <v>105</v>
      </c>
      <c r="F155" s="60"/>
      <c r="G155" s="11" t="s">
        <v>38</v>
      </c>
      <c r="H155" s="7">
        <f>1.74*H153*SQRT(F59*H158)+2.5</f>
        <v>7.9556949266266841</v>
      </c>
      <c r="I155" s="10" t="s">
        <v>72</v>
      </c>
    </row>
    <row r="156" spans="3:14" x14ac:dyDescent="0.3">
      <c r="G156" s="11" t="s">
        <v>73</v>
      </c>
      <c r="H156" s="7">
        <v>8</v>
      </c>
      <c r="I156" s="10" t="s">
        <v>72</v>
      </c>
    </row>
    <row r="157" spans="3:14" x14ac:dyDescent="0.3">
      <c r="H157" s="7"/>
    </row>
    <row r="158" spans="3:14" ht="18" x14ac:dyDescent="0.3">
      <c r="D158" s="6" t="s">
        <v>106</v>
      </c>
      <c r="E158" s="60" t="s">
        <v>107</v>
      </c>
      <c r="F158" s="60"/>
      <c r="G158" s="11" t="s">
        <v>38</v>
      </c>
      <c r="H158" s="7">
        <f>10*D10+(H76/(1000*F37))</f>
        <v>39.950220799999997</v>
      </c>
      <c r="I158" s="10" t="s">
        <v>108</v>
      </c>
    </row>
    <row r="160" spans="3:14" x14ac:dyDescent="0.3">
      <c r="J160" s="59" t="s">
        <v>109</v>
      </c>
      <c r="K160" s="59"/>
      <c r="L160" s="59"/>
      <c r="M160" s="59"/>
      <c r="N160" s="59"/>
    </row>
    <row r="161" spans="3:14" x14ac:dyDescent="0.3">
      <c r="C161" s="58" t="s">
        <v>110</v>
      </c>
      <c r="D161" s="58"/>
      <c r="J161" s="59"/>
      <c r="K161" s="59"/>
      <c r="L161" s="59"/>
      <c r="M161" s="59"/>
      <c r="N161" s="59"/>
    </row>
    <row r="162" spans="3:14" x14ac:dyDescent="0.3">
      <c r="C162" s="58"/>
      <c r="D162" s="58"/>
    </row>
    <row r="163" spans="3:14" ht="16.2" customHeight="1" x14ac:dyDescent="0.3">
      <c r="C163" s="19"/>
      <c r="D163" s="19"/>
    </row>
    <row r="164" spans="3:14" x14ac:dyDescent="0.3">
      <c r="E164" s="6" t="s">
        <v>111</v>
      </c>
      <c r="G164" s="11" t="s">
        <v>38</v>
      </c>
      <c r="H164" s="40">
        <f>0.7*H156</f>
        <v>5.6</v>
      </c>
      <c r="I164" s="10" t="s">
        <v>72</v>
      </c>
    </row>
    <row r="165" spans="3:14" x14ac:dyDescent="0.3">
      <c r="H165" s="10"/>
    </row>
    <row r="166" spans="3:14" ht="18" x14ac:dyDescent="0.3">
      <c r="E166" s="6" t="s">
        <v>112</v>
      </c>
      <c r="G166" s="11" t="s">
        <v>38</v>
      </c>
      <c r="H166" s="7">
        <f>8*SQRT(F59)</f>
        <v>7.9370884434513691</v>
      </c>
      <c r="I166" s="10" t="s">
        <v>72</v>
      </c>
    </row>
    <row r="167" spans="3:14" x14ac:dyDescent="0.3">
      <c r="H167" s="10"/>
    </row>
    <row r="168" spans="3:14" x14ac:dyDescent="0.3">
      <c r="E168" s="6" t="s">
        <v>113</v>
      </c>
      <c r="G168" s="11" t="s">
        <v>73</v>
      </c>
      <c r="H168" s="10">
        <v>8</v>
      </c>
      <c r="I168" s="10" t="s">
        <v>72</v>
      </c>
    </row>
    <row r="169" spans="3:14" x14ac:dyDescent="0.3">
      <c r="E169" s="6"/>
      <c r="G169" s="11"/>
      <c r="H169" s="10"/>
    </row>
    <row r="170" spans="3:14" x14ac:dyDescent="0.3">
      <c r="E170" s="6"/>
      <c r="G170" s="11"/>
      <c r="H170" s="10"/>
    </row>
    <row r="171" spans="3:14" x14ac:dyDescent="0.3">
      <c r="C171" s="58" t="s">
        <v>114</v>
      </c>
      <c r="D171" s="58"/>
      <c r="J171" s="59" t="s">
        <v>115</v>
      </c>
      <c r="K171" s="59"/>
      <c r="L171" s="59"/>
      <c r="M171" s="59"/>
      <c r="N171" s="59"/>
    </row>
    <row r="172" spans="3:14" x14ac:dyDescent="0.3">
      <c r="C172" s="58"/>
      <c r="D172" s="58"/>
      <c r="J172" s="59"/>
      <c r="K172" s="59"/>
      <c r="L172" s="59"/>
      <c r="M172" s="59"/>
      <c r="N172" s="59"/>
    </row>
    <row r="173" spans="3:14" ht="18.600000000000001" customHeight="1" x14ac:dyDescent="0.3">
      <c r="C173" s="19"/>
      <c r="D173" s="19"/>
      <c r="J173" s="20"/>
      <c r="K173" s="20"/>
      <c r="L173" s="20"/>
      <c r="M173" s="20"/>
      <c r="N173" s="20"/>
    </row>
    <row r="174" spans="3:14" ht="18" x14ac:dyDescent="0.3">
      <c r="F174" s="11" t="s">
        <v>116</v>
      </c>
      <c r="G174" s="11" t="s">
        <v>38</v>
      </c>
      <c r="H174" s="10">
        <f>8</f>
        <v>8</v>
      </c>
      <c r="I174" s="10" t="s">
        <v>72</v>
      </c>
    </row>
    <row r="175" spans="3:14" x14ac:dyDescent="0.3">
      <c r="F175" s="10"/>
      <c r="G175" s="11"/>
      <c r="H175" s="10"/>
    </row>
    <row r="176" spans="3:14" ht="18" x14ac:dyDescent="0.3">
      <c r="E176" s="60" t="s">
        <v>117</v>
      </c>
      <c r="F176" s="60"/>
      <c r="G176" s="11" t="s">
        <v>38</v>
      </c>
      <c r="H176" s="7">
        <f>H130</f>
        <v>56008.85652663841</v>
      </c>
    </row>
    <row r="177" spans="3:13" ht="16.2" thickBot="1" x14ac:dyDescent="0.35">
      <c r="E177" s="11"/>
      <c r="F177" s="11"/>
    </row>
    <row r="178" spans="3:13" ht="16.2" thickBot="1" x14ac:dyDescent="0.35">
      <c r="E178" s="6" t="s">
        <v>118</v>
      </c>
      <c r="G178" s="11" t="s">
        <v>38</v>
      </c>
      <c r="H178" s="10">
        <v>7</v>
      </c>
      <c r="J178" s="41" t="s">
        <v>119</v>
      </c>
      <c r="K178" s="42" t="s">
        <v>120</v>
      </c>
    </row>
    <row r="179" spans="3:13" x14ac:dyDescent="0.3">
      <c r="E179" s="6"/>
      <c r="G179" s="11"/>
      <c r="H179" s="10"/>
      <c r="K179" s="25"/>
    </row>
    <row r="180" spans="3:13" ht="18" x14ac:dyDescent="0.3">
      <c r="E180" s="6" t="s">
        <v>121</v>
      </c>
      <c r="G180" s="11" t="s">
        <v>38</v>
      </c>
      <c r="H180" s="7">
        <f>H176/H178</f>
        <v>8001.2652180912019</v>
      </c>
    </row>
    <row r="182" spans="3:13" ht="18" x14ac:dyDescent="0.3">
      <c r="E182" s="60" t="s">
        <v>122</v>
      </c>
      <c r="F182" s="60"/>
      <c r="G182" s="60"/>
      <c r="H182" s="60"/>
    </row>
    <row r="184" spans="3:13" ht="18" x14ac:dyDescent="0.4">
      <c r="E184" s="60" t="s">
        <v>123</v>
      </c>
      <c r="F184" s="60"/>
      <c r="G184" s="51" t="s">
        <v>19</v>
      </c>
      <c r="H184" s="51" t="s">
        <v>124</v>
      </c>
      <c r="I184" s="51">
        <f>2*H174+F103</f>
        <v>81</v>
      </c>
      <c r="J184" s="51" t="s">
        <v>77</v>
      </c>
    </row>
    <row r="185" spans="3:13" x14ac:dyDescent="0.3">
      <c r="E185" s="11"/>
      <c r="F185" s="11"/>
      <c r="G185" s="51"/>
      <c r="H185" s="51"/>
      <c r="I185" s="51"/>
      <c r="J185" s="51"/>
    </row>
    <row r="186" spans="3:13" x14ac:dyDescent="0.3">
      <c r="E186" s="60" t="s">
        <v>125</v>
      </c>
      <c r="F186" s="60"/>
      <c r="G186" s="51" t="s">
        <v>19</v>
      </c>
      <c r="H186" s="51">
        <f>H180/I184</f>
        <v>98.781052075200023</v>
      </c>
      <c r="I186" s="51" t="s">
        <v>77</v>
      </c>
      <c r="J186" s="51"/>
    </row>
    <row r="187" spans="3:13" ht="14.4" customHeight="1" x14ac:dyDescent="0.3">
      <c r="G187" s="10" t="s">
        <v>19</v>
      </c>
      <c r="H187" s="10">
        <v>100</v>
      </c>
      <c r="I187" s="51" t="s">
        <v>77</v>
      </c>
      <c r="J187" s="10"/>
    </row>
    <row r="189" spans="3:13" x14ac:dyDescent="0.3">
      <c r="C189" s="58" t="s">
        <v>126</v>
      </c>
      <c r="D189" s="58"/>
      <c r="J189" s="67" t="s">
        <v>127</v>
      </c>
      <c r="K189" s="68"/>
      <c r="L189" s="68"/>
      <c r="M189" s="69"/>
    </row>
    <row r="190" spans="3:13" x14ac:dyDescent="0.3">
      <c r="C190" s="58"/>
      <c r="D190" s="58"/>
      <c r="J190" s="70"/>
      <c r="K190" s="71"/>
      <c r="L190" s="71"/>
      <c r="M190" s="72"/>
    </row>
    <row r="193" spans="5:11" ht="18" x14ac:dyDescent="0.3">
      <c r="E193" s="22" t="s">
        <v>128</v>
      </c>
      <c r="F193" s="73" t="s">
        <v>129</v>
      </c>
      <c r="G193" s="73"/>
      <c r="H193" s="43" t="s">
        <v>38</v>
      </c>
      <c r="I193" s="50">
        <f>((0.2*D12)/100)+0.4</f>
        <v>0.52563440000000006</v>
      </c>
      <c r="J193" s="44" t="s">
        <v>3</v>
      </c>
    </row>
    <row r="194" spans="5:11" x14ac:dyDescent="0.3">
      <c r="E194" s="45"/>
      <c r="F194" s="45"/>
      <c r="G194" s="45"/>
      <c r="H194" s="43" t="s">
        <v>38</v>
      </c>
      <c r="I194" s="46">
        <v>550</v>
      </c>
      <c r="J194" s="44" t="s">
        <v>72</v>
      </c>
      <c r="K194" s="10" t="s">
        <v>130</v>
      </c>
    </row>
    <row r="195" spans="5:11" x14ac:dyDescent="0.3">
      <c r="E195" s="45"/>
      <c r="F195" s="45"/>
      <c r="G195" s="45"/>
      <c r="H195" s="45"/>
      <c r="I195" s="45"/>
      <c r="J195" s="45"/>
    </row>
    <row r="196" spans="5:11" ht="18" x14ac:dyDescent="0.3">
      <c r="E196" s="22" t="s">
        <v>131</v>
      </c>
      <c r="F196" s="73" t="s">
        <v>132</v>
      </c>
      <c r="G196" s="73"/>
      <c r="H196" s="43" t="s">
        <v>38</v>
      </c>
      <c r="I196" s="23">
        <f>I193*1.5</f>
        <v>0.78845160000000014</v>
      </c>
      <c r="J196" s="44" t="s">
        <v>72</v>
      </c>
    </row>
    <row r="197" spans="5:11" x14ac:dyDescent="0.3">
      <c r="E197" s="45"/>
      <c r="F197" s="45"/>
      <c r="G197" s="45"/>
      <c r="H197" s="43" t="s">
        <v>38</v>
      </c>
      <c r="I197" s="44">
        <v>800</v>
      </c>
      <c r="J197" s="44" t="s">
        <v>72</v>
      </c>
    </row>
    <row r="206" spans="5:11" ht="15.6" customHeight="1" x14ac:dyDescent="0.3">
      <c r="E206" s="74" t="s">
        <v>136</v>
      </c>
      <c r="F206" s="74"/>
      <c r="G206" s="74"/>
      <c r="H206" s="74"/>
      <c r="I206" s="52"/>
      <c r="J206" s="52"/>
    </row>
    <row r="207" spans="5:11" ht="16.2" customHeight="1" x14ac:dyDescent="0.3">
      <c r="E207" s="74"/>
      <c r="F207" s="74"/>
      <c r="G207" s="74"/>
      <c r="H207" s="74"/>
      <c r="I207" s="52"/>
      <c r="J207" s="52"/>
    </row>
    <row r="208" spans="5:11" ht="27.6" customHeight="1" x14ac:dyDescent="0.3">
      <c r="E208" s="75" t="s">
        <v>137</v>
      </c>
      <c r="F208" s="75"/>
      <c r="G208" s="75" t="s">
        <v>138</v>
      </c>
      <c r="H208" s="75"/>
      <c r="I208" s="52"/>
    </row>
    <row r="209" spans="5:11" ht="17.399999999999999" customHeight="1" x14ac:dyDescent="0.3">
      <c r="E209" s="56" t="s">
        <v>139</v>
      </c>
      <c r="F209" s="56"/>
      <c r="G209" s="56" t="s">
        <v>146</v>
      </c>
      <c r="H209" s="56"/>
      <c r="I209" s="52"/>
    </row>
    <row r="210" spans="5:11" ht="11.4" customHeight="1" x14ac:dyDescent="0.3">
      <c r="E210" s="56"/>
      <c r="F210" s="56"/>
      <c r="G210" s="56"/>
      <c r="H210" s="56"/>
      <c r="I210" s="52"/>
    </row>
    <row r="211" spans="5:11" ht="16.2" customHeight="1" x14ac:dyDescent="0.3">
      <c r="E211" s="56" t="s">
        <v>69</v>
      </c>
      <c r="F211" s="56"/>
      <c r="G211" s="56" t="s">
        <v>151</v>
      </c>
      <c r="H211" s="56" t="s">
        <v>72</v>
      </c>
      <c r="I211" s="53"/>
      <c r="J211" s="53"/>
    </row>
    <row r="212" spans="5:11" ht="16.2" customHeight="1" x14ac:dyDescent="0.3">
      <c r="E212" s="56"/>
      <c r="F212" s="56"/>
      <c r="G212" s="56">
        <v>65</v>
      </c>
      <c r="H212" s="56" t="s">
        <v>72</v>
      </c>
      <c r="I212" s="53"/>
      <c r="J212" s="54" t="s">
        <v>27</v>
      </c>
      <c r="K212" s="54">
        <v>1.8</v>
      </c>
    </row>
    <row r="213" spans="5:11" ht="16.2" customHeight="1" x14ac:dyDescent="0.3">
      <c r="E213" s="56" t="s">
        <v>148</v>
      </c>
      <c r="F213" s="56"/>
      <c r="G213" s="56" t="s">
        <v>147</v>
      </c>
      <c r="H213" s="56"/>
      <c r="I213" s="53"/>
      <c r="J213" s="54" t="s">
        <v>31</v>
      </c>
      <c r="K213" s="54" t="s">
        <v>153</v>
      </c>
    </row>
    <row r="214" spans="5:11" ht="16.2" customHeight="1" x14ac:dyDescent="0.3">
      <c r="E214" s="56"/>
      <c r="F214" s="56"/>
      <c r="G214" s="56"/>
      <c r="H214" s="56"/>
      <c r="I214" s="53"/>
      <c r="J214" s="54" t="s">
        <v>33</v>
      </c>
      <c r="K214" s="54" t="s">
        <v>154</v>
      </c>
    </row>
    <row r="215" spans="5:11" ht="16.2" customHeight="1" x14ac:dyDescent="0.3">
      <c r="E215" s="56" t="s">
        <v>149</v>
      </c>
      <c r="F215" s="56"/>
      <c r="G215" s="56" t="s">
        <v>150</v>
      </c>
      <c r="H215" s="56"/>
      <c r="I215" s="53"/>
      <c r="J215" s="54" t="s">
        <v>155</v>
      </c>
      <c r="K215" s="54" t="s">
        <v>156</v>
      </c>
    </row>
    <row r="216" spans="5:11" ht="16.2" customHeight="1" x14ac:dyDescent="0.3">
      <c r="E216" s="56"/>
      <c r="F216" s="56"/>
      <c r="G216" s="56"/>
      <c r="H216" s="56"/>
      <c r="I216" s="53"/>
      <c r="J216" s="54" t="s">
        <v>157</v>
      </c>
      <c r="K216" s="54" t="s">
        <v>158</v>
      </c>
    </row>
    <row r="217" spans="5:11" ht="16.2" customHeight="1" x14ac:dyDescent="0.3">
      <c r="E217" s="56" t="s">
        <v>91</v>
      </c>
      <c r="F217" s="56"/>
      <c r="G217" s="56" t="s">
        <v>152</v>
      </c>
      <c r="H217" s="56"/>
      <c r="I217" s="53"/>
      <c r="J217" s="53"/>
    </row>
    <row r="218" spans="5:11" ht="16.2" customHeight="1" x14ac:dyDescent="0.3">
      <c r="E218" s="56"/>
      <c r="F218" s="56"/>
      <c r="G218" s="56"/>
      <c r="H218" s="56"/>
      <c r="I218" s="53"/>
      <c r="J218" s="53"/>
    </row>
    <row r="219" spans="5:11" ht="16.2" customHeight="1" x14ac:dyDescent="0.3">
      <c r="E219" s="78" t="s">
        <v>104</v>
      </c>
      <c r="F219" s="79"/>
      <c r="G219" s="56" t="s">
        <v>145</v>
      </c>
      <c r="H219" s="56"/>
      <c r="I219" s="53"/>
      <c r="J219" s="53"/>
    </row>
    <row r="220" spans="5:11" ht="16.2" customHeight="1" x14ac:dyDescent="0.3">
      <c r="E220" s="80"/>
      <c r="F220" s="81"/>
      <c r="G220" s="56"/>
      <c r="H220" s="56"/>
      <c r="I220" s="53"/>
      <c r="J220" s="53"/>
    </row>
    <row r="221" spans="5:11" ht="16.2" customHeight="1" x14ac:dyDescent="0.3">
      <c r="E221" s="55" t="s">
        <v>93</v>
      </c>
      <c r="F221" s="55"/>
      <c r="G221" s="56" t="s">
        <v>152</v>
      </c>
      <c r="H221" s="56"/>
      <c r="I221" s="53"/>
      <c r="J221" s="53"/>
    </row>
    <row r="222" spans="5:11" ht="16.2" customHeight="1" x14ac:dyDescent="0.3">
      <c r="E222" s="55"/>
      <c r="F222" s="55"/>
      <c r="G222" s="56"/>
      <c r="H222" s="56"/>
      <c r="I222" s="53"/>
      <c r="J222" s="53"/>
    </row>
    <row r="223" spans="5:11" ht="16.2" customHeight="1" x14ac:dyDescent="0.3">
      <c r="E223" s="56" t="s">
        <v>144</v>
      </c>
      <c r="F223" s="56"/>
      <c r="G223" s="56" t="s">
        <v>145</v>
      </c>
      <c r="H223" s="56"/>
      <c r="I223" s="53"/>
      <c r="J223" s="53"/>
    </row>
    <row r="224" spans="5:11" ht="16.2" customHeight="1" x14ac:dyDescent="0.3">
      <c r="E224" s="56"/>
      <c r="F224" s="56"/>
      <c r="G224" s="56"/>
      <c r="H224" s="56"/>
      <c r="I224" s="53"/>
      <c r="J224" s="53"/>
    </row>
    <row r="225" spans="5:10" ht="16.2" customHeight="1" x14ac:dyDescent="0.3">
      <c r="E225" s="56" t="s">
        <v>142</v>
      </c>
      <c r="F225" s="56"/>
      <c r="G225" s="56" t="s">
        <v>143</v>
      </c>
      <c r="H225" s="56"/>
      <c r="I225" s="53"/>
      <c r="J225" s="53"/>
    </row>
    <row r="226" spans="5:10" ht="16.2" customHeight="1" x14ac:dyDescent="0.3">
      <c r="E226" s="56"/>
      <c r="F226" s="56"/>
      <c r="G226" s="56"/>
      <c r="H226" s="56"/>
      <c r="I226" s="53"/>
      <c r="J226" s="53"/>
    </row>
    <row r="227" spans="5:10" ht="16.2" customHeight="1" x14ac:dyDescent="0.3">
      <c r="E227" s="56" t="s">
        <v>113</v>
      </c>
      <c r="F227" s="56"/>
      <c r="G227" s="56" t="s">
        <v>145</v>
      </c>
      <c r="H227" s="56"/>
      <c r="I227" s="53"/>
      <c r="J227" s="53"/>
    </row>
    <row r="228" spans="5:10" ht="16.2" customHeight="1" x14ac:dyDescent="0.3">
      <c r="E228" s="56"/>
      <c r="F228" s="56"/>
      <c r="G228" s="56"/>
      <c r="H228" s="56"/>
      <c r="I228" s="53"/>
      <c r="J228" s="53"/>
    </row>
    <row r="229" spans="5:10" ht="16.2" customHeight="1" x14ac:dyDescent="0.3">
      <c r="E229" s="56" t="s">
        <v>128</v>
      </c>
      <c r="F229" s="56" t="s">
        <v>128</v>
      </c>
      <c r="G229" s="56" t="s">
        <v>140</v>
      </c>
      <c r="H229" s="56"/>
      <c r="I229" s="53"/>
      <c r="J229" s="53"/>
    </row>
    <row r="230" spans="5:10" ht="16.2" customHeight="1" x14ac:dyDescent="0.3">
      <c r="E230" s="56" t="s">
        <v>128</v>
      </c>
      <c r="F230" s="56" t="s">
        <v>128</v>
      </c>
      <c r="G230" s="56"/>
      <c r="H230" s="56"/>
      <c r="I230" s="53"/>
      <c r="J230" s="53"/>
    </row>
    <row r="231" spans="5:10" ht="16.2" customHeight="1" x14ac:dyDescent="0.3">
      <c r="E231" s="56" t="s">
        <v>131</v>
      </c>
      <c r="F231" s="56" t="s">
        <v>131</v>
      </c>
      <c r="G231" s="56" t="s">
        <v>141</v>
      </c>
      <c r="H231" s="56"/>
      <c r="I231" s="53"/>
      <c r="J231" s="53"/>
    </row>
    <row r="232" spans="5:10" ht="16.2" customHeight="1" x14ac:dyDescent="0.3">
      <c r="E232" s="56" t="s">
        <v>131</v>
      </c>
      <c r="F232" s="56" t="s">
        <v>131</v>
      </c>
      <c r="G232" s="56"/>
      <c r="H232" s="56"/>
      <c r="I232" s="53"/>
      <c r="J232" s="53"/>
    </row>
    <row r="233" spans="5:10" ht="16.2" customHeight="1" x14ac:dyDescent="0.3">
      <c r="I233" s="53"/>
      <c r="J233" s="53"/>
    </row>
    <row r="234" spans="5:10" ht="16.2" customHeight="1" x14ac:dyDescent="0.3">
      <c r="I234" s="53"/>
      <c r="J234" s="53"/>
    </row>
  </sheetData>
  <mergeCells count="77">
    <mergeCell ref="G219:H220"/>
    <mergeCell ref="E229:F230"/>
    <mergeCell ref="E231:F232"/>
    <mergeCell ref="G217:H218"/>
    <mergeCell ref="G229:H230"/>
    <mergeCell ref="G231:H232"/>
    <mergeCell ref="G211:H212"/>
    <mergeCell ref="G213:H214"/>
    <mergeCell ref="G215:H216"/>
    <mergeCell ref="E211:F212"/>
    <mergeCell ref="E213:F214"/>
    <mergeCell ref="E215:F216"/>
    <mergeCell ref="E217:F218"/>
    <mergeCell ref="E209:F210"/>
    <mergeCell ref="E219:F220"/>
    <mergeCell ref="G209:H210"/>
    <mergeCell ref="F196:G196"/>
    <mergeCell ref="E182:H182"/>
    <mergeCell ref="E184:F184"/>
    <mergeCell ref="E186:F186"/>
    <mergeCell ref="F193:G193"/>
    <mergeCell ref="E206:H207"/>
    <mergeCell ref="E208:F208"/>
    <mergeCell ref="G208:H208"/>
    <mergeCell ref="C171:D172"/>
    <mergeCell ref="J171:N172"/>
    <mergeCell ref="E176:F176"/>
    <mergeCell ref="C189:D190"/>
    <mergeCell ref="J189:M190"/>
    <mergeCell ref="J160:N161"/>
    <mergeCell ref="C161:D162"/>
    <mergeCell ref="E130:F130"/>
    <mergeCell ref="J130:N130"/>
    <mergeCell ref="E132:F132"/>
    <mergeCell ref="D135:E135"/>
    <mergeCell ref="E138:F138"/>
    <mergeCell ref="C143:D144"/>
    <mergeCell ref="J143:N144"/>
    <mergeCell ref="E147:F147"/>
    <mergeCell ref="C150:D151"/>
    <mergeCell ref="J150:N151"/>
    <mergeCell ref="E155:F155"/>
    <mergeCell ref="E158:F158"/>
    <mergeCell ref="J117:N117"/>
    <mergeCell ref="E120:F120"/>
    <mergeCell ref="E123:F123"/>
    <mergeCell ref="J123:N123"/>
    <mergeCell ref="C127:D128"/>
    <mergeCell ref="J127:N128"/>
    <mergeCell ref="C105:D106"/>
    <mergeCell ref="J105:N106"/>
    <mergeCell ref="C42:D43"/>
    <mergeCell ref="J42:N43"/>
    <mergeCell ref="C50:D51"/>
    <mergeCell ref="J50:N51"/>
    <mergeCell ref="L52:P52"/>
    <mergeCell ref="C62:D63"/>
    <mergeCell ref="J62:N63"/>
    <mergeCell ref="E76:F76"/>
    <mergeCell ref="C81:D82"/>
    <mergeCell ref="J81:N82"/>
    <mergeCell ref="C96:D97"/>
    <mergeCell ref="J96:N97"/>
    <mergeCell ref="D34:E34"/>
    <mergeCell ref="C2:E4"/>
    <mergeCell ref="C16:D17"/>
    <mergeCell ref="J16:N17"/>
    <mergeCell ref="D27:E27"/>
    <mergeCell ref="D31:E31"/>
    <mergeCell ref="E221:F222"/>
    <mergeCell ref="G221:H222"/>
    <mergeCell ref="E223:F224"/>
    <mergeCell ref="G223:H224"/>
    <mergeCell ref="E227:F228"/>
    <mergeCell ref="G227:H228"/>
    <mergeCell ref="E225:F226"/>
    <mergeCell ref="G225:H226"/>
  </mergeCells>
  <phoneticPr fontId="3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CE9B-DB67-472C-B82B-9A6C2B3EAA75}">
  <dimension ref="C1:P105"/>
  <sheetViews>
    <sheetView zoomScale="85" zoomScaleNormal="85" workbookViewId="0"/>
  </sheetViews>
  <sheetFormatPr defaultRowHeight="14.4" x14ac:dyDescent="0.3"/>
  <cols>
    <col min="3" max="3" width="27" customWidth="1"/>
    <col min="4" max="5" width="30" customWidth="1"/>
    <col min="6" max="6" width="10.33203125" customWidth="1"/>
    <col min="8" max="8" width="10.33203125" customWidth="1"/>
  </cols>
  <sheetData>
    <row r="1" spans="3:16" ht="15.6" x14ac:dyDescent="0.3">
      <c r="C1" s="58" t="s">
        <v>1</v>
      </c>
      <c r="D1" s="58"/>
      <c r="E1" s="58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3:16" ht="15.6" x14ac:dyDescent="0.3">
      <c r="C2" s="58"/>
      <c r="D2" s="58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3:16" ht="15.6" x14ac:dyDescent="0.3">
      <c r="C3" s="58"/>
      <c r="D3" s="58"/>
      <c r="E3" s="58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ht="18" x14ac:dyDescent="0.3">
      <c r="C4" s="2" t="s">
        <v>2</v>
      </c>
      <c r="D4" s="3">
        <v>68.53</v>
      </c>
      <c r="E4" s="3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8" x14ac:dyDescent="0.3">
      <c r="C5" s="2" t="s">
        <v>4</v>
      </c>
      <c r="D5" s="3">
        <v>64.55</v>
      </c>
      <c r="E5" s="3" t="s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3:16" ht="18" x14ac:dyDescent="0.3">
      <c r="C6" s="2" t="s">
        <v>5</v>
      </c>
      <c r="D6" s="3">
        <v>64.760000000000005</v>
      </c>
      <c r="E6" s="3" t="s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3:16" ht="15.6" x14ac:dyDescent="0.3">
      <c r="C7" s="2" t="s">
        <v>6</v>
      </c>
      <c r="D7" s="3">
        <v>10.77</v>
      </c>
      <c r="E7" s="3" t="s">
        <v>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3:16" ht="15.6" x14ac:dyDescent="0.3">
      <c r="C8" s="2" t="s">
        <v>7</v>
      </c>
      <c r="D8" s="3">
        <v>5.05</v>
      </c>
      <c r="E8" s="3" t="s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3:16" ht="15.6" x14ac:dyDescent="0.3">
      <c r="C9" s="2" t="s">
        <v>8</v>
      </c>
      <c r="D9" s="3">
        <v>3.8</v>
      </c>
      <c r="E9" s="3" t="s"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3:16" ht="15.6" x14ac:dyDescent="0.3">
      <c r="C10" s="2" t="s">
        <v>9</v>
      </c>
      <c r="D10" s="3">
        <v>9</v>
      </c>
      <c r="E10" s="3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3:16" ht="15.6" x14ac:dyDescent="0.3">
      <c r="C11" s="4" t="s">
        <v>11</v>
      </c>
      <c r="D11" s="5">
        <f>D6*0.97</f>
        <v>62.8172</v>
      </c>
      <c r="E11" s="3" t="s"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3:16" ht="15.6" x14ac:dyDescent="0.3">
      <c r="C12" s="6"/>
      <c r="D12" s="7"/>
      <c r="E12" s="8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3:16" ht="15.6" x14ac:dyDescent="0.3">
      <c r="C13" s="6"/>
      <c r="D13" s="7"/>
      <c r="E13" s="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3:16" ht="15.6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3:16" ht="15.6" x14ac:dyDescent="0.3">
      <c r="C15" s="58" t="s">
        <v>12</v>
      </c>
      <c r="D15" s="58"/>
      <c r="E15" s="1"/>
      <c r="F15" s="1"/>
      <c r="G15" s="1"/>
      <c r="H15" s="1"/>
      <c r="I15" s="1"/>
      <c r="J15" s="59" t="s">
        <v>13</v>
      </c>
      <c r="K15" s="59"/>
      <c r="L15" s="59"/>
      <c r="M15" s="59"/>
      <c r="N15" s="59"/>
      <c r="O15" s="1"/>
      <c r="P15" s="1"/>
    </row>
    <row r="16" spans="3:16" ht="15.6" x14ac:dyDescent="0.3">
      <c r="C16" s="58"/>
      <c r="D16" s="58"/>
      <c r="E16" s="1"/>
      <c r="F16" s="1"/>
      <c r="G16" s="1"/>
      <c r="H16" s="1"/>
      <c r="I16" s="1"/>
      <c r="J16" s="59"/>
      <c r="K16" s="59"/>
      <c r="L16" s="59"/>
      <c r="M16" s="59"/>
      <c r="N16" s="59"/>
      <c r="O16" s="1"/>
      <c r="P16" s="1"/>
    </row>
    <row r="17" spans="3:16" ht="15.6" x14ac:dyDescent="0.3">
      <c r="C17" s="1"/>
      <c r="D17" s="1"/>
      <c r="E17" s="1"/>
      <c r="F17" s="1"/>
      <c r="G17" s="1"/>
      <c r="H17" s="9"/>
      <c r="I17" s="9"/>
      <c r="J17" s="1"/>
      <c r="K17" s="1"/>
      <c r="L17" s="1"/>
      <c r="M17" s="1"/>
      <c r="N17" s="1"/>
      <c r="O17" s="1"/>
      <c r="P17" s="1"/>
    </row>
    <row r="18" spans="3:16" ht="18" x14ac:dyDescent="0.3">
      <c r="C18" s="1"/>
      <c r="D18" s="6" t="s">
        <v>14</v>
      </c>
      <c r="E18" s="6"/>
      <c r="F18" s="10">
        <v>1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3:16" ht="15.6" x14ac:dyDescent="0.3">
      <c r="C19" s="1"/>
      <c r="D19" s="6"/>
      <c r="E19" s="6"/>
      <c r="F19" s="10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3:16" ht="18" x14ac:dyDescent="0.3">
      <c r="C20" s="1"/>
      <c r="D20" s="6" t="s">
        <v>15</v>
      </c>
      <c r="E20" s="6"/>
      <c r="F20" s="10">
        <v>1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3:16" ht="15.6" x14ac:dyDescent="0.3">
      <c r="C21" s="1"/>
      <c r="D21" s="6"/>
      <c r="E21" s="6"/>
      <c r="F21" s="10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3:16" ht="18" x14ac:dyDescent="0.3">
      <c r="C22" s="1"/>
      <c r="D22" s="6" t="s">
        <v>16</v>
      </c>
      <c r="E22" s="6"/>
      <c r="F22" s="10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16" ht="15.6" x14ac:dyDescent="0.3">
      <c r="C23" s="1"/>
      <c r="D23" s="6"/>
      <c r="E23" s="6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16" ht="18" x14ac:dyDescent="0.3">
      <c r="C24" s="1"/>
      <c r="D24" s="6" t="s">
        <v>17</v>
      </c>
      <c r="E24" s="6"/>
      <c r="F24" s="10">
        <v>1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3:16" ht="15.6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3:16" ht="18" x14ac:dyDescent="0.3">
      <c r="C26" s="1"/>
      <c r="D26" s="60" t="s">
        <v>18</v>
      </c>
      <c r="E26" s="60"/>
      <c r="F26" s="11" t="s">
        <v>19</v>
      </c>
      <c r="G26" s="7">
        <f>(F18*F20*F22*F24*D11*D9*1.75)/100</f>
        <v>4.1773438000000001</v>
      </c>
      <c r="H26" s="1" t="s">
        <v>20</v>
      </c>
      <c r="I26" s="1"/>
      <c r="J26" s="1"/>
      <c r="K26" s="1"/>
      <c r="L26" s="1"/>
      <c r="M26" s="1"/>
      <c r="N26" s="1"/>
      <c r="O26" s="1"/>
      <c r="P26" s="1"/>
    </row>
    <row r="27" spans="3:16" ht="15.6" x14ac:dyDescent="0.3">
      <c r="C27" s="1"/>
      <c r="D27" s="1"/>
      <c r="E27" s="1"/>
      <c r="F27" s="6"/>
      <c r="G27" s="10"/>
      <c r="H27" s="1"/>
      <c r="I27" s="1"/>
      <c r="J27" s="1"/>
      <c r="K27" s="1"/>
      <c r="L27" s="1"/>
      <c r="M27" s="1"/>
      <c r="N27" s="1"/>
      <c r="O27" s="1"/>
      <c r="P27" s="1"/>
    </row>
    <row r="28" spans="3:16" ht="18" x14ac:dyDescent="0.3">
      <c r="C28" s="12" t="s">
        <v>21</v>
      </c>
      <c r="D28" s="13"/>
      <c r="E28" s="1"/>
      <c r="F28" s="6"/>
      <c r="G28" s="10"/>
      <c r="H28" s="14"/>
      <c r="I28" s="1"/>
      <c r="J28" s="1"/>
      <c r="K28" s="1"/>
      <c r="L28" s="1"/>
      <c r="M28" s="1"/>
      <c r="N28" s="1"/>
      <c r="O28" s="1"/>
      <c r="P28" s="1"/>
    </row>
    <row r="29" spans="3:16" ht="18" x14ac:dyDescent="0.3">
      <c r="C29" s="13"/>
      <c r="D29" s="13"/>
      <c r="E29" s="1"/>
      <c r="F29" s="6"/>
      <c r="G29" s="10"/>
      <c r="H29" s="14"/>
      <c r="I29" s="1"/>
      <c r="J29" s="1"/>
      <c r="K29" s="1"/>
      <c r="L29" s="1"/>
      <c r="M29" s="1"/>
      <c r="N29" s="1"/>
      <c r="O29" s="1"/>
      <c r="P29" s="1"/>
    </row>
    <row r="30" spans="3:16" ht="18" x14ac:dyDescent="0.3">
      <c r="C30" s="13"/>
      <c r="D30" s="61" t="s">
        <v>22</v>
      </c>
      <c r="E30" s="61"/>
      <c r="F30" s="11" t="s">
        <v>19</v>
      </c>
      <c r="G30" s="15">
        <f>D6*D9/60</f>
        <v>4.1014666666666661</v>
      </c>
      <c r="H30" s="1" t="s">
        <v>20</v>
      </c>
      <c r="I30" s="1"/>
      <c r="J30" s="1"/>
      <c r="K30" s="1"/>
      <c r="L30" s="1"/>
      <c r="M30" s="1"/>
      <c r="N30" s="1"/>
      <c r="O30" s="1"/>
      <c r="P30" s="1"/>
    </row>
    <row r="31" spans="3:16" ht="15.6" x14ac:dyDescent="0.3">
      <c r="C31" s="1"/>
      <c r="D31" s="1"/>
      <c r="E31" s="1"/>
      <c r="F31" s="6"/>
      <c r="G31" s="10"/>
      <c r="H31" s="1"/>
      <c r="I31" s="1"/>
      <c r="J31" s="1"/>
      <c r="K31" s="1"/>
      <c r="L31" s="1"/>
      <c r="M31" s="1"/>
      <c r="N31" s="1"/>
      <c r="O31" s="1"/>
      <c r="P31" s="1"/>
    </row>
    <row r="32" spans="3:16" ht="15.6" x14ac:dyDescent="0.3">
      <c r="C32" s="1"/>
      <c r="D32" s="1"/>
      <c r="E32" s="1"/>
      <c r="F32" s="6"/>
      <c r="G32" s="10"/>
      <c r="H32" s="1"/>
      <c r="I32" s="1"/>
      <c r="J32" s="1"/>
      <c r="K32" s="1"/>
      <c r="L32" s="1"/>
      <c r="M32" s="1"/>
      <c r="N32" s="1"/>
      <c r="O32" s="1"/>
      <c r="P32" s="1"/>
    </row>
    <row r="33" spans="3:16" ht="17.399999999999999" x14ac:dyDescent="0.3">
      <c r="C33" s="12" t="s">
        <v>23</v>
      </c>
      <c r="D33" s="57" t="s">
        <v>24</v>
      </c>
      <c r="E33" s="57"/>
      <c r="F33" s="11" t="s">
        <v>19</v>
      </c>
      <c r="G33" s="15">
        <f>((D9*D6)/100)*(1+25*(D7/D6)^2)</f>
        <v>4.1624435423100667</v>
      </c>
      <c r="H33" s="1" t="s">
        <v>20</v>
      </c>
      <c r="I33" s="1"/>
      <c r="J33" s="1"/>
      <c r="K33" s="1"/>
      <c r="L33" s="1"/>
      <c r="M33" s="1"/>
      <c r="N33" s="1"/>
      <c r="O33" s="1"/>
      <c r="P33" s="1"/>
    </row>
    <row r="34" spans="3:16" ht="15.6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ht="15.6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ht="17.399999999999999" x14ac:dyDescent="0.3">
      <c r="C36" s="1"/>
      <c r="D36" s="1"/>
      <c r="E36" s="6" t="s">
        <v>25</v>
      </c>
      <c r="F36" s="7">
        <v>4.18</v>
      </c>
      <c r="G36" s="1" t="s">
        <v>20</v>
      </c>
      <c r="H36" s="1"/>
      <c r="I36" s="1"/>
      <c r="J36" s="1"/>
      <c r="K36" s="1"/>
      <c r="L36" s="1"/>
      <c r="M36" s="1"/>
      <c r="N36" s="1"/>
      <c r="O36" s="1"/>
      <c r="P36" s="1"/>
    </row>
    <row r="37" spans="3:16" ht="15.6" x14ac:dyDescent="0.3">
      <c r="C37" s="1"/>
      <c r="D37" s="6"/>
      <c r="E37" s="1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ht="17.399999999999999" x14ac:dyDescent="0.3">
      <c r="C38" s="17"/>
      <c r="D38" s="1"/>
      <c r="E38" s="6" t="s">
        <v>26</v>
      </c>
      <c r="F38" s="7">
        <f>F36/2</f>
        <v>2.09</v>
      </c>
      <c r="G38" s="1" t="s">
        <v>20</v>
      </c>
      <c r="H38" s="1"/>
      <c r="I38" s="1"/>
      <c r="J38" s="1"/>
      <c r="K38" s="1"/>
      <c r="L38" s="1"/>
      <c r="M38" s="1"/>
      <c r="N38" s="1"/>
      <c r="O38" s="1"/>
      <c r="P38" s="1"/>
    </row>
    <row r="39" spans="3:16" ht="15.6" x14ac:dyDescent="0.3">
      <c r="C39" s="1"/>
      <c r="D39" s="18"/>
      <c r="E39" s="1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ht="15.6" x14ac:dyDescent="0.3">
      <c r="C40" s="1"/>
      <c r="D40" s="14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ht="15.6" x14ac:dyDescent="0.3">
      <c r="C41" s="58" t="s">
        <v>27</v>
      </c>
      <c r="D41" s="58"/>
      <c r="E41" s="1"/>
      <c r="F41" s="1"/>
      <c r="G41" s="1"/>
      <c r="H41" s="1"/>
      <c r="I41" s="1"/>
      <c r="J41" s="59" t="s">
        <v>28</v>
      </c>
      <c r="K41" s="59"/>
      <c r="L41" s="59"/>
      <c r="M41" s="59"/>
      <c r="N41" s="59"/>
      <c r="O41" s="1"/>
      <c r="P41" s="1"/>
    </row>
    <row r="42" spans="3:16" ht="15.6" x14ac:dyDescent="0.3">
      <c r="C42" s="58"/>
      <c r="D42" s="58"/>
      <c r="E42" s="1"/>
      <c r="F42" s="1"/>
      <c r="G42" s="1"/>
      <c r="H42" s="1"/>
      <c r="I42" s="1"/>
      <c r="J42" s="59"/>
      <c r="K42" s="59"/>
      <c r="L42" s="59"/>
      <c r="M42" s="59"/>
      <c r="N42" s="59"/>
      <c r="O42" s="1"/>
      <c r="P42" s="1"/>
    </row>
    <row r="43" spans="3:16" ht="25.8" x14ac:dyDescent="0.3">
      <c r="C43" s="19"/>
      <c r="D43" s="19"/>
      <c r="E43" s="1"/>
      <c r="F43" s="1"/>
      <c r="G43" s="1"/>
      <c r="H43" s="1"/>
      <c r="I43" s="1"/>
      <c r="J43" s="20"/>
      <c r="K43" s="20"/>
      <c r="L43" s="20"/>
      <c r="M43" s="20"/>
      <c r="N43" s="20"/>
      <c r="O43" s="1"/>
      <c r="P43" s="1"/>
    </row>
    <row r="44" spans="3:16" ht="25.8" x14ac:dyDescent="0.3">
      <c r="C44" s="19"/>
      <c r="D44" s="21" t="s">
        <v>29</v>
      </c>
      <c r="E44" s="6"/>
      <c r="F44" s="6"/>
      <c r="G44" s="7">
        <v>1.8</v>
      </c>
      <c r="H44" s="1"/>
      <c r="I44" s="1"/>
      <c r="J44" s="1"/>
      <c r="K44" s="20"/>
      <c r="L44" s="20"/>
      <c r="M44" s="20"/>
      <c r="N44" s="20"/>
      <c r="O44" s="1"/>
      <c r="P44" s="1"/>
    </row>
    <row r="45" spans="3:16" ht="15.6" x14ac:dyDescent="0.3">
      <c r="C45" s="1"/>
      <c r="D45" s="22" t="s">
        <v>30</v>
      </c>
      <c r="E45" s="22"/>
      <c r="F45" s="22"/>
      <c r="G45" s="50">
        <f>(G44*F38)^0.5</f>
        <v>1.9395875850293536</v>
      </c>
      <c r="H45" s="8" t="s">
        <v>3</v>
      </c>
      <c r="I45" s="1"/>
      <c r="J45" s="1" t="s">
        <v>31</v>
      </c>
      <c r="K45" s="1"/>
      <c r="L45" s="1"/>
      <c r="M45" s="1"/>
      <c r="N45" s="1"/>
      <c r="O45" s="1"/>
      <c r="P45" s="1"/>
    </row>
    <row r="46" spans="3:16" ht="15.6" x14ac:dyDescent="0.3">
      <c r="C46" s="1"/>
      <c r="D46" s="6" t="s">
        <v>32</v>
      </c>
      <c r="E46" s="6"/>
      <c r="F46" s="6"/>
      <c r="G46" s="7">
        <f>F38/G45</f>
        <v>1.0775486583496408</v>
      </c>
      <c r="H46" s="8" t="s">
        <v>3</v>
      </c>
      <c r="I46" s="1"/>
      <c r="J46" s="1" t="s">
        <v>33</v>
      </c>
      <c r="K46" s="1"/>
      <c r="L46" s="1"/>
      <c r="M46" s="1"/>
      <c r="N46" s="1"/>
      <c r="O46" s="1"/>
      <c r="P46" s="1"/>
    </row>
    <row r="47" spans="3:16" ht="15.6" x14ac:dyDescent="0.3">
      <c r="C47" s="1"/>
      <c r="D47" s="10"/>
      <c r="E47" s="10"/>
      <c r="F47" s="10"/>
      <c r="G47" s="10"/>
      <c r="H47" s="16"/>
      <c r="I47" s="1"/>
      <c r="J47" s="1"/>
      <c r="K47" s="1"/>
      <c r="L47" s="1"/>
      <c r="M47" s="1"/>
      <c r="N47" s="1"/>
      <c r="O47" s="1"/>
      <c r="P47" s="1"/>
    </row>
    <row r="48" spans="3:16" ht="15.6" x14ac:dyDescent="0.3">
      <c r="C48" s="1"/>
      <c r="D48" s="10"/>
      <c r="E48" s="10"/>
      <c r="F48" s="10"/>
      <c r="G48" s="10"/>
      <c r="H48" s="16"/>
      <c r="I48" s="1"/>
      <c r="J48" s="1"/>
      <c r="K48" s="1"/>
      <c r="L48" s="1"/>
      <c r="M48" s="1"/>
      <c r="N48" s="1"/>
      <c r="O48" s="1"/>
      <c r="P48" s="1"/>
    </row>
    <row r="49" spans="3:16" ht="15.6" x14ac:dyDescent="0.3">
      <c r="C49" s="58" t="s">
        <v>34</v>
      </c>
      <c r="D49" s="58"/>
      <c r="E49" s="1"/>
      <c r="F49" s="1"/>
      <c r="G49" s="1"/>
      <c r="H49" s="1"/>
      <c r="I49" s="1"/>
      <c r="J49" s="59" t="s">
        <v>35</v>
      </c>
      <c r="K49" s="59"/>
      <c r="L49" s="59"/>
      <c r="M49" s="59"/>
      <c r="N49" s="59"/>
      <c r="O49" s="1"/>
      <c r="P49" s="1"/>
    </row>
    <row r="50" spans="3:16" ht="15.6" x14ac:dyDescent="0.3">
      <c r="C50" s="58"/>
      <c r="D50" s="58"/>
      <c r="E50" s="1"/>
      <c r="F50" s="1"/>
      <c r="G50" s="1"/>
      <c r="H50" s="1"/>
      <c r="I50" s="1"/>
      <c r="J50" s="59"/>
      <c r="K50" s="59"/>
      <c r="L50" s="59"/>
      <c r="M50" s="59"/>
      <c r="N50" s="59"/>
      <c r="O50" s="1"/>
      <c r="P50" s="1"/>
    </row>
    <row r="51" spans="3:16" ht="15.6" x14ac:dyDescent="0.3">
      <c r="C51" s="1"/>
      <c r="D51" s="1"/>
      <c r="E51" s="1"/>
      <c r="F51" s="1"/>
      <c r="G51" s="1"/>
      <c r="H51" s="1"/>
      <c r="I51" s="1"/>
      <c r="J51" s="1"/>
      <c r="K51" s="1"/>
      <c r="L51" s="62"/>
      <c r="M51" s="62"/>
      <c r="N51" s="62"/>
      <c r="O51" s="62"/>
      <c r="P51" s="62"/>
    </row>
    <row r="52" spans="3:16" ht="15.6" x14ac:dyDescent="0.3">
      <c r="C52" s="1"/>
      <c r="D52" s="6" t="s">
        <v>36</v>
      </c>
      <c r="E52" s="11" t="s">
        <v>37</v>
      </c>
      <c r="F52" s="11" t="s">
        <v>38</v>
      </c>
      <c r="G52" s="10">
        <v>240</v>
      </c>
      <c r="H52" s="1" t="s">
        <v>39</v>
      </c>
      <c r="I52" s="1"/>
      <c r="J52" s="1"/>
      <c r="K52" s="1"/>
      <c r="L52" s="1"/>
      <c r="M52" s="1"/>
      <c r="N52" s="1"/>
      <c r="O52" s="1"/>
      <c r="P52" s="1"/>
    </row>
    <row r="53" spans="3:16" ht="15.6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ht="18" x14ac:dyDescent="0.3">
      <c r="C54" s="1"/>
      <c r="D54" s="24" t="s">
        <v>40</v>
      </c>
      <c r="E54" s="25"/>
      <c r="F54" s="25"/>
      <c r="G54" s="25" t="s">
        <v>41</v>
      </c>
      <c r="H54" s="25" t="s">
        <v>42</v>
      </c>
      <c r="I54" s="1"/>
      <c r="J54" s="1"/>
      <c r="K54" s="1"/>
      <c r="L54" s="1"/>
      <c r="M54" s="1"/>
      <c r="N54" s="1"/>
      <c r="O54" s="1"/>
      <c r="P54" s="1"/>
    </row>
    <row r="55" spans="3:16" ht="15.6" x14ac:dyDescent="0.3">
      <c r="C55" s="1"/>
      <c r="D55" s="24"/>
      <c r="E55" s="25"/>
      <c r="F55" s="25"/>
      <c r="G55" s="25"/>
      <c r="H55" s="25"/>
      <c r="I55" s="1"/>
      <c r="J55" s="1"/>
      <c r="K55" s="1"/>
      <c r="L55" s="1"/>
      <c r="M55" s="1"/>
      <c r="N55" s="1"/>
      <c r="O55" s="1"/>
      <c r="P55" s="1"/>
    </row>
    <row r="56" spans="3:16" ht="18" x14ac:dyDescent="0.3">
      <c r="C56" s="1"/>
      <c r="D56" s="24" t="s">
        <v>43</v>
      </c>
      <c r="E56" s="25"/>
      <c r="F56" s="25"/>
      <c r="G56" s="25" t="s">
        <v>44</v>
      </c>
      <c r="H56" s="25" t="s">
        <v>45</v>
      </c>
      <c r="I56" s="1"/>
      <c r="J56" s="1"/>
      <c r="K56" s="1"/>
      <c r="L56" s="1"/>
      <c r="M56" s="1"/>
      <c r="N56" s="1"/>
      <c r="O56" s="1"/>
      <c r="P56" s="1"/>
    </row>
    <row r="57" spans="3:16" ht="15.6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ht="18" x14ac:dyDescent="0.3">
      <c r="C58" s="1"/>
      <c r="D58" s="24" t="s">
        <v>46</v>
      </c>
      <c r="E58" s="11" t="s">
        <v>38</v>
      </c>
      <c r="F58" s="26">
        <f>(235/G52)^0.75</f>
        <v>0.98433395248701994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ht="15.6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ht="15.6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ht="15.6" x14ac:dyDescent="0.3">
      <c r="C61" s="58" t="s">
        <v>47</v>
      </c>
      <c r="D61" s="58"/>
      <c r="E61" s="1"/>
      <c r="F61" s="1"/>
      <c r="G61" s="1"/>
      <c r="H61" s="1"/>
      <c r="I61" s="1"/>
      <c r="J61" s="76" t="s">
        <v>48</v>
      </c>
      <c r="K61" s="76"/>
      <c r="L61" s="76"/>
      <c r="M61" s="76"/>
      <c r="N61" s="76"/>
      <c r="O61" s="1"/>
      <c r="P61" s="1"/>
    </row>
    <row r="62" spans="3:16" ht="15.6" x14ac:dyDescent="0.3">
      <c r="C62" s="58"/>
      <c r="D62" s="58"/>
      <c r="E62" s="1"/>
      <c r="F62" s="1"/>
      <c r="G62" s="1"/>
      <c r="H62" s="1"/>
      <c r="I62" s="1"/>
      <c r="J62" s="76"/>
      <c r="K62" s="76"/>
      <c r="L62" s="76"/>
      <c r="M62" s="76"/>
      <c r="N62" s="76"/>
      <c r="O62" s="1"/>
      <c r="P62" s="1"/>
    </row>
    <row r="63" spans="3:16" ht="15.6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ht="15.6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ht="18" x14ac:dyDescent="0.3">
      <c r="C65" s="6" t="s">
        <v>49</v>
      </c>
      <c r="D65" s="6"/>
      <c r="E65" s="6"/>
      <c r="F65" s="1"/>
      <c r="G65" s="7">
        <f>(G44+2)/3</f>
        <v>1.2666666666666666</v>
      </c>
      <c r="H65" s="1"/>
      <c r="I65" s="27"/>
      <c r="J65" s="27"/>
      <c r="K65" s="27"/>
      <c r="L65" s="27"/>
      <c r="M65" s="27"/>
      <c r="N65" s="1"/>
      <c r="O65" s="1"/>
      <c r="P65" s="1"/>
    </row>
    <row r="66" spans="3:16" ht="15.6" x14ac:dyDescent="0.3">
      <c r="C66" s="6"/>
      <c r="D66" s="6"/>
      <c r="E66" s="6"/>
      <c r="F66" s="1"/>
      <c r="G66" s="7"/>
      <c r="H66" s="1"/>
      <c r="I66" s="27"/>
      <c r="J66" s="27"/>
      <c r="K66" s="27"/>
      <c r="L66" s="27"/>
      <c r="M66" s="27"/>
      <c r="N66" s="1"/>
      <c r="O66" s="1"/>
      <c r="P66" s="1"/>
    </row>
    <row r="67" spans="3:16" ht="18" x14ac:dyDescent="0.3">
      <c r="C67" s="6" t="s">
        <v>50</v>
      </c>
      <c r="D67" s="6"/>
      <c r="E67" s="6"/>
      <c r="F67" s="1"/>
      <c r="G67" s="10">
        <v>0.8</v>
      </c>
      <c r="H67" s="11" t="s">
        <v>51</v>
      </c>
      <c r="I67" s="1"/>
      <c r="J67" s="1"/>
      <c r="K67" s="1"/>
      <c r="L67" s="1"/>
      <c r="M67" s="1"/>
      <c r="N67" s="1"/>
      <c r="O67" s="1"/>
      <c r="P67" s="1"/>
    </row>
    <row r="68" spans="3:16" ht="15.6" x14ac:dyDescent="0.3">
      <c r="C68" s="6"/>
      <c r="D68" s="6"/>
      <c r="E68" s="6"/>
      <c r="F68" s="1"/>
      <c r="G68" s="10">
        <v>1.1000000000000001</v>
      </c>
      <c r="H68" s="11" t="s">
        <v>52</v>
      </c>
      <c r="I68" s="1"/>
      <c r="J68" s="1"/>
      <c r="K68" s="1"/>
      <c r="L68" s="1"/>
      <c r="M68" s="1"/>
      <c r="N68" s="1"/>
      <c r="O68" s="1"/>
      <c r="P68" s="1"/>
    </row>
    <row r="69" spans="3:16" ht="15.6" x14ac:dyDescent="0.3">
      <c r="C69" s="6"/>
      <c r="D69" s="6"/>
      <c r="E69" s="6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</row>
    <row r="70" spans="3:16" ht="18" x14ac:dyDescent="0.3">
      <c r="C70" s="6" t="s">
        <v>53</v>
      </c>
      <c r="D70" s="6"/>
      <c r="E70" s="6"/>
      <c r="F70" s="1"/>
      <c r="G70" s="10">
        <v>1</v>
      </c>
      <c r="H70" s="1"/>
      <c r="I70" s="1"/>
      <c r="J70" s="1"/>
      <c r="K70" s="1"/>
      <c r="L70" s="1"/>
      <c r="M70" s="1"/>
      <c r="N70" s="1"/>
      <c r="O70" s="1"/>
      <c r="P70" s="1"/>
    </row>
    <row r="71" spans="3:16" ht="15.6" x14ac:dyDescent="0.3">
      <c r="C71" s="6"/>
      <c r="D71" s="6"/>
      <c r="E71" s="6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</row>
    <row r="72" spans="3:16" ht="18" x14ac:dyDescent="0.3">
      <c r="C72" s="6" t="s">
        <v>54</v>
      </c>
      <c r="D72" s="6"/>
      <c r="E72" s="6"/>
      <c r="F72" s="1"/>
      <c r="G72" s="10">
        <v>1</v>
      </c>
      <c r="H72" s="1"/>
      <c r="I72" s="1"/>
      <c r="J72" s="1"/>
      <c r="K72" s="1"/>
      <c r="L72" s="1"/>
      <c r="M72" s="1"/>
      <c r="N72" s="1"/>
      <c r="O72" s="1"/>
      <c r="P72" s="1"/>
    </row>
    <row r="73" spans="3:16" ht="15.6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ht="15.6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ht="18" x14ac:dyDescent="0.3">
      <c r="C75" s="1"/>
      <c r="D75" s="6" t="s">
        <v>55</v>
      </c>
      <c r="E75" s="60" t="s">
        <v>56</v>
      </c>
      <c r="F75" s="60"/>
      <c r="G75" s="11" t="s">
        <v>19</v>
      </c>
      <c r="H75" s="7">
        <f>132*F38*((D10*0.6)^2)*G65*G67*G70*G72</f>
        <v>8151.9229439999981</v>
      </c>
      <c r="I75" s="1" t="s">
        <v>57</v>
      </c>
      <c r="J75" s="11" t="s">
        <v>51</v>
      </c>
      <c r="K75" s="1"/>
      <c r="L75" s="1"/>
      <c r="M75" s="1"/>
      <c r="N75" s="1"/>
      <c r="O75" s="1"/>
      <c r="P75" s="1"/>
    </row>
    <row r="76" spans="3:16" ht="15.6" x14ac:dyDescent="0.3">
      <c r="C76" s="1"/>
      <c r="D76" s="1"/>
      <c r="E76" s="1"/>
      <c r="F76" s="1"/>
      <c r="G76" s="11" t="s">
        <v>19</v>
      </c>
      <c r="H76" s="1">
        <f>132*F38*(D10^2)*G65*G68*G70*G72</f>
        <v>31135.816800000001</v>
      </c>
      <c r="I76" s="1" t="s">
        <v>57</v>
      </c>
      <c r="J76" s="11" t="s">
        <v>52</v>
      </c>
      <c r="K76" s="1"/>
      <c r="L76" s="1"/>
      <c r="M76" s="1"/>
      <c r="N76" s="1"/>
      <c r="O76" s="1"/>
      <c r="P76" s="1"/>
    </row>
    <row r="77" spans="3:16" ht="15.6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ht="15.6" x14ac:dyDescent="0.3">
      <c r="C78" s="1"/>
      <c r="D78" s="1"/>
      <c r="E78" s="1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ht="15.6" x14ac:dyDescent="0.3">
      <c r="C79" s="1"/>
      <c r="D79" s="1"/>
      <c r="E79" s="1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ht="15.6" x14ac:dyDescent="0.3">
      <c r="C80" s="58" t="s">
        <v>58</v>
      </c>
      <c r="D80" s="58"/>
      <c r="E80" s="1"/>
      <c r="F80" s="1"/>
      <c r="G80" s="1"/>
      <c r="H80" s="1"/>
      <c r="I80" s="1"/>
      <c r="J80" s="76" t="s">
        <v>59</v>
      </c>
      <c r="K80" s="76"/>
      <c r="L80" s="76"/>
      <c r="M80" s="76"/>
      <c r="N80" s="76"/>
      <c r="O80" s="1"/>
      <c r="P80" s="1"/>
    </row>
    <row r="81" spans="3:16" ht="15.6" x14ac:dyDescent="0.3">
      <c r="C81" s="58"/>
      <c r="D81" s="58"/>
      <c r="E81" s="1"/>
      <c r="F81" s="1"/>
      <c r="G81" s="1"/>
      <c r="H81" s="1"/>
      <c r="I81" s="1"/>
      <c r="J81" s="76"/>
      <c r="K81" s="76"/>
      <c r="L81" s="76"/>
      <c r="M81" s="76"/>
      <c r="N81" s="76"/>
      <c r="O81" s="1"/>
      <c r="P81" s="1"/>
    </row>
    <row r="82" spans="3:16" ht="15.6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ht="15.6" x14ac:dyDescent="0.3">
      <c r="C83" s="1"/>
      <c r="D83" s="11" t="s">
        <v>60</v>
      </c>
      <c r="E83" s="7">
        <f>G46</f>
        <v>1.0775486583496408</v>
      </c>
      <c r="F83" s="1"/>
      <c r="G83" s="1"/>
      <c r="H83" s="1"/>
      <c r="I83" s="27"/>
      <c r="J83" s="27"/>
      <c r="K83" s="27"/>
      <c r="L83" s="27"/>
      <c r="M83" s="27"/>
      <c r="N83" s="27"/>
      <c r="O83" s="27"/>
      <c r="P83" s="1"/>
    </row>
    <row r="84" spans="3:16" ht="15.6" x14ac:dyDescent="0.3">
      <c r="C84" s="1"/>
      <c r="D84" s="11"/>
      <c r="E84" s="7"/>
      <c r="F84" s="1"/>
      <c r="G84" s="1"/>
      <c r="H84" s="1"/>
      <c r="I84" s="27"/>
      <c r="J84" s="27"/>
      <c r="K84" s="27"/>
      <c r="L84" s="27"/>
      <c r="M84" s="27"/>
      <c r="N84" s="27"/>
      <c r="O84" s="27"/>
      <c r="P84" s="1"/>
    </row>
    <row r="85" spans="3:16" ht="15.6" x14ac:dyDescent="0.3">
      <c r="C85" s="1"/>
      <c r="D85" s="28" t="s">
        <v>61</v>
      </c>
      <c r="E85" s="10">
        <f>0.33</f>
        <v>0.33</v>
      </c>
      <c r="F85" s="11" t="s">
        <v>52</v>
      </c>
      <c r="G85" s="1"/>
      <c r="H85" s="1"/>
      <c r="I85" s="27"/>
      <c r="J85" s="27"/>
      <c r="K85" s="27"/>
      <c r="L85" s="27"/>
      <c r="M85" s="27"/>
      <c r="N85" s="27"/>
      <c r="O85" s="27"/>
      <c r="P85" s="1"/>
    </row>
    <row r="86" spans="3:16" ht="15.6" x14ac:dyDescent="0.3">
      <c r="C86" s="1"/>
      <c r="D86" s="11" t="s">
        <v>62</v>
      </c>
      <c r="E86" s="7">
        <f>0.1*E83</f>
        <v>0.10775486583496408</v>
      </c>
      <c r="F86" s="10" t="s">
        <v>3</v>
      </c>
      <c r="G86" s="1"/>
      <c r="H86" s="1"/>
      <c r="I86" s="27"/>
      <c r="J86" s="27"/>
      <c r="K86" s="27"/>
      <c r="L86" s="27"/>
      <c r="M86" s="27"/>
      <c r="N86" s="27"/>
      <c r="O86" s="27"/>
      <c r="P86" s="1"/>
    </row>
    <row r="87" spans="3:16" ht="15.6" x14ac:dyDescent="0.3">
      <c r="C87" s="1"/>
      <c r="D87" s="28"/>
      <c r="E87" s="10"/>
      <c r="F87" s="11"/>
      <c r="G87" s="1"/>
      <c r="H87" s="1"/>
      <c r="I87" s="27"/>
      <c r="J87" s="27"/>
      <c r="K87" s="27"/>
      <c r="L87" s="27"/>
      <c r="M87" s="27"/>
      <c r="N87" s="27"/>
      <c r="O87" s="27"/>
      <c r="P87" s="1"/>
    </row>
    <row r="88" spans="3:16" ht="15.6" x14ac:dyDescent="0.3">
      <c r="C88" s="1"/>
      <c r="D88" s="28" t="s">
        <v>61</v>
      </c>
      <c r="E88" s="10">
        <f>0.9</f>
        <v>0.9</v>
      </c>
      <c r="F88" s="11" t="s">
        <v>51</v>
      </c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ht="18" x14ac:dyDescent="0.3">
      <c r="C89" s="1"/>
      <c r="D89" s="11" t="s">
        <v>63</v>
      </c>
      <c r="E89" s="7">
        <f>E83*(E88-E90)</f>
        <v>0.64652919500978456</v>
      </c>
      <c r="F89" s="10" t="s">
        <v>3</v>
      </c>
      <c r="G89" s="1" t="s">
        <v>64</v>
      </c>
      <c r="H89" s="1"/>
      <c r="I89" s="1"/>
      <c r="J89" s="1"/>
      <c r="K89" s="1"/>
      <c r="L89" s="1"/>
      <c r="M89" s="1"/>
      <c r="N89" s="1"/>
      <c r="O89" s="1"/>
      <c r="P89" s="1"/>
    </row>
    <row r="90" spans="3:16" ht="18" x14ac:dyDescent="0.3">
      <c r="C90" s="1"/>
      <c r="D90" s="11" t="s">
        <v>65</v>
      </c>
      <c r="E90" s="10">
        <v>0.3</v>
      </c>
      <c r="F90" s="1"/>
      <c r="G90" s="1" t="s">
        <v>66</v>
      </c>
      <c r="H90" s="1"/>
      <c r="I90" s="1"/>
      <c r="J90" s="1"/>
      <c r="K90" s="1"/>
      <c r="L90" s="1"/>
      <c r="M90" s="1"/>
      <c r="N90" s="1"/>
      <c r="O90" s="1"/>
      <c r="P90" s="1"/>
    </row>
    <row r="91" spans="3:16" ht="15.6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ht="18" x14ac:dyDescent="0.3">
      <c r="C92" s="1"/>
      <c r="D92" s="11" t="s">
        <v>67</v>
      </c>
      <c r="E92" s="11" t="s">
        <v>19</v>
      </c>
      <c r="F92" s="29">
        <f>H75*E89</f>
        <v>5270.4561787661114</v>
      </c>
      <c r="G92" s="1" t="s">
        <v>68</v>
      </c>
      <c r="H92" s="11" t="s">
        <v>51</v>
      </c>
      <c r="I92" s="1"/>
      <c r="J92" s="1"/>
      <c r="K92" s="1"/>
      <c r="L92" s="1"/>
      <c r="M92" s="1"/>
      <c r="N92" s="1"/>
      <c r="O92" s="1"/>
      <c r="P92" s="1"/>
    </row>
    <row r="93" spans="3:16" ht="15.6" x14ac:dyDescent="0.3">
      <c r="C93" s="1"/>
      <c r="D93" s="1"/>
      <c r="E93" s="11" t="s">
        <v>19</v>
      </c>
      <c r="F93" s="1">
        <f>H76*E86</f>
        <v>3355.0357619460206</v>
      </c>
      <c r="G93" s="1" t="s">
        <v>68</v>
      </c>
      <c r="H93" s="11" t="s">
        <v>52</v>
      </c>
      <c r="I93" s="1"/>
      <c r="J93" s="1"/>
      <c r="K93" s="1"/>
      <c r="L93" s="1"/>
      <c r="M93" s="1"/>
      <c r="N93" s="1"/>
      <c r="O93" s="1"/>
      <c r="P93" s="1"/>
    </row>
    <row r="96" spans="3:16" x14ac:dyDescent="0.3">
      <c r="C96" s="47"/>
      <c r="D96" s="47"/>
      <c r="E96" s="47"/>
      <c r="F96" s="47"/>
      <c r="G96" s="47"/>
      <c r="H96" s="47"/>
      <c r="I96" s="47"/>
      <c r="J96" s="47"/>
      <c r="K96" s="47"/>
    </row>
    <row r="97" spans="3:11" x14ac:dyDescent="0.3">
      <c r="C97" s="47"/>
      <c r="D97" s="47"/>
      <c r="E97" s="47"/>
      <c r="F97" s="47"/>
      <c r="G97" s="47"/>
      <c r="H97" s="47"/>
      <c r="I97" s="47"/>
      <c r="J97" s="47"/>
      <c r="K97" s="47"/>
    </row>
    <row r="98" spans="3:11" x14ac:dyDescent="0.3">
      <c r="C98" s="47"/>
      <c r="D98" s="47"/>
      <c r="E98" s="47"/>
      <c r="F98" s="47"/>
      <c r="G98" s="47"/>
      <c r="H98" s="47"/>
      <c r="I98" s="47"/>
      <c r="J98" s="47"/>
      <c r="K98" s="47"/>
    </row>
    <row r="99" spans="3:11" x14ac:dyDescent="0.3">
      <c r="C99" s="47"/>
      <c r="D99" s="47"/>
      <c r="E99" s="47"/>
      <c r="F99" s="47"/>
      <c r="G99" s="47"/>
      <c r="H99" s="47"/>
      <c r="I99" s="47"/>
      <c r="J99" s="47"/>
      <c r="K99" s="47"/>
    </row>
    <row r="100" spans="3:11" s="49" customFormat="1" ht="15.6" x14ac:dyDescent="0.35">
      <c r="C100" s="48"/>
      <c r="D100" s="48" t="s">
        <v>133</v>
      </c>
      <c r="E100" s="48"/>
      <c r="F100" s="77">
        <f>1.25*F92*2</f>
        <v>13176.140446915279</v>
      </c>
      <c r="G100" s="77"/>
      <c r="H100" s="48" t="s">
        <v>134</v>
      </c>
      <c r="I100" s="48"/>
      <c r="J100" s="48"/>
      <c r="K100" s="48"/>
    </row>
    <row r="101" spans="3:11" x14ac:dyDescent="0.3">
      <c r="C101" s="47"/>
      <c r="D101" s="47"/>
      <c r="E101" s="47"/>
      <c r="F101" s="47"/>
      <c r="G101" s="47"/>
      <c r="H101" s="47"/>
      <c r="I101" s="47"/>
      <c r="J101" s="47"/>
      <c r="K101" s="47"/>
    </row>
    <row r="102" spans="3:11" ht="15.6" x14ac:dyDescent="0.3">
      <c r="C102" s="47"/>
      <c r="D102" s="47"/>
      <c r="E102" s="11" t="s">
        <v>19</v>
      </c>
      <c r="F102" s="77">
        <v>13.2</v>
      </c>
      <c r="G102" s="77"/>
      <c r="H102" s="48" t="s">
        <v>135</v>
      </c>
      <c r="I102" s="47"/>
      <c r="J102" s="47"/>
      <c r="K102" s="47"/>
    </row>
    <row r="103" spans="3:11" x14ac:dyDescent="0.3">
      <c r="C103" s="47"/>
      <c r="D103" s="47"/>
      <c r="E103" s="47"/>
      <c r="F103" s="47"/>
      <c r="G103" s="47"/>
      <c r="H103" s="47"/>
      <c r="I103" s="47"/>
      <c r="J103" s="47"/>
      <c r="K103" s="47"/>
    </row>
    <row r="104" spans="3:11" x14ac:dyDescent="0.3">
      <c r="C104" s="47"/>
      <c r="D104" s="47"/>
      <c r="E104" s="47"/>
      <c r="F104" s="47"/>
      <c r="G104" s="47"/>
      <c r="H104" s="47"/>
      <c r="I104" s="47"/>
      <c r="J104" s="47"/>
      <c r="K104" s="47"/>
    </row>
    <row r="105" spans="3:11" x14ac:dyDescent="0.3">
      <c r="C105" s="47"/>
      <c r="D105" s="47"/>
      <c r="E105" s="47"/>
      <c r="F105" s="47"/>
      <c r="G105" s="47"/>
      <c r="H105" s="47"/>
      <c r="I105" s="47"/>
      <c r="J105" s="47"/>
      <c r="K105" s="47"/>
    </row>
  </sheetData>
  <mergeCells count="18">
    <mergeCell ref="E75:F75"/>
    <mergeCell ref="C80:D81"/>
    <mergeCell ref="J80:N81"/>
    <mergeCell ref="F100:G100"/>
    <mergeCell ref="F102:G102"/>
    <mergeCell ref="C61:D62"/>
    <mergeCell ref="J61:N62"/>
    <mergeCell ref="C1:E3"/>
    <mergeCell ref="C15:D16"/>
    <mergeCell ref="J15:N16"/>
    <mergeCell ref="D26:E26"/>
    <mergeCell ref="D30:E30"/>
    <mergeCell ref="D33:E33"/>
    <mergeCell ref="C41:D42"/>
    <mergeCell ref="J41:N42"/>
    <mergeCell ref="C49:D50"/>
    <mergeCell ref="J49:N50"/>
    <mergeCell ref="L51:P5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F415CBB8F654D879B98ED3DADA52F" ma:contentTypeVersion="9" ma:contentTypeDescription="Create a new document." ma:contentTypeScope="" ma:versionID="5fa83767f7d8a90cddf6555643658851">
  <xsd:schema xmlns:xsd="http://www.w3.org/2001/XMLSchema" xmlns:xs="http://www.w3.org/2001/XMLSchema" xmlns:p="http://schemas.microsoft.com/office/2006/metadata/properties" xmlns:ns2="54506b8c-445c-4f3d-898f-38feb0004166" xmlns:ns3="b1534b24-0596-41db-9a51-3f294bfbbee0" targetNamespace="http://schemas.microsoft.com/office/2006/metadata/properties" ma:root="true" ma:fieldsID="96ce9e05da52b5f688371bd9f2d274db" ns2:_="" ns3:_="">
    <xsd:import namespace="54506b8c-445c-4f3d-898f-38feb0004166"/>
    <xsd:import namespace="b1534b24-0596-41db-9a51-3f294bfbb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06b8c-445c-4f3d-898f-38feb0004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24-0596-41db-9a51-3f294bfbb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b462b0-74c3-47d6-a952-df5b32294fde}" ma:internalName="TaxCatchAll" ma:showField="CatchAllData" ma:web="b1534b24-0596-41db-9a51-3f294bfbb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34b24-0596-41db-9a51-3f294bfbbee0" xsi:nil="true"/>
    <lcf76f155ced4ddcb4097134ff3c332f xmlns="54506b8c-445c-4f3d-898f-38feb000416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68BD1B-273E-4548-948C-982D2AAFB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06b8c-445c-4f3d-898f-38feb0004166"/>
    <ds:schemaRef ds:uri="b1534b24-0596-41db-9a51-3f294bfb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CA30D4-2373-4DA8-8191-4FDC187E71DE}">
  <ds:schemaRefs>
    <ds:schemaRef ds:uri="http://schemas.microsoft.com/office/2006/metadata/properties"/>
    <ds:schemaRef ds:uri="http://schemas.microsoft.com/office/infopath/2007/PartnerControls"/>
    <ds:schemaRef ds:uri="b1534b24-0596-41db-9a51-3f294bfbbee0"/>
    <ds:schemaRef ds:uri="54506b8c-445c-4f3d-898f-38feb0004166"/>
  </ds:schemaRefs>
</ds:datastoreItem>
</file>

<file path=customXml/itemProps3.xml><?xml version="1.0" encoding="utf-8"?>
<ds:datastoreItem xmlns:ds="http://schemas.openxmlformats.org/officeDocument/2006/customXml" ds:itemID="{C69ECAB3-B62B-4B67-B3F3-437E4AB8DC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Rudder</vt:lpstr>
      <vt:lpstr>Steering Gear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2022-12-08T07:23:50Z</dcterms:created>
  <dcterms:modified xsi:type="dcterms:W3CDTF">2023-01-13T20:24:18Z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0x010100529F415CBB8F654D879B98ED3DADA52F</vt:lpwstr>
  </property>
  <property fmtid="{D5CDD505-2E9C-101B-9397-08002B2CF9AE}" pid="3" name="MediaServiceImageTags">
    <vt:lpwstr/>
  </property>
</Properties>
</file>