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11"/>
  <workbookPr/>
  <mc:AlternateContent xmlns:mc="http://schemas.openxmlformats.org/markup-compatibility/2006">
    <mc:Choice Requires="x15">
      <x15ac:absPath xmlns:x15ac="http://schemas.microsoft.com/office/spreadsheetml/2010/11/ac" url="E:\Study\L3-T2\Sessional\NAME 338\Lecture Files\Shaft\"/>
    </mc:Choice>
  </mc:AlternateContent>
  <xr:revisionPtr revIDLastSave="0" documentId="13_ncr:1_{FA19F9AB-B7C6-44BF-BD6B-D59D5DE18A23}" xr6:coauthVersionLast="47" xr6:coauthVersionMax="47" xr10:uidLastSave="{00000000-0000-0000-0000-000000000000}"/>
  <bookViews>
    <workbookView xWindow="-108" yWindow="-108" windowWidth="23256" windowHeight="12576" tabRatio="720" firstSheet="1" activeTab="1" xr2:uid="{00000000-000D-0000-FFFF-FFFF00000000}"/>
  </bookViews>
  <sheets>
    <sheet name="Resistance &amp; Power" sheetId="2" r:id="rId1"/>
    <sheet name="Propeller shaft " sheetId="8" r:id="rId2"/>
    <sheet name="Summary" sheetId="9" r:id="rId3"/>
  </sheets>
  <definedNames>
    <definedName name="fuck">#REF!</definedName>
    <definedName name="h">#REF!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3" i="8" l="1"/>
  <c r="E54" i="8" l="1"/>
  <c r="E93" i="8"/>
  <c r="E15" i="8" l="1"/>
  <c r="E92" i="8" l="1"/>
  <c r="E80" i="8"/>
  <c r="E32" i="8"/>
  <c r="E16" i="8"/>
  <c r="E56" i="8" s="1"/>
  <c r="E57" i="8" s="1"/>
  <c r="E12" i="8"/>
  <c r="E75" i="8"/>
  <c r="E78" i="2" l="1"/>
  <c r="H42" i="2" l="1"/>
  <c r="E42" i="2" s="1"/>
  <c r="H45" i="2"/>
  <c r="E45" i="2" s="1"/>
  <c r="H47" i="2"/>
  <c r="E31" i="2"/>
  <c r="H32" i="2"/>
  <c r="E32" i="2" s="1"/>
  <c r="B3" i="8"/>
  <c r="E3" i="8"/>
  <c r="F3" i="8"/>
  <c r="B4" i="8"/>
  <c r="F4" i="8"/>
  <c r="B5" i="8"/>
  <c r="F5" i="8"/>
  <c r="B6" i="8"/>
  <c r="F6" i="8"/>
  <c r="B7" i="8"/>
  <c r="F7" i="8"/>
  <c r="B8" i="8"/>
  <c r="B9" i="8"/>
  <c r="F9" i="8"/>
  <c r="H66" i="2"/>
  <c r="E66" i="2" s="1"/>
  <c r="E61" i="2"/>
  <c r="H60" i="2"/>
  <c r="E60" i="2" s="1"/>
  <c r="H56" i="2"/>
  <c r="E57" i="2" s="1"/>
  <c r="E56" i="2" s="1"/>
  <c r="E58" i="2"/>
  <c r="E53" i="2"/>
  <c r="E43" i="2" s="1"/>
  <c r="H48" i="2"/>
  <c r="E48" i="2" s="1"/>
  <c r="E44" i="2"/>
  <c r="H40" i="2"/>
  <c r="H39" i="2"/>
  <c r="H34" i="2"/>
  <c r="E34" i="2"/>
  <c r="H36" i="2" s="1"/>
  <c r="E36" i="2" s="1"/>
  <c r="E33" i="2"/>
  <c r="E29" i="2"/>
  <c r="E18" i="2"/>
  <c r="E15" i="2"/>
  <c r="E14" i="2"/>
  <c r="E33" i="8" l="1"/>
  <c r="E34" i="8" s="1"/>
  <c r="E38" i="8" s="1"/>
  <c r="E19" i="8"/>
  <c r="E20" i="8" s="1"/>
  <c r="E24" i="8" s="1"/>
  <c r="E25" i="8" s="1"/>
  <c r="E30" i="2"/>
  <c r="H50" i="2"/>
  <c r="E50" i="2" s="1"/>
  <c r="E49" i="2" s="1"/>
  <c r="E27" i="2"/>
  <c r="E65" i="2"/>
  <c r="E64" i="2" s="1"/>
  <c r="E40" i="2"/>
  <c r="E47" i="2"/>
  <c r="E72" i="2" l="1"/>
  <c r="E77" i="2" l="1"/>
  <c r="E76" i="2"/>
  <c r="H79" i="2" s="1"/>
  <c r="E75" i="2"/>
  <c r="E73" i="2"/>
  <c r="E74" i="2" s="1"/>
  <c r="H78" i="2" l="1"/>
  <c r="E79" i="2"/>
  <c r="E80" i="2" s="1"/>
  <c r="E81" i="2" s="1"/>
  <c r="E83" i="2" l="1"/>
  <c r="G81" i="2"/>
  <c r="G83" i="2" l="1"/>
  <c r="E85" i="2"/>
  <c r="G85" i="2" l="1"/>
  <c r="E87" i="2"/>
  <c r="G8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M.M.M</author>
  </authors>
  <commentList>
    <comment ref="E17" authorId="0" shapeId="0" xr:uid="{00000000-0006-0000-0000-000001000000}">
      <text>
        <r>
          <rPr>
            <b/>
            <sz val="9"/>
            <color indexed="81"/>
            <rFont val="Tahoma"/>
            <family val="2"/>
          </rPr>
          <t>User:</t>
        </r>
        <r>
          <rPr>
            <sz val="9"/>
            <color indexed="81"/>
            <rFont val="Tahoma"/>
            <family val="2"/>
          </rPr>
          <t xml:space="preserve">
put (-) for aft of amidship
and
put (+) for forward </t>
        </r>
      </text>
    </comment>
    <comment ref="B27" authorId="0" shapeId="0" xr:uid="{00000000-0006-0000-0000-000002000000}">
      <text>
        <r>
          <rPr>
            <b/>
            <sz val="9"/>
            <color indexed="81"/>
            <rFont val="Tahoma"/>
            <family val="2"/>
          </rPr>
          <t>User:</t>
        </r>
        <r>
          <rPr>
            <sz val="9"/>
            <color indexed="81"/>
            <rFont val="Tahoma"/>
            <family val="2"/>
          </rPr>
          <t xml:space="preserve">
(ITTC 1957)</t>
        </r>
      </text>
    </comment>
    <comment ref="B30" authorId="0" shapeId="0" xr:uid="{00000000-0006-0000-0000-000003000000}">
      <text>
        <r>
          <rPr>
            <b/>
            <sz val="9"/>
            <color indexed="81"/>
            <rFont val="Tahoma"/>
            <family val="2"/>
          </rPr>
          <t>User:</t>
        </r>
        <r>
          <rPr>
            <sz val="9"/>
            <color indexed="81"/>
            <rFont val="Tahoma"/>
            <family val="2"/>
          </rPr>
          <t xml:space="preserve">
User:
Form factor describing the viscous resistance of the hull form in relation to RF</t>
        </r>
      </text>
    </comment>
    <comment ref="H33" authorId="0" shapeId="0" xr:uid="{00000000-0006-0000-0000-000004000000}">
      <text>
        <r>
          <rPr>
            <b/>
            <sz val="9"/>
            <color indexed="81"/>
            <rFont val="Tahoma"/>
            <family val="2"/>
          </rPr>
          <t>User:</t>
        </r>
        <r>
          <rPr>
            <sz val="9"/>
            <color indexed="81"/>
            <rFont val="Tahoma"/>
            <family val="2"/>
          </rPr>
          <t xml:space="preserve">
(Cstern= -10, 0 or, +10 if the afterbody form is of V-shaped, Normal and U shaped sections respectively.</t>
        </r>
      </text>
    </comment>
    <comment ref="H34" authorId="0" shapeId="0" xr:uid="{00000000-0006-0000-0000-000005000000}">
      <text>
        <r>
          <rPr>
            <b/>
            <sz val="9"/>
            <color indexed="81"/>
            <rFont val="Tahoma"/>
            <family val="2"/>
          </rPr>
          <t>User:</t>
        </r>
        <r>
          <rPr>
            <sz val="9"/>
            <color indexed="81"/>
            <rFont val="Tahoma"/>
            <family val="2"/>
          </rPr>
          <t xml:space="preserve">
transverse sectional area of bulb at the position where the still-water surface intersects the stem.</t>
        </r>
      </text>
    </comment>
    <comment ref="G36" authorId="0" shapeId="0" xr:uid="{00000000-0006-0000-0000-000006000000}">
      <text>
        <r>
          <rPr>
            <b/>
            <sz val="9"/>
            <color indexed="81"/>
            <rFont val="Tahoma"/>
            <family val="2"/>
          </rPr>
          <t>User:</t>
        </r>
        <r>
          <rPr>
            <sz val="9"/>
            <color indexed="81"/>
            <rFont val="Tahoma"/>
            <family val="2"/>
          </rPr>
          <t xml:space="preserve">
wetted surface area of appendages
</t>
        </r>
      </text>
    </comment>
    <comment ref="H36" authorId="0" shapeId="0" xr:uid="{00000000-0006-0000-0000-000007000000}">
      <text>
        <r>
          <rPr>
            <b/>
            <sz val="9"/>
            <color indexed="81"/>
            <rFont val="Tahoma"/>
            <family val="2"/>
          </rPr>
          <t>User:</t>
        </r>
        <r>
          <rPr>
            <sz val="9"/>
            <color indexed="81"/>
            <rFont val="Tahoma"/>
            <family val="2"/>
          </rPr>
          <t xml:space="preserve">
2% of S</t>
        </r>
      </text>
    </comment>
    <comment ref="C37" authorId="0" shapeId="0" xr:uid="{00000000-0006-0000-0000-000008000000}">
      <text>
        <r>
          <rPr>
            <b/>
            <sz val="9"/>
            <color indexed="81"/>
            <rFont val="Tahoma"/>
            <family val="2"/>
          </rPr>
          <t>User:</t>
        </r>
        <r>
          <rPr>
            <sz val="9"/>
            <color indexed="81"/>
            <rFont val="Tahoma"/>
            <family val="2"/>
          </rPr>
          <t xml:space="preserve">
Approximate 1+k2 values
Rudder behind skeg 1.5~2.0
Rudder behind stern 1.3~1.5
Twin-screw balance rudders 2.8
Shaft brackets 3.0
Skeg 1.5~2.0
Strut bossings 3.0
Hull bossings 2.0
Shafts 2.0~4.0
Stabilizer fins 2.8
Dome 2.7
Bilge keels 1.4
The equivalent 1+k2 value for a combination
of appendages is determined from:
(1+k2)eq = {(1+k2)*Sapp}/ total Sapp</t>
        </r>
      </text>
    </comment>
    <comment ref="E37" authorId="1" shapeId="0" xr:uid="{00000000-0006-0000-0000-000009000000}">
      <text>
        <r>
          <rPr>
            <b/>
            <sz val="9"/>
            <color indexed="81"/>
            <rFont val="Tahoma"/>
            <family val="2"/>
          </rPr>
          <t>M.M.M:</t>
        </r>
        <r>
          <rPr>
            <sz val="9"/>
            <color indexed="81"/>
            <rFont val="Tahoma"/>
            <family val="2"/>
          </rPr>
          <t xml:space="preserve">
ask partner if rudder behind skeg or not
</t>
        </r>
      </text>
    </comment>
    <comment ref="C52" authorId="0" shapeId="0" xr:uid="{00000000-0006-0000-0000-00000A000000}">
      <text>
        <r>
          <rPr>
            <b/>
            <sz val="9"/>
            <color indexed="81"/>
            <rFont val="Tahoma"/>
            <family val="2"/>
          </rPr>
          <t>User:</t>
        </r>
        <r>
          <rPr>
            <sz val="9"/>
            <color indexed="81"/>
            <rFont val="Tahoma"/>
            <family val="2"/>
          </rPr>
          <t xml:space="preserve">
The half angle of entrance iE is the angle of the
waterline at the bow in degrees with reference to the
centre plane but neglecting the local shape at the stem.
If iE is unknown, use can be made of the following
formula:
1+89 exp{-(L/B)0.80856(1-CWP)0.3084 (1-CP-0.0225lcb) 0.6367(LR/B)0.34574(100∇/L3) 0.16302}
</t>
        </r>
      </text>
    </comment>
    <comment ref="H53" authorId="0" shapeId="0" xr:uid="{00000000-0006-0000-0000-00000B000000}">
      <text>
        <r>
          <rPr>
            <b/>
            <sz val="9"/>
            <color indexed="81"/>
            <rFont val="Tahoma"/>
            <family val="2"/>
          </rPr>
          <t>User:</t>
        </r>
        <r>
          <rPr>
            <sz val="9"/>
            <color indexed="81"/>
            <rFont val="Tahoma"/>
            <family val="2"/>
          </rPr>
          <t xml:space="preserve">
where hB is the position of the centre of the transverse area ABT above the keel line and TF is the forward draught of the ship.</t>
        </r>
      </text>
    </comment>
  </commentList>
</comments>
</file>

<file path=xl/sharedStrings.xml><?xml version="1.0" encoding="utf-8"?>
<sst xmlns="http://schemas.openxmlformats.org/spreadsheetml/2006/main" count="335" uniqueCount="274">
  <si>
    <r>
      <rPr>
        <b/>
        <sz val="16"/>
        <color indexed="30"/>
        <rFont val="Calibri Light"/>
        <family val="1"/>
      </rPr>
      <t>Approximate Calculation of Ship's Resistance</t>
    </r>
    <r>
      <rPr>
        <b/>
        <sz val="16"/>
        <rFont val="Calibri Light"/>
        <family val="1"/>
      </rPr>
      <t xml:space="preserve">                </t>
    </r>
  </si>
  <si>
    <t>Holtrop &amp; Mennen's method</t>
  </si>
  <si>
    <t>Parameters</t>
  </si>
  <si>
    <t>Value</t>
  </si>
  <si>
    <t>Unit</t>
  </si>
  <si>
    <r>
      <t>Waterline Length, L</t>
    </r>
    <r>
      <rPr>
        <vertAlign val="subscript"/>
        <sz val="14"/>
        <color indexed="8"/>
        <rFont val="Times New Roman"/>
        <family val="1"/>
      </rPr>
      <t>WL</t>
    </r>
    <r>
      <rPr>
        <sz val="14"/>
        <color indexed="8"/>
        <rFont val="Times New Roman"/>
        <family val="1"/>
      </rPr>
      <t xml:space="preserve">            </t>
    </r>
  </si>
  <si>
    <t>m</t>
  </si>
  <si>
    <r>
      <t>Length Between Perpendicular, L</t>
    </r>
    <r>
      <rPr>
        <vertAlign val="subscript"/>
        <sz val="14"/>
        <color indexed="8"/>
        <rFont val="Times New Roman"/>
        <family val="1"/>
      </rPr>
      <t>BP</t>
    </r>
  </si>
  <si>
    <t>Breadth moulded, B</t>
  </si>
  <si>
    <t xml:space="preserve">Draft moulded, T </t>
  </si>
  <si>
    <r>
      <t>Block Coefficient, C</t>
    </r>
    <r>
      <rPr>
        <vertAlign val="subscript"/>
        <sz val="14"/>
        <color indexed="8"/>
        <rFont val="Times New Roman"/>
        <family val="1"/>
      </rPr>
      <t>b</t>
    </r>
    <r>
      <rPr>
        <sz val="14"/>
        <color indexed="8"/>
        <rFont val="Times New Roman"/>
        <family val="1"/>
      </rPr>
      <t xml:space="preserve"> </t>
    </r>
  </si>
  <si>
    <t xml:space="preserve"> Ship Speed, V</t>
  </si>
  <si>
    <t>knots</t>
  </si>
  <si>
    <r>
      <t>Prismatic Coefficient, C</t>
    </r>
    <r>
      <rPr>
        <vertAlign val="subscript"/>
        <sz val="14"/>
        <color indexed="8"/>
        <rFont val="Times New Roman"/>
        <family val="1"/>
      </rPr>
      <t>p</t>
    </r>
    <r>
      <rPr>
        <sz val="14"/>
        <color indexed="8"/>
        <rFont val="Times New Roman"/>
        <family val="1"/>
      </rPr>
      <t xml:space="preserve"> </t>
    </r>
  </si>
  <si>
    <r>
      <t>Midship Coefficient, C</t>
    </r>
    <r>
      <rPr>
        <vertAlign val="subscript"/>
        <sz val="14"/>
        <color indexed="8"/>
        <rFont val="Times New Roman"/>
        <family val="1"/>
      </rPr>
      <t>m</t>
    </r>
  </si>
  <si>
    <t xml:space="preserve">Density of water, ρ </t>
  </si>
  <si>
    <r>
      <t>tons/m</t>
    </r>
    <r>
      <rPr>
        <vertAlign val="superscript"/>
        <sz val="12"/>
        <color indexed="8"/>
        <rFont val="Calibri"/>
        <family val="2"/>
      </rPr>
      <t>3</t>
    </r>
  </si>
  <si>
    <t>Volume of displacement, ∇</t>
  </si>
  <si>
    <r>
      <t>m</t>
    </r>
    <r>
      <rPr>
        <vertAlign val="superscript"/>
        <sz val="12"/>
        <color indexed="8"/>
        <rFont val="Calibri"/>
        <family val="2"/>
      </rPr>
      <t>3</t>
    </r>
  </si>
  <si>
    <t xml:space="preserve">Displacement, ∆ </t>
  </si>
  <si>
    <t>tons</t>
  </si>
  <si>
    <r>
      <t>Water plane Co-efficient, C</t>
    </r>
    <r>
      <rPr>
        <vertAlign val="subscript"/>
        <sz val="14"/>
        <color indexed="8"/>
        <rFont val="Times New Roman"/>
        <family val="1"/>
      </rPr>
      <t xml:space="preserve">wp </t>
    </r>
  </si>
  <si>
    <t xml:space="preserve">Longitudinal Center of  Buoyancy, L.C.B. </t>
  </si>
  <si>
    <t>m (aft,mid)</t>
  </si>
  <si>
    <r>
      <t>L.C.B as a % of L</t>
    </r>
    <r>
      <rPr>
        <vertAlign val="subscript"/>
        <sz val="14"/>
        <color indexed="8"/>
        <rFont val="Times New Roman"/>
        <family val="1"/>
      </rPr>
      <t>WL</t>
    </r>
  </si>
  <si>
    <r>
      <t>% of L</t>
    </r>
    <r>
      <rPr>
        <vertAlign val="subscript"/>
        <sz val="12"/>
        <color indexed="8"/>
        <rFont val="Calibri"/>
        <family val="2"/>
      </rPr>
      <t>WL</t>
    </r>
  </si>
  <si>
    <r>
      <t xml:space="preserve">Transverse sectional area of BULB, A </t>
    </r>
    <r>
      <rPr>
        <vertAlign val="subscript"/>
        <sz val="14"/>
        <color indexed="8"/>
        <rFont val="Times New Roman"/>
        <family val="1"/>
      </rPr>
      <t>BT</t>
    </r>
    <r>
      <rPr>
        <sz val="14"/>
        <color indexed="8"/>
        <rFont val="Times New Roman"/>
        <family val="1"/>
      </rPr>
      <t xml:space="preserve"> </t>
    </r>
  </si>
  <si>
    <r>
      <t>m</t>
    </r>
    <r>
      <rPr>
        <vertAlign val="superscript"/>
        <sz val="12"/>
        <color indexed="8"/>
        <rFont val="Calibri"/>
        <family val="2"/>
      </rPr>
      <t>2</t>
    </r>
  </si>
  <si>
    <r>
      <t xml:space="preserve"> Immersed Transom area, A</t>
    </r>
    <r>
      <rPr>
        <vertAlign val="subscript"/>
        <sz val="14"/>
        <color indexed="8"/>
        <rFont val="Times New Roman"/>
        <family val="1"/>
      </rPr>
      <t>T</t>
    </r>
    <r>
      <rPr>
        <sz val="14"/>
        <color indexed="8"/>
        <rFont val="Times New Roman"/>
        <family val="1"/>
      </rPr>
      <t xml:space="preserve"> </t>
    </r>
  </si>
  <si>
    <t>Dynamic Viscosity , μ</t>
  </si>
  <si>
    <r>
      <t>m</t>
    </r>
    <r>
      <rPr>
        <vertAlign val="superscript"/>
        <sz val="12"/>
        <color indexed="8"/>
        <rFont val="Calibri"/>
        <family val="2"/>
      </rPr>
      <t>2</t>
    </r>
    <r>
      <rPr>
        <sz val="12"/>
        <color indexed="8"/>
        <rFont val="Calibri"/>
        <family val="2"/>
      </rPr>
      <t>/s</t>
    </r>
  </si>
  <si>
    <t>Propeller Dia, D</t>
  </si>
  <si>
    <t>Pitch ratio, P/D</t>
  </si>
  <si>
    <t>Parameter</t>
  </si>
  <si>
    <t>Symbol</t>
  </si>
  <si>
    <t>Values</t>
  </si>
  <si>
    <t>Note</t>
  </si>
  <si>
    <t>1. Frictional resistance</t>
  </si>
  <si>
    <r>
      <t>R</t>
    </r>
    <r>
      <rPr>
        <vertAlign val="subscript"/>
        <sz val="12"/>
        <color indexed="8"/>
        <rFont val="Calibri"/>
        <family val="2"/>
      </rPr>
      <t>F</t>
    </r>
  </si>
  <si>
    <r>
      <t>0.5 ρ V</t>
    </r>
    <r>
      <rPr>
        <vertAlign val="superscript"/>
        <sz val="12"/>
        <color indexed="8"/>
        <rFont val="Calibri"/>
        <family val="2"/>
      </rPr>
      <t>2</t>
    </r>
    <r>
      <rPr>
        <sz val="12"/>
        <color indexed="8"/>
        <rFont val="Calibri"/>
        <family val="2"/>
      </rPr>
      <t xml:space="preserve"> S C</t>
    </r>
    <r>
      <rPr>
        <vertAlign val="subscript"/>
        <sz val="12"/>
        <color indexed="8"/>
        <rFont val="Calibri"/>
        <family val="2"/>
      </rPr>
      <t>F</t>
    </r>
  </si>
  <si>
    <t>KN</t>
  </si>
  <si>
    <t>Frictional resist. coef.</t>
  </si>
  <si>
    <r>
      <t>C</t>
    </r>
    <r>
      <rPr>
        <vertAlign val="subscript"/>
        <sz val="12"/>
        <color indexed="8"/>
        <rFont val="Calibri"/>
        <family val="2"/>
      </rPr>
      <t>F</t>
    </r>
  </si>
  <si>
    <r>
      <t>0.075 / (Log</t>
    </r>
    <r>
      <rPr>
        <vertAlign val="subscript"/>
        <sz val="12"/>
        <color indexed="8"/>
        <rFont val="Calibri"/>
        <family val="2"/>
      </rPr>
      <t>10</t>
    </r>
    <r>
      <rPr>
        <sz val="12"/>
        <color indexed="8"/>
        <rFont val="Calibri"/>
        <family val="2"/>
      </rPr>
      <t>R</t>
    </r>
    <r>
      <rPr>
        <vertAlign val="subscript"/>
        <sz val="12"/>
        <color indexed="8"/>
        <rFont val="Calibri"/>
        <family val="2"/>
      </rPr>
      <t xml:space="preserve">e </t>
    </r>
    <r>
      <rPr>
        <sz val="12"/>
        <color indexed="8"/>
        <rFont val="Calibri"/>
        <family val="2"/>
      </rPr>
      <t>- 2)</t>
    </r>
    <r>
      <rPr>
        <vertAlign val="superscript"/>
        <sz val="12"/>
        <color indexed="8"/>
        <rFont val="Calibri"/>
        <family val="2"/>
      </rPr>
      <t>2</t>
    </r>
  </si>
  <si>
    <t>Reynold’s No.</t>
  </si>
  <si>
    <r>
      <t>R</t>
    </r>
    <r>
      <rPr>
        <vertAlign val="subscript"/>
        <sz val="12"/>
        <color indexed="8"/>
        <rFont val="Calibri"/>
        <family val="2"/>
      </rPr>
      <t>E</t>
    </r>
  </si>
  <si>
    <t>ρVL /μ</t>
  </si>
  <si>
    <t>Form factor of the hull</t>
  </si>
  <si>
    <r>
      <t>1+k</t>
    </r>
    <r>
      <rPr>
        <vertAlign val="subscript"/>
        <sz val="12"/>
        <color indexed="8"/>
        <rFont val="Calibri"/>
        <family val="2"/>
      </rPr>
      <t>1</t>
    </r>
  </si>
  <si>
    <r>
      <t>c</t>
    </r>
    <r>
      <rPr>
        <vertAlign val="subscript"/>
        <sz val="12"/>
        <color indexed="8"/>
        <rFont val="Calibri"/>
        <family val="2"/>
      </rPr>
      <t>13</t>
    </r>
    <r>
      <rPr>
        <sz val="12"/>
        <color indexed="8"/>
        <rFont val="Calibri"/>
        <family val="2"/>
      </rPr>
      <t>{0.93 + c</t>
    </r>
    <r>
      <rPr>
        <vertAlign val="subscript"/>
        <sz val="12"/>
        <color indexed="8"/>
        <rFont val="Calibri"/>
        <family val="2"/>
      </rPr>
      <t xml:space="preserve">12 </t>
    </r>
    <r>
      <rPr>
        <sz val="12"/>
        <color indexed="8"/>
        <rFont val="Calibri"/>
        <family val="2"/>
      </rPr>
      <t>(B/L</t>
    </r>
    <r>
      <rPr>
        <vertAlign val="subscript"/>
        <sz val="12"/>
        <color indexed="8"/>
        <rFont val="Calibri"/>
        <family val="2"/>
      </rPr>
      <t>R</t>
    </r>
    <r>
      <rPr>
        <sz val="12"/>
        <color indexed="8"/>
        <rFont val="Calibri"/>
        <family val="2"/>
      </rPr>
      <t>)</t>
    </r>
    <r>
      <rPr>
        <vertAlign val="superscript"/>
        <sz val="12"/>
        <color indexed="8"/>
        <rFont val="Calibri"/>
        <family val="2"/>
      </rPr>
      <t xml:space="preserve">0.92497 </t>
    </r>
    <r>
      <rPr>
        <sz val="12"/>
        <color indexed="8"/>
        <rFont val="Calibri"/>
        <family val="2"/>
      </rPr>
      <t>(0.95-C</t>
    </r>
    <r>
      <rPr>
        <vertAlign val="subscript"/>
        <sz val="12"/>
        <color indexed="8"/>
        <rFont val="Calibri"/>
        <family val="2"/>
      </rPr>
      <t>P</t>
    </r>
    <r>
      <rPr>
        <sz val="12"/>
        <color indexed="8"/>
        <rFont val="Calibri"/>
        <family val="2"/>
      </rPr>
      <t>)</t>
    </r>
    <r>
      <rPr>
        <vertAlign val="superscript"/>
        <sz val="12"/>
        <color indexed="8"/>
        <rFont val="Calibri"/>
        <family val="2"/>
      </rPr>
      <t xml:space="preserve">-0.521448   </t>
    </r>
    <r>
      <rPr>
        <sz val="12"/>
        <color indexed="8"/>
        <rFont val="Calibri"/>
        <family val="2"/>
      </rPr>
      <t>(1-CP+0.0225lcb)</t>
    </r>
    <r>
      <rPr>
        <vertAlign val="superscript"/>
        <sz val="12"/>
        <color indexed="8"/>
        <rFont val="Calibri"/>
        <family val="2"/>
      </rPr>
      <t>0.6906</t>
    </r>
    <r>
      <rPr>
        <sz val="12"/>
        <color indexed="8"/>
        <rFont val="Calibri"/>
        <family val="2"/>
      </rPr>
      <t>}</t>
    </r>
  </si>
  <si>
    <t>Length of the run</t>
  </si>
  <si>
    <r>
      <t>L</t>
    </r>
    <r>
      <rPr>
        <vertAlign val="subscript"/>
        <sz val="12"/>
        <color indexed="8"/>
        <rFont val="Calibri"/>
        <family val="2"/>
      </rPr>
      <t>R</t>
    </r>
  </si>
  <si>
    <r>
      <t>L (1 - C</t>
    </r>
    <r>
      <rPr>
        <vertAlign val="subscript"/>
        <sz val="12"/>
        <color indexed="8"/>
        <rFont val="Calibri"/>
        <family val="2"/>
      </rPr>
      <t xml:space="preserve">P </t>
    </r>
    <r>
      <rPr>
        <sz val="12"/>
        <color indexed="8"/>
        <rFont val="Calibri"/>
        <family val="2"/>
      </rPr>
      <t>+ 0.06 C</t>
    </r>
    <r>
      <rPr>
        <vertAlign val="subscript"/>
        <sz val="12"/>
        <color indexed="8"/>
        <rFont val="Calibri"/>
        <family val="2"/>
      </rPr>
      <t xml:space="preserve">P </t>
    </r>
    <r>
      <rPr>
        <sz val="12"/>
        <color indexed="8"/>
        <rFont val="Calibri"/>
        <family val="2"/>
      </rPr>
      <t>lcb) /(4C</t>
    </r>
    <r>
      <rPr>
        <vertAlign val="subscript"/>
        <sz val="12"/>
        <color indexed="8"/>
        <rFont val="Calibri"/>
        <family val="2"/>
      </rPr>
      <t>P</t>
    </r>
    <r>
      <rPr>
        <sz val="12"/>
        <color indexed="8"/>
        <rFont val="Calibri"/>
        <family val="2"/>
      </rPr>
      <t>-1)}</t>
    </r>
  </si>
  <si>
    <r>
      <t>C</t>
    </r>
    <r>
      <rPr>
        <vertAlign val="subscript"/>
        <sz val="12"/>
        <color indexed="8"/>
        <rFont val="Calibri"/>
        <family val="2"/>
      </rPr>
      <t>12</t>
    </r>
  </si>
  <si>
    <r>
      <t>(T/L)</t>
    </r>
    <r>
      <rPr>
        <vertAlign val="superscript"/>
        <sz val="12"/>
        <color indexed="8"/>
        <rFont val="Calibri"/>
        <family val="2"/>
      </rPr>
      <t>0.2228446</t>
    </r>
    <r>
      <rPr>
        <sz val="12"/>
        <color indexed="8"/>
        <rFont val="Calibri"/>
        <family val="2"/>
      </rPr>
      <t>,</t>
    </r>
    <r>
      <rPr>
        <sz val="12"/>
        <color indexed="63"/>
        <rFont val="Calibri"/>
        <family val="2"/>
      </rPr>
      <t xml:space="preserve"> if T/L &gt; 0.05;
</t>
    </r>
    <r>
      <rPr>
        <sz val="12"/>
        <rFont val="Calibri"/>
        <family val="2"/>
      </rPr>
      <t>48.20 (T/L-0.02)</t>
    </r>
    <r>
      <rPr>
        <vertAlign val="superscript"/>
        <sz val="12"/>
        <rFont val="Calibri"/>
        <family val="2"/>
      </rPr>
      <t>2.078</t>
    </r>
    <r>
      <rPr>
        <sz val="12"/>
        <rFont val="Calibri"/>
        <family val="2"/>
      </rPr>
      <t xml:space="preserve"> + 0.479948</t>
    </r>
    <r>
      <rPr>
        <sz val="12"/>
        <color indexed="63"/>
        <rFont val="Calibri"/>
        <family val="2"/>
      </rPr>
      <t xml:space="preserve">, if
0.02&lt;T/L&lt;0.05;
</t>
    </r>
    <r>
      <rPr>
        <sz val="12"/>
        <rFont val="Calibri"/>
        <family val="2"/>
      </rPr>
      <t>0.479948</t>
    </r>
    <r>
      <rPr>
        <sz val="12"/>
        <color indexed="63"/>
        <rFont val="Calibri"/>
        <family val="2"/>
      </rPr>
      <t>, if T/L&lt;0.02</t>
    </r>
  </si>
  <si>
    <t>T/L=</t>
  </si>
  <si>
    <r>
      <t>C</t>
    </r>
    <r>
      <rPr>
        <vertAlign val="subscript"/>
        <sz val="12"/>
        <color indexed="8"/>
        <rFont val="Calibri"/>
        <family val="2"/>
      </rPr>
      <t>13</t>
    </r>
  </si>
  <si>
    <r>
      <t>1+0.003 Cstern</t>
    </r>
    <r>
      <rPr>
        <sz val="12"/>
        <color indexed="63"/>
        <rFont val="Calibri"/>
        <family val="2"/>
      </rPr>
      <t xml:space="preserve"> </t>
    </r>
  </si>
  <si>
    <t>Cstern=</t>
  </si>
  <si>
    <t>Wetted area of the hull</t>
  </si>
  <si>
    <t>S</t>
  </si>
  <si>
    <r>
      <t xml:space="preserve">L (2T+B) </t>
    </r>
    <r>
      <rPr>
        <sz val="12"/>
        <color indexed="8"/>
        <rFont val="Calibri"/>
        <family val="2"/>
      </rPr>
      <t>√C</t>
    </r>
    <r>
      <rPr>
        <vertAlign val="subscript"/>
        <sz val="12"/>
        <color indexed="8"/>
        <rFont val="Calibri"/>
        <family val="2"/>
      </rPr>
      <t>M</t>
    </r>
    <r>
      <rPr>
        <sz val="12"/>
        <color indexed="8"/>
        <rFont val="Calibri"/>
        <family val="2"/>
      </rPr>
      <t>(0.453 + 0.4425C</t>
    </r>
    <r>
      <rPr>
        <vertAlign val="subscript"/>
        <sz val="12"/>
        <color indexed="8"/>
        <rFont val="Calibri"/>
        <family val="2"/>
      </rPr>
      <t>B</t>
    </r>
    <r>
      <rPr>
        <sz val="12"/>
        <color indexed="8"/>
        <rFont val="Calibri"/>
        <family val="2"/>
      </rPr>
      <t xml:space="preserve"> -0.2862 C</t>
    </r>
    <r>
      <rPr>
        <vertAlign val="subscript"/>
        <sz val="12"/>
        <color indexed="8"/>
        <rFont val="Calibri"/>
        <family val="2"/>
      </rPr>
      <t>M</t>
    </r>
    <r>
      <rPr>
        <sz val="12"/>
        <color indexed="8"/>
        <rFont val="Calibri"/>
        <family val="2"/>
      </rPr>
      <t xml:space="preserve"> - 0.003467 B/T + 0.3696 C</t>
    </r>
    <r>
      <rPr>
        <vertAlign val="subscript"/>
        <sz val="12"/>
        <color indexed="8"/>
        <rFont val="Calibri"/>
        <family val="2"/>
      </rPr>
      <t>WP</t>
    </r>
    <r>
      <rPr>
        <sz val="12"/>
        <color indexed="8"/>
        <rFont val="Calibri"/>
        <family val="2"/>
      </rPr>
      <t>) + 2.38 A</t>
    </r>
    <r>
      <rPr>
        <vertAlign val="subscript"/>
        <sz val="12"/>
        <color indexed="8"/>
        <rFont val="Calibri"/>
        <family val="2"/>
      </rPr>
      <t>BT</t>
    </r>
    <r>
      <rPr>
        <sz val="12"/>
        <color indexed="8"/>
        <rFont val="Calibri"/>
        <family val="2"/>
      </rPr>
      <t>/C</t>
    </r>
    <r>
      <rPr>
        <vertAlign val="subscript"/>
        <sz val="12"/>
        <color indexed="8"/>
        <rFont val="Calibri"/>
        <family val="2"/>
      </rPr>
      <t>B</t>
    </r>
  </si>
  <si>
    <r>
      <t>A</t>
    </r>
    <r>
      <rPr>
        <vertAlign val="subscript"/>
        <sz val="12"/>
        <color indexed="8"/>
        <rFont val="Calibri"/>
        <family val="2"/>
      </rPr>
      <t>BT</t>
    </r>
  </si>
  <si>
    <t>2. Appendage Resistance</t>
  </si>
  <si>
    <r>
      <t>R</t>
    </r>
    <r>
      <rPr>
        <vertAlign val="subscript"/>
        <sz val="12"/>
        <color indexed="8"/>
        <rFont val="Calibri"/>
        <family val="2"/>
      </rPr>
      <t>APP</t>
    </r>
  </si>
  <si>
    <r>
      <t>0.5 ρ V</t>
    </r>
    <r>
      <rPr>
        <vertAlign val="superscript"/>
        <sz val="12"/>
        <color indexed="8"/>
        <rFont val="Calibri"/>
        <family val="2"/>
      </rPr>
      <t>2</t>
    </r>
    <r>
      <rPr>
        <sz val="12"/>
        <color indexed="8"/>
        <rFont val="Calibri"/>
        <family val="2"/>
      </rPr>
      <t xml:space="preserve"> S</t>
    </r>
    <r>
      <rPr>
        <vertAlign val="subscript"/>
        <sz val="12"/>
        <color indexed="8"/>
        <rFont val="Calibri"/>
        <family val="2"/>
      </rPr>
      <t xml:space="preserve">APP </t>
    </r>
    <r>
      <rPr>
        <sz val="12"/>
        <color indexed="8"/>
        <rFont val="Calibri"/>
        <family val="2"/>
      </rPr>
      <t>(1+k</t>
    </r>
    <r>
      <rPr>
        <vertAlign val="subscript"/>
        <sz val="12"/>
        <color indexed="8"/>
        <rFont val="Calibri"/>
        <family val="2"/>
      </rPr>
      <t>2</t>
    </r>
    <r>
      <rPr>
        <sz val="12"/>
        <color indexed="8"/>
        <rFont val="Calibri"/>
        <family val="2"/>
      </rPr>
      <t>)</t>
    </r>
    <r>
      <rPr>
        <vertAlign val="subscript"/>
        <sz val="12"/>
        <color indexed="8"/>
        <rFont val="Calibri"/>
        <family val="2"/>
      </rPr>
      <t>eq</t>
    </r>
    <r>
      <rPr>
        <sz val="12"/>
        <color indexed="8"/>
        <rFont val="Calibri"/>
        <family val="2"/>
      </rPr>
      <t xml:space="preserve"> C</t>
    </r>
    <r>
      <rPr>
        <vertAlign val="subscript"/>
        <sz val="12"/>
        <color indexed="8"/>
        <rFont val="Calibri"/>
        <family val="2"/>
      </rPr>
      <t>F</t>
    </r>
  </si>
  <si>
    <r>
      <t>S</t>
    </r>
    <r>
      <rPr>
        <vertAlign val="subscript"/>
        <sz val="12"/>
        <color indexed="8"/>
        <rFont val="Calibri"/>
        <family val="2"/>
      </rPr>
      <t>APP</t>
    </r>
  </si>
  <si>
    <t>Appendage resist. factor</t>
  </si>
  <si>
    <r>
      <t>1+k</t>
    </r>
    <r>
      <rPr>
        <vertAlign val="subscript"/>
        <sz val="12"/>
        <color indexed="8"/>
        <rFont val="Calibri"/>
        <family val="2"/>
      </rPr>
      <t>2</t>
    </r>
  </si>
  <si>
    <t>3. Wave Resistance</t>
  </si>
  <si>
    <r>
      <t>R</t>
    </r>
    <r>
      <rPr>
        <vertAlign val="subscript"/>
        <sz val="12"/>
        <color indexed="8"/>
        <rFont val="Calibri"/>
        <family val="2"/>
      </rPr>
      <t>W</t>
    </r>
  </si>
  <si>
    <r>
      <t>c</t>
    </r>
    <r>
      <rPr>
        <vertAlign val="subscript"/>
        <sz val="12"/>
        <color indexed="8"/>
        <rFont val="Calibri"/>
        <family val="2"/>
      </rPr>
      <t>1</t>
    </r>
    <r>
      <rPr>
        <sz val="12"/>
        <color indexed="8"/>
        <rFont val="Calibri"/>
        <family val="2"/>
      </rPr>
      <t>c</t>
    </r>
    <r>
      <rPr>
        <vertAlign val="subscript"/>
        <sz val="12"/>
        <color indexed="8"/>
        <rFont val="Calibri"/>
        <family val="2"/>
      </rPr>
      <t>2</t>
    </r>
    <r>
      <rPr>
        <sz val="12"/>
        <color indexed="8"/>
        <rFont val="Calibri"/>
        <family val="2"/>
      </rPr>
      <t>c</t>
    </r>
    <r>
      <rPr>
        <vertAlign val="subscript"/>
        <sz val="12"/>
        <color indexed="8"/>
        <rFont val="Calibri"/>
        <family val="2"/>
      </rPr>
      <t>5</t>
    </r>
    <r>
      <rPr>
        <sz val="12"/>
        <color indexed="8"/>
        <rFont val="Calibri"/>
        <family val="2"/>
      </rPr>
      <t xml:space="preserve"> ∇ ρ g exp{m</t>
    </r>
    <r>
      <rPr>
        <vertAlign val="subscript"/>
        <sz val="12"/>
        <color indexed="8"/>
        <rFont val="Calibri"/>
        <family val="2"/>
      </rPr>
      <t>1</t>
    </r>
    <r>
      <rPr>
        <sz val="12"/>
        <color indexed="8"/>
        <rFont val="Calibri"/>
        <family val="2"/>
      </rPr>
      <t>F</t>
    </r>
    <r>
      <rPr>
        <vertAlign val="subscript"/>
        <sz val="12"/>
        <color indexed="8"/>
        <rFont val="Calibri"/>
        <family val="2"/>
      </rPr>
      <t>n</t>
    </r>
    <r>
      <rPr>
        <vertAlign val="superscript"/>
        <sz val="12"/>
        <color indexed="8"/>
        <rFont val="Calibri"/>
        <family val="2"/>
      </rPr>
      <t>d</t>
    </r>
    <r>
      <rPr>
        <sz val="12"/>
        <color indexed="8"/>
        <rFont val="Calibri"/>
        <family val="2"/>
      </rPr>
      <t xml:space="preserve"> + m</t>
    </r>
    <r>
      <rPr>
        <vertAlign val="subscript"/>
        <sz val="12"/>
        <color indexed="8"/>
        <rFont val="Calibri"/>
        <family val="2"/>
      </rPr>
      <t>2</t>
    </r>
    <r>
      <rPr>
        <sz val="12"/>
        <color indexed="8"/>
        <rFont val="Calibri"/>
        <family val="2"/>
      </rPr>
      <t xml:space="preserve"> cos(λF</t>
    </r>
    <r>
      <rPr>
        <vertAlign val="subscript"/>
        <sz val="12"/>
        <color indexed="8"/>
        <rFont val="Calibri"/>
        <family val="2"/>
      </rPr>
      <t>n</t>
    </r>
    <r>
      <rPr>
        <vertAlign val="superscript"/>
        <sz val="12"/>
        <color indexed="8"/>
        <rFont val="Calibri"/>
        <family val="2"/>
      </rPr>
      <t>-2</t>
    </r>
    <r>
      <rPr>
        <sz val="12"/>
        <color indexed="8"/>
        <rFont val="Calibri"/>
        <family val="2"/>
      </rPr>
      <t>}</t>
    </r>
  </si>
  <si>
    <r>
      <t>F</t>
    </r>
    <r>
      <rPr>
        <vertAlign val="subscript"/>
        <sz val="12"/>
        <color indexed="8"/>
        <rFont val="Calibri"/>
        <family val="2"/>
      </rPr>
      <t>n</t>
    </r>
  </si>
  <si>
    <r>
      <t>c</t>
    </r>
    <r>
      <rPr>
        <vertAlign val="subscript"/>
        <sz val="12"/>
        <color indexed="8"/>
        <rFont val="Calibri"/>
        <family val="2"/>
      </rPr>
      <t>1</t>
    </r>
  </si>
  <si>
    <r>
      <t>2223105 c</t>
    </r>
    <r>
      <rPr>
        <vertAlign val="subscript"/>
        <sz val="12"/>
        <color indexed="8"/>
        <rFont val="Calibri"/>
        <family val="2"/>
      </rPr>
      <t>7</t>
    </r>
    <r>
      <rPr>
        <vertAlign val="superscript"/>
        <sz val="12"/>
        <color indexed="8"/>
        <rFont val="Calibri"/>
        <family val="2"/>
      </rPr>
      <t xml:space="preserve">3.78613 </t>
    </r>
    <r>
      <rPr>
        <sz val="12"/>
        <color indexed="8"/>
        <rFont val="Calibri"/>
        <family val="2"/>
      </rPr>
      <t>(T/B)</t>
    </r>
    <r>
      <rPr>
        <vertAlign val="superscript"/>
        <sz val="12"/>
        <color indexed="8"/>
        <rFont val="Calibri"/>
        <family val="2"/>
      </rPr>
      <t>1.07961</t>
    </r>
    <r>
      <rPr>
        <sz val="12"/>
        <color indexed="8"/>
        <rFont val="Calibri"/>
        <family val="2"/>
      </rPr>
      <t>(90-i</t>
    </r>
    <r>
      <rPr>
        <vertAlign val="subscript"/>
        <sz val="12"/>
        <color indexed="8"/>
        <rFont val="Calibri"/>
        <family val="2"/>
      </rPr>
      <t>E</t>
    </r>
    <r>
      <rPr>
        <sz val="12"/>
        <color indexed="8"/>
        <rFont val="Calibri"/>
        <family val="2"/>
      </rPr>
      <t>)</t>
    </r>
    <r>
      <rPr>
        <vertAlign val="superscript"/>
        <sz val="12"/>
        <color indexed="8"/>
        <rFont val="Calibri"/>
        <family val="2"/>
      </rPr>
      <t>-1.37656</t>
    </r>
  </si>
  <si>
    <t>T/B</t>
  </si>
  <si>
    <r>
      <t>c</t>
    </r>
    <r>
      <rPr>
        <vertAlign val="subscript"/>
        <sz val="12"/>
        <color indexed="8"/>
        <rFont val="Calibri"/>
        <family val="2"/>
      </rPr>
      <t>7</t>
    </r>
  </si>
  <si>
    <r>
      <rPr>
        <sz val="12"/>
        <rFont val="Calibri"/>
        <family val="2"/>
      </rPr>
      <t>0.229577(B / L)</t>
    </r>
    <r>
      <rPr>
        <vertAlign val="superscript"/>
        <sz val="12"/>
        <rFont val="Calibri"/>
        <family val="2"/>
      </rPr>
      <t>0.33333</t>
    </r>
    <r>
      <rPr>
        <sz val="12"/>
        <color indexed="63"/>
        <rFont val="Calibri"/>
        <family val="2"/>
      </rPr>
      <t xml:space="preserve">,  if B/L&lt;0.11;       </t>
    </r>
    <r>
      <rPr>
        <sz val="12"/>
        <rFont val="Calibri"/>
        <family val="2"/>
      </rPr>
      <t>B/L</t>
    </r>
    <r>
      <rPr>
        <sz val="12"/>
        <color indexed="63"/>
        <rFont val="Calibri"/>
        <family val="2"/>
      </rPr>
      <t xml:space="preserve"> , if 0.11&lt;B/L&lt;0.25;                                   </t>
    </r>
    <r>
      <rPr>
        <sz val="12"/>
        <rFont val="Calibri"/>
        <family val="2"/>
      </rPr>
      <t>0.5-0.0625 L/B</t>
    </r>
    <r>
      <rPr>
        <sz val="12"/>
        <color indexed="63"/>
        <rFont val="Calibri"/>
        <family val="2"/>
      </rPr>
      <t>, if B/L&gt;0.25</t>
    </r>
  </si>
  <si>
    <t>B/L</t>
  </si>
  <si>
    <r>
      <t>c</t>
    </r>
    <r>
      <rPr>
        <vertAlign val="subscript"/>
        <sz val="12"/>
        <color indexed="8"/>
        <rFont val="Calibri"/>
        <family val="2"/>
      </rPr>
      <t>2</t>
    </r>
  </si>
  <si>
    <r>
      <t>exp(−1.89√c</t>
    </r>
    <r>
      <rPr>
        <vertAlign val="subscript"/>
        <sz val="12"/>
        <color indexed="8"/>
        <rFont val="Calibri"/>
        <family val="2"/>
      </rPr>
      <t>3)</t>
    </r>
  </si>
  <si>
    <r>
      <t>c</t>
    </r>
    <r>
      <rPr>
        <vertAlign val="subscript"/>
        <sz val="12"/>
        <color indexed="8"/>
        <rFont val="Calibri"/>
        <family val="2"/>
      </rPr>
      <t>5</t>
    </r>
  </si>
  <si>
    <r>
      <t xml:space="preserve"> 1-0.8 A</t>
    </r>
    <r>
      <rPr>
        <vertAlign val="subscript"/>
        <sz val="12"/>
        <color indexed="8"/>
        <rFont val="Calibri"/>
        <family val="2"/>
      </rPr>
      <t>T</t>
    </r>
    <r>
      <rPr>
        <sz val="12"/>
        <color indexed="8"/>
        <rFont val="Calibri"/>
        <family val="2"/>
      </rPr>
      <t>/(BTC</t>
    </r>
    <r>
      <rPr>
        <vertAlign val="subscript"/>
        <sz val="12"/>
        <color indexed="8"/>
        <rFont val="Calibri"/>
        <family val="2"/>
      </rPr>
      <t>M</t>
    </r>
    <r>
      <rPr>
        <sz val="12"/>
        <color indexed="8"/>
        <rFont val="Calibri"/>
        <family val="2"/>
      </rPr>
      <t>)</t>
    </r>
  </si>
  <si>
    <t>λ</t>
  </si>
  <si>
    <r>
      <t>1.446C</t>
    </r>
    <r>
      <rPr>
        <vertAlign val="subscript"/>
        <sz val="12"/>
        <color indexed="8"/>
        <rFont val="Calibri"/>
        <family val="2"/>
      </rPr>
      <t>P</t>
    </r>
    <r>
      <rPr>
        <sz val="12"/>
        <color indexed="8"/>
        <rFont val="Calibri"/>
        <family val="2"/>
      </rPr>
      <t>-0.03 L/B,</t>
    </r>
    <r>
      <rPr>
        <sz val="12"/>
        <color indexed="63"/>
        <rFont val="Calibri"/>
        <family val="2"/>
      </rPr>
      <t xml:space="preserve"> if L/B &lt; 12;</t>
    </r>
    <r>
      <rPr>
        <sz val="12"/>
        <color indexed="8"/>
        <rFont val="Calibri"/>
        <family val="2"/>
      </rPr>
      <t xml:space="preserve">                    1.446C</t>
    </r>
    <r>
      <rPr>
        <vertAlign val="subscript"/>
        <sz val="12"/>
        <color indexed="8"/>
        <rFont val="Calibri"/>
        <family val="2"/>
      </rPr>
      <t>P</t>
    </r>
    <r>
      <rPr>
        <sz val="12"/>
        <color indexed="8"/>
        <rFont val="Calibri"/>
        <family val="2"/>
      </rPr>
      <t>-0.36,</t>
    </r>
    <r>
      <rPr>
        <sz val="12"/>
        <color indexed="63"/>
        <rFont val="Calibri"/>
        <family val="2"/>
      </rPr>
      <t xml:space="preserve"> if L/B&gt;12</t>
    </r>
  </si>
  <si>
    <t>L/B</t>
  </si>
  <si>
    <r>
      <t>m</t>
    </r>
    <r>
      <rPr>
        <vertAlign val="subscript"/>
        <sz val="12"/>
        <color indexed="8"/>
        <rFont val="Calibri"/>
        <family val="2"/>
      </rPr>
      <t>1</t>
    </r>
  </si>
  <si>
    <r>
      <t>0.0140407 L/T - 1.75254 ∇</t>
    </r>
    <r>
      <rPr>
        <vertAlign val="superscript"/>
        <sz val="12"/>
        <color indexed="8"/>
        <rFont val="Calibri"/>
        <family val="2"/>
      </rPr>
      <t>1/3</t>
    </r>
    <r>
      <rPr>
        <sz val="12"/>
        <color indexed="8"/>
        <rFont val="Calibri"/>
        <family val="2"/>
      </rPr>
      <t>/L - 4.79323B/L- c</t>
    </r>
    <r>
      <rPr>
        <vertAlign val="subscript"/>
        <sz val="12"/>
        <color indexed="8"/>
        <rFont val="Calibri"/>
        <family val="2"/>
      </rPr>
      <t>16</t>
    </r>
  </si>
  <si>
    <t>L/T</t>
  </si>
  <si>
    <r>
      <t>c</t>
    </r>
    <r>
      <rPr>
        <vertAlign val="subscript"/>
        <sz val="12"/>
        <color indexed="8"/>
        <rFont val="Calibri"/>
        <family val="2"/>
      </rPr>
      <t>16</t>
    </r>
  </si>
  <si>
    <r>
      <t>8.07981C</t>
    </r>
    <r>
      <rPr>
        <vertAlign val="subscript"/>
        <sz val="12"/>
        <color indexed="8"/>
        <rFont val="Calibri"/>
        <family val="2"/>
      </rPr>
      <t>P</t>
    </r>
    <r>
      <rPr>
        <sz val="12"/>
        <color indexed="8"/>
        <rFont val="Calibri"/>
        <family val="2"/>
      </rPr>
      <t>-13.8673C</t>
    </r>
    <r>
      <rPr>
        <vertAlign val="subscript"/>
        <sz val="12"/>
        <color indexed="8"/>
        <rFont val="Calibri"/>
        <family val="2"/>
      </rPr>
      <t>p</t>
    </r>
    <r>
      <rPr>
        <vertAlign val="superscript"/>
        <sz val="12"/>
        <color indexed="8"/>
        <rFont val="Calibri"/>
        <family val="2"/>
      </rPr>
      <t>2</t>
    </r>
    <r>
      <rPr>
        <sz val="12"/>
        <color indexed="8"/>
        <rFont val="Calibri"/>
        <family val="2"/>
      </rPr>
      <t>+6.984388C</t>
    </r>
    <r>
      <rPr>
        <vertAlign val="subscript"/>
        <sz val="12"/>
        <color indexed="8"/>
        <rFont val="Calibri"/>
        <family val="2"/>
      </rPr>
      <t>P</t>
    </r>
    <r>
      <rPr>
        <vertAlign val="superscript"/>
        <sz val="12"/>
        <color indexed="8"/>
        <rFont val="Calibri"/>
        <family val="2"/>
      </rPr>
      <t>3</t>
    </r>
    <r>
      <rPr>
        <sz val="12"/>
        <color indexed="8"/>
        <rFont val="Calibri"/>
        <family val="2"/>
      </rPr>
      <t>,</t>
    </r>
    <r>
      <rPr>
        <sz val="12"/>
        <color indexed="63"/>
        <rFont val="Calibri"/>
        <family val="2"/>
      </rPr>
      <t xml:space="preserve"> if Cp&lt;0.8</t>
    </r>
    <r>
      <rPr>
        <sz val="12"/>
        <color indexed="8"/>
        <rFont val="Calibri"/>
        <family val="2"/>
      </rPr>
      <t>; 1.73014-0.7067C</t>
    </r>
    <r>
      <rPr>
        <vertAlign val="subscript"/>
        <sz val="12"/>
        <color indexed="8"/>
        <rFont val="Calibri"/>
        <family val="2"/>
      </rPr>
      <t>P,</t>
    </r>
    <r>
      <rPr>
        <sz val="12"/>
        <color indexed="63"/>
        <rFont val="Calibri"/>
        <family val="2"/>
      </rPr>
      <t xml:space="preserve"> if CP &gt; 0.8</t>
    </r>
  </si>
  <si>
    <r>
      <t>C</t>
    </r>
    <r>
      <rPr>
        <vertAlign val="subscript"/>
        <sz val="12"/>
        <color indexed="8"/>
        <rFont val="Calibri"/>
        <family val="2"/>
      </rPr>
      <t>P</t>
    </r>
  </si>
  <si>
    <r>
      <t>m</t>
    </r>
    <r>
      <rPr>
        <vertAlign val="subscript"/>
        <sz val="12"/>
        <color indexed="8"/>
        <rFont val="Calibri"/>
        <family val="2"/>
      </rPr>
      <t>2</t>
    </r>
  </si>
  <si>
    <r>
      <t>c</t>
    </r>
    <r>
      <rPr>
        <vertAlign val="subscript"/>
        <sz val="12"/>
        <color indexed="8"/>
        <rFont val="Calibri"/>
        <family val="2"/>
      </rPr>
      <t>15</t>
    </r>
    <r>
      <rPr>
        <sz val="12"/>
        <color indexed="8"/>
        <rFont val="Calibri"/>
        <family val="2"/>
      </rPr>
      <t>C</t>
    </r>
    <r>
      <rPr>
        <vertAlign val="subscript"/>
        <sz val="12"/>
        <color indexed="8"/>
        <rFont val="Calibri"/>
        <family val="2"/>
      </rPr>
      <t>p</t>
    </r>
    <r>
      <rPr>
        <vertAlign val="superscript"/>
        <sz val="12"/>
        <color indexed="8"/>
        <rFont val="Calibri"/>
        <family val="2"/>
      </rPr>
      <t>2</t>
    </r>
    <r>
      <rPr>
        <sz val="12"/>
        <color indexed="8"/>
        <rFont val="Calibri"/>
        <family val="2"/>
      </rPr>
      <t xml:space="preserve"> exp(-0.1Fn</t>
    </r>
    <r>
      <rPr>
        <vertAlign val="superscript"/>
        <sz val="12"/>
        <color indexed="8"/>
        <rFont val="Calibri"/>
        <family val="2"/>
      </rPr>
      <t>-2</t>
    </r>
    <r>
      <rPr>
        <sz val="12"/>
        <color indexed="8"/>
        <rFont val="Calibri"/>
        <family val="2"/>
      </rPr>
      <t>)</t>
    </r>
  </si>
  <si>
    <r>
      <t>c</t>
    </r>
    <r>
      <rPr>
        <vertAlign val="subscript"/>
        <sz val="12"/>
        <color indexed="8"/>
        <rFont val="Calibri"/>
        <family val="2"/>
      </rPr>
      <t>15</t>
    </r>
  </si>
  <si>
    <r>
      <t xml:space="preserve">-1.69385 </t>
    </r>
    <r>
      <rPr>
        <sz val="12"/>
        <color indexed="63"/>
        <rFont val="Calibri"/>
        <family val="2"/>
      </rPr>
      <t>for L</t>
    </r>
    <r>
      <rPr>
        <vertAlign val="superscript"/>
        <sz val="12"/>
        <color indexed="63"/>
        <rFont val="Calibri"/>
        <family val="2"/>
      </rPr>
      <t>3</t>
    </r>
    <r>
      <rPr>
        <sz val="12"/>
        <color indexed="63"/>
        <rFont val="Calibri"/>
        <family val="2"/>
      </rPr>
      <t>/∇&lt;512</t>
    </r>
    <r>
      <rPr>
        <sz val="12"/>
        <color indexed="8"/>
        <rFont val="Calibri"/>
        <family val="2"/>
      </rPr>
      <t>; 0</t>
    </r>
    <r>
      <rPr>
        <sz val="12"/>
        <color indexed="63"/>
        <rFont val="Calibri"/>
        <family val="2"/>
      </rPr>
      <t xml:space="preserve"> for L</t>
    </r>
    <r>
      <rPr>
        <vertAlign val="superscript"/>
        <sz val="12"/>
        <color indexed="63"/>
        <rFont val="Calibri"/>
        <family val="2"/>
      </rPr>
      <t>3</t>
    </r>
    <r>
      <rPr>
        <sz val="12"/>
        <color indexed="63"/>
        <rFont val="Calibri"/>
        <family val="2"/>
      </rPr>
      <t>/∇&gt;1727</t>
    </r>
    <r>
      <rPr>
        <sz val="12"/>
        <color indexed="8"/>
        <rFont val="Calibri"/>
        <family val="2"/>
      </rPr>
      <t>; -1.69385+(L</t>
    </r>
    <r>
      <rPr>
        <vertAlign val="superscript"/>
        <sz val="12"/>
        <color indexed="8"/>
        <rFont val="Calibri"/>
        <family val="2"/>
      </rPr>
      <t>3</t>
    </r>
    <r>
      <rPr>
        <sz val="12"/>
        <color indexed="8"/>
        <rFont val="Calibri"/>
        <family val="2"/>
      </rPr>
      <t>/∇-8.0)/2.36</t>
    </r>
    <r>
      <rPr>
        <sz val="12"/>
        <color indexed="63"/>
        <rFont val="Calibri"/>
        <family val="2"/>
      </rPr>
      <t>if 512&lt;L</t>
    </r>
    <r>
      <rPr>
        <vertAlign val="superscript"/>
        <sz val="12"/>
        <color indexed="63"/>
        <rFont val="Calibri"/>
        <family val="2"/>
      </rPr>
      <t>3</t>
    </r>
    <r>
      <rPr>
        <sz val="12"/>
        <color indexed="63"/>
        <rFont val="Calibri"/>
        <family val="2"/>
      </rPr>
      <t>/∇&lt;1727</t>
    </r>
  </si>
  <si>
    <r>
      <t>L</t>
    </r>
    <r>
      <rPr>
        <vertAlign val="superscript"/>
        <sz val="12"/>
        <color indexed="8"/>
        <rFont val="Calibri"/>
        <family val="2"/>
      </rPr>
      <t>3</t>
    </r>
    <r>
      <rPr>
        <sz val="12"/>
        <color indexed="8"/>
        <rFont val="Calibri"/>
        <family val="2"/>
      </rPr>
      <t>/∇</t>
    </r>
  </si>
  <si>
    <t>d</t>
  </si>
  <si>
    <t>Half angle of entrance</t>
  </si>
  <si>
    <r>
      <t>i</t>
    </r>
    <r>
      <rPr>
        <vertAlign val="subscript"/>
        <sz val="12"/>
        <color indexed="8"/>
        <rFont val="Calibri"/>
        <family val="2"/>
      </rPr>
      <t>E</t>
    </r>
  </si>
  <si>
    <r>
      <t>c</t>
    </r>
    <r>
      <rPr>
        <vertAlign val="subscript"/>
        <sz val="12"/>
        <color indexed="8"/>
        <rFont val="Calibri"/>
        <family val="2"/>
      </rPr>
      <t>3</t>
    </r>
  </si>
  <si>
    <r>
      <t>0.56 A</t>
    </r>
    <r>
      <rPr>
        <vertAlign val="subscript"/>
        <sz val="12"/>
        <color indexed="8"/>
        <rFont val="Calibri"/>
        <family val="2"/>
      </rPr>
      <t xml:space="preserve">BT </t>
    </r>
    <r>
      <rPr>
        <vertAlign val="superscript"/>
        <sz val="12"/>
        <color indexed="8"/>
        <rFont val="Calibri"/>
        <family val="2"/>
      </rPr>
      <t>1.5</t>
    </r>
    <r>
      <rPr>
        <sz val="12"/>
        <color indexed="8"/>
        <rFont val="Calibri"/>
        <family val="2"/>
      </rPr>
      <t xml:space="preserve"> / {B T (0.31√A</t>
    </r>
    <r>
      <rPr>
        <vertAlign val="subscript"/>
        <sz val="12"/>
        <color indexed="8"/>
        <rFont val="Calibri"/>
        <family val="2"/>
      </rPr>
      <t>BT</t>
    </r>
    <r>
      <rPr>
        <sz val="12"/>
        <color indexed="8"/>
        <rFont val="Calibri"/>
        <family val="2"/>
      </rPr>
      <t>+T</t>
    </r>
    <r>
      <rPr>
        <vertAlign val="subscript"/>
        <sz val="12"/>
        <color indexed="8"/>
        <rFont val="Calibri"/>
        <family val="2"/>
      </rPr>
      <t>F</t>
    </r>
    <r>
      <rPr>
        <sz val="12"/>
        <color indexed="8"/>
        <rFont val="Calibri"/>
        <family val="2"/>
      </rPr>
      <t>-h</t>
    </r>
    <r>
      <rPr>
        <vertAlign val="subscript"/>
        <sz val="12"/>
        <color indexed="8"/>
        <rFont val="Calibri"/>
        <family val="2"/>
      </rPr>
      <t>B</t>
    </r>
    <r>
      <rPr>
        <sz val="12"/>
        <color indexed="8"/>
        <rFont val="Calibri"/>
        <family val="2"/>
      </rPr>
      <t>) }</t>
    </r>
  </si>
  <si>
    <r>
      <t>h</t>
    </r>
    <r>
      <rPr>
        <vertAlign val="subscript"/>
        <sz val="12"/>
        <color indexed="8"/>
        <rFont val="Calibri"/>
        <family val="2"/>
      </rPr>
      <t>B</t>
    </r>
  </si>
  <si>
    <t>4. Additional pressure resistance due
to bulbous bow</t>
  </si>
  <si>
    <r>
      <t>R</t>
    </r>
    <r>
      <rPr>
        <vertAlign val="subscript"/>
        <sz val="12"/>
        <color indexed="8"/>
        <rFont val="Calibri"/>
        <family val="2"/>
      </rPr>
      <t>B</t>
    </r>
  </si>
  <si>
    <r>
      <t>0.11 exp(-3P</t>
    </r>
    <r>
      <rPr>
        <vertAlign val="subscript"/>
        <sz val="12"/>
        <color indexed="8"/>
        <rFont val="Calibri"/>
        <family val="2"/>
      </rPr>
      <t>B</t>
    </r>
    <r>
      <rPr>
        <vertAlign val="superscript"/>
        <sz val="12"/>
        <color indexed="8"/>
        <rFont val="Calibri"/>
        <family val="2"/>
      </rPr>
      <t>-2</t>
    </r>
    <r>
      <rPr>
        <sz val="12"/>
        <color indexed="8"/>
        <rFont val="Calibri"/>
        <family val="2"/>
      </rPr>
      <t>) F</t>
    </r>
    <r>
      <rPr>
        <vertAlign val="subscript"/>
        <sz val="12"/>
        <color indexed="8"/>
        <rFont val="Calibri"/>
        <family val="2"/>
      </rPr>
      <t>ni</t>
    </r>
    <r>
      <rPr>
        <vertAlign val="superscript"/>
        <sz val="12"/>
        <color indexed="8"/>
        <rFont val="Calibri"/>
        <family val="2"/>
      </rPr>
      <t xml:space="preserve">3 </t>
    </r>
    <r>
      <rPr>
        <sz val="12"/>
        <color indexed="8"/>
        <rFont val="Calibri"/>
        <family val="2"/>
      </rPr>
      <t>A</t>
    </r>
    <r>
      <rPr>
        <vertAlign val="subscript"/>
        <sz val="12"/>
        <color indexed="8"/>
        <rFont val="Calibri"/>
        <family val="2"/>
      </rPr>
      <t xml:space="preserve">BT </t>
    </r>
    <r>
      <rPr>
        <sz val="12"/>
        <color indexed="8"/>
        <rFont val="Calibri"/>
        <family val="2"/>
      </rPr>
      <t>1.5 ρg/(1+F</t>
    </r>
    <r>
      <rPr>
        <vertAlign val="subscript"/>
        <sz val="12"/>
        <color indexed="8"/>
        <rFont val="Calibri"/>
        <family val="2"/>
      </rPr>
      <t>ni</t>
    </r>
    <r>
      <rPr>
        <vertAlign val="superscript"/>
        <sz val="12"/>
        <color indexed="8"/>
        <rFont val="Calibri"/>
        <family val="2"/>
      </rPr>
      <t>2</t>
    </r>
    <r>
      <rPr>
        <sz val="12"/>
        <color indexed="8"/>
        <rFont val="Calibri"/>
        <family val="2"/>
      </rPr>
      <t>)</t>
    </r>
  </si>
  <si>
    <r>
      <t>P</t>
    </r>
    <r>
      <rPr>
        <vertAlign val="subscript"/>
        <sz val="12"/>
        <color indexed="8"/>
        <rFont val="Calibri"/>
        <family val="2"/>
      </rPr>
      <t>B</t>
    </r>
  </si>
  <si>
    <r>
      <t>0.56 √A</t>
    </r>
    <r>
      <rPr>
        <vertAlign val="subscript"/>
        <sz val="12"/>
        <color indexed="8"/>
        <rFont val="Calibri"/>
        <family val="2"/>
      </rPr>
      <t>BT</t>
    </r>
    <r>
      <rPr>
        <sz val="12"/>
        <color indexed="8"/>
        <rFont val="Calibri"/>
        <family val="2"/>
      </rPr>
      <t xml:space="preserve"> / (T</t>
    </r>
    <r>
      <rPr>
        <vertAlign val="subscript"/>
        <sz val="12"/>
        <color indexed="8"/>
        <rFont val="Calibri"/>
        <family val="2"/>
      </rPr>
      <t xml:space="preserve">F </t>
    </r>
    <r>
      <rPr>
        <sz val="12"/>
        <color indexed="8"/>
        <rFont val="Calibri"/>
        <family val="2"/>
      </rPr>
      <t>- 1.5h</t>
    </r>
    <r>
      <rPr>
        <vertAlign val="subscript"/>
        <sz val="12"/>
        <color indexed="8"/>
        <rFont val="Calibri"/>
        <family val="2"/>
      </rPr>
      <t>B</t>
    </r>
    <r>
      <rPr>
        <sz val="12"/>
        <color indexed="8"/>
        <rFont val="Calibri"/>
        <family val="2"/>
      </rPr>
      <t>)</t>
    </r>
  </si>
  <si>
    <r>
      <t>F</t>
    </r>
    <r>
      <rPr>
        <vertAlign val="subscript"/>
        <sz val="12"/>
        <color indexed="8"/>
        <rFont val="Calibri"/>
        <family val="2"/>
      </rPr>
      <t>ni</t>
    </r>
  </si>
  <si>
    <r>
      <t>V / √{ g (T</t>
    </r>
    <r>
      <rPr>
        <vertAlign val="subscript"/>
        <sz val="12"/>
        <color indexed="8"/>
        <rFont val="Calibri"/>
        <family val="2"/>
      </rPr>
      <t>F</t>
    </r>
    <r>
      <rPr>
        <sz val="12"/>
        <color indexed="8"/>
        <rFont val="Calibri"/>
        <family val="2"/>
      </rPr>
      <t>-h</t>
    </r>
    <r>
      <rPr>
        <vertAlign val="subscript"/>
        <sz val="12"/>
        <color indexed="8"/>
        <rFont val="Calibri"/>
        <family val="2"/>
      </rPr>
      <t>B</t>
    </r>
    <r>
      <rPr>
        <sz val="12"/>
        <color indexed="8"/>
        <rFont val="Calibri"/>
        <family val="2"/>
      </rPr>
      <t>-0.25√A</t>
    </r>
    <r>
      <rPr>
        <vertAlign val="subscript"/>
        <sz val="12"/>
        <color indexed="8"/>
        <rFont val="Calibri"/>
        <family val="2"/>
      </rPr>
      <t>BT</t>
    </r>
    <r>
      <rPr>
        <sz val="12"/>
        <color indexed="8"/>
        <rFont val="Calibri"/>
        <family val="2"/>
      </rPr>
      <t>) + 0.15 V</t>
    </r>
    <r>
      <rPr>
        <vertAlign val="superscript"/>
        <sz val="12"/>
        <color indexed="8"/>
        <rFont val="Calibri"/>
        <family val="2"/>
      </rPr>
      <t xml:space="preserve">2 </t>
    </r>
    <r>
      <rPr>
        <sz val="12"/>
        <color indexed="8"/>
        <rFont val="Calibri"/>
        <family val="2"/>
      </rPr>
      <t>}</t>
    </r>
  </si>
  <si>
    <t>5. Additional pressure resistance of
immersed transom stern</t>
  </si>
  <si>
    <r>
      <t>R</t>
    </r>
    <r>
      <rPr>
        <vertAlign val="subscript"/>
        <sz val="12"/>
        <color indexed="8"/>
        <rFont val="Calibri"/>
        <family val="2"/>
      </rPr>
      <t>TR</t>
    </r>
  </si>
  <si>
    <r>
      <t>.5 ρ V</t>
    </r>
    <r>
      <rPr>
        <vertAlign val="superscript"/>
        <sz val="12"/>
        <color indexed="8"/>
        <rFont val="Calibri"/>
        <family val="2"/>
      </rPr>
      <t>2</t>
    </r>
    <r>
      <rPr>
        <sz val="12"/>
        <color indexed="8"/>
        <rFont val="Calibri"/>
        <family val="2"/>
      </rPr>
      <t xml:space="preserve"> A</t>
    </r>
    <r>
      <rPr>
        <vertAlign val="subscript"/>
        <sz val="12"/>
        <color indexed="8"/>
        <rFont val="Calibri"/>
        <family val="2"/>
      </rPr>
      <t>T</t>
    </r>
    <r>
      <rPr>
        <sz val="12"/>
        <color indexed="8"/>
        <rFont val="Calibri"/>
        <family val="2"/>
      </rPr>
      <t xml:space="preserve"> c</t>
    </r>
    <r>
      <rPr>
        <vertAlign val="subscript"/>
        <sz val="12"/>
        <color indexed="8"/>
        <rFont val="Calibri"/>
        <family val="2"/>
      </rPr>
      <t>6</t>
    </r>
  </si>
  <si>
    <r>
      <t>A</t>
    </r>
    <r>
      <rPr>
        <vertAlign val="subscript"/>
        <sz val="12"/>
        <color indexed="8"/>
        <rFont val="Calibri"/>
        <family val="2"/>
      </rPr>
      <t>T</t>
    </r>
  </si>
  <si>
    <r>
      <t>c</t>
    </r>
    <r>
      <rPr>
        <vertAlign val="subscript"/>
        <sz val="12"/>
        <color indexed="8"/>
        <rFont val="Calibri"/>
        <family val="2"/>
      </rPr>
      <t>6</t>
    </r>
  </si>
  <si>
    <r>
      <t>0.2 (1-0.2F</t>
    </r>
    <r>
      <rPr>
        <vertAlign val="subscript"/>
        <sz val="12"/>
        <color indexed="8"/>
        <rFont val="Calibri"/>
        <family val="2"/>
      </rPr>
      <t>nT</t>
    </r>
    <r>
      <rPr>
        <sz val="12"/>
        <color indexed="8"/>
        <rFont val="Calibri"/>
        <family val="2"/>
      </rPr>
      <t>),</t>
    </r>
    <r>
      <rPr>
        <sz val="12"/>
        <color indexed="63"/>
        <rFont val="Calibri"/>
        <family val="2"/>
      </rPr>
      <t xml:space="preserve"> if F</t>
    </r>
    <r>
      <rPr>
        <vertAlign val="subscript"/>
        <sz val="12"/>
        <color indexed="63"/>
        <rFont val="Calibri"/>
        <family val="2"/>
      </rPr>
      <t>nT</t>
    </r>
    <r>
      <rPr>
        <sz val="12"/>
        <color indexed="63"/>
        <rFont val="Calibri"/>
        <family val="2"/>
      </rPr>
      <t>&lt;5;</t>
    </r>
    <r>
      <rPr>
        <sz val="12"/>
        <color indexed="8"/>
        <rFont val="Calibri"/>
        <family val="2"/>
      </rPr>
      <t xml:space="preserve">    0,</t>
    </r>
    <r>
      <rPr>
        <sz val="12"/>
        <color indexed="63"/>
        <rFont val="Calibri"/>
        <family val="2"/>
      </rPr>
      <t xml:space="preserve"> if F</t>
    </r>
    <r>
      <rPr>
        <vertAlign val="subscript"/>
        <sz val="12"/>
        <color indexed="63"/>
        <rFont val="Calibri"/>
        <family val="2"/>
      </rPr>
      <t>nT</t>
    </r>
    <r>
      <rPr>
        <sz val="12"/>
        <color indexed="63"/>
        <rFont val="Calibri"/>
        <family val="2"/>
      </rPr>
      <t>≥5</t>
    </r>
  </si>
  <si>
    <r>
      <t>F</t>
    </r>
    <r>
      <rPr>
        <vertAlign val="subscript"/>
        <sz val="12"/>
        <color indexed="8"/>
        <rFont val="Calibri"/>
        <family val="2"/>
      </rPr>
      <t>nT</t>
    </r>
  </si>
  <si>
    <r>
      <t>V / √{ 2g A</t>
    </r>
    <r>
      <rPr>
        <vertAlign val="subscript"/>
        <sz val="12"/>
        <color indexed="8"/>
        <rFont val="Calibri"/>
        <family val="2"/>
      </rPr>
      <t>T</t>
    </r>
    <r>
      <rPr>
        <sz val="12"/>
        <color indexed="8"/>
        <rFont val="Calibri"/>
        <family val="2"/>
      </rPr>
      <t>/ (B+BC</t>
    </r>
    <r>
      <rPr>
        <vertAlign val="subscript"/>
        <sz val="12"/>
        <color indexed="8"/>
        <rFont val="Calibri"/>
        <family val="2"/>
      </rPr>
      <t>WP</t>
    </r>
    <r>
      <rPr>
        <sz val="12"/>
        <color indexed="8"/>
        <rFont val="Calibri"/>
        <family val="2"/>
      </rPr>
      <t>) }</t>
    </r>
  </si>
  <si>
    <t>6. Model-ship correlation resistance</t>
  </si>
  <si>
    <r>
      <t>R</t>
    </r>
    <r>
      <rPr>
        <vertAlign val="subscript"/>
        <sz val="12"/>
        <color indexed="8"/>
        <rFont val="Calibri"/>
        <family val="2"/>
      </rPr>
      <t>A</t>
    </r>
  </si>
  <si>
    <r>
      <t>0.5 ρ V</t>
    </r>
    <r>
      <rPr>
        <vertAlign val="superscript"/>
        <sz val="12"/>
        <color indexed="8"/>
        <rFont val="Calibri"/>
        <family val="2"/>
      </rPr>
      <t>2</t>
    </r>
    <r>
      <rPr>
        <sz val="12"/>
        <color indexed="8"/>
        <rFont val="Calibri"/>
        <family val="2"/>
      </rPr>
      <t xml:space="preserve"> S C</t>
    </r>
    <r>
      <rPr>
        <vertAlign val="subscript"/>
        <sz val="12"/>
        <color indexed="8"/>
        <rFont val="Calibri"/>
        <family val="2"/>
      </rPr>
      <t>A</t>
    </r>
  </si>
  <si>
    <r>
      <t>C</t>
    </r>
    <r>
      <rPr>
        <vertAlign val="subscript"/>
        <sz val="12"/>
        <color indexed="8"/>
        <rFont val="Calibri"/>
        <family val="2"/>
      </rPr>
      <t>A</t>
    </r>
  </si>
  <si>
    <r>
      <t>0.006 (L+100)</t>
    </r>
    <r>
      <rPr>
        <vertAlign val="superscript"/>
        <sz val="12"/>
        <color indexed="8"/>
        <rFont val="Calibri"/>
        <family val="2"/>
      </rPr>
      <t>-0.16</t>
    </r>
    <r>
      <rPr>
        <sz val="12"/>
        <color indexed="8"/>
        <rFont val="Calibri"/>
        <family val="2"/>
      </rPr>
      <t>- 0.00205 + 0.003 √(L/7.5) C</t>
    </r>
    <r>
      <rPr>
        <vertAlign val="subscript"/>
        <sz val="12"/>
        <color indexed="8"/>
        <rFont val="Calibri"/>
        <family val="2"/>
      </rPr>
      <t>B</t>
    </r>
    <r>
      <rPr>
        <vertAlign val="superscript"/>
        <sz val="12"/>
        <color indexed="8"/>
        <rFont val="Calibri"/>
        <family val="2"/>
      </rPr>
      <t>4</t>
    </r>
    <r>
      <rPr>
        <sz val="12"/>
        <color indexed="8"/>
        <rFont val="Calibri"/>
        <family val="2"/>
      </rPr>
      <t>c</t>
    </r>
    <r>
      <rPr>
        <vertAlign val="subscript"/>
        <sz val="12"/>
        <color indexed="8"/>
        <rFont val="Calibri"/>
        <family val="2"/>
      </rPr>
      <t xml:space="preserve">2 </t>
    </r>
    <r>
      <rPr>
        <sz val="12"/>
        <color indexed="8"/>
        <rFont val="Calibri"/>
        <family val="2"/>
      </rPr>
      <t>(0.04-c</t>
    </r>
    <r>
      <rPr>
        <vertAlign val="subscript"/>
        <sz val="12"/>
        <color indexed="8"/>
        <rFont val="Calibri"/>
        <family val="2"/>
      </rPr>
      <t>4</t>
    </r>
    <r>
      <rPr>
        <sz val="12"/>
        <color indexed="8"/>
        <rFont val="Calibri"/>
        <family val="2"/>
      </rPr>
      <t>)</t>
    </r>
  </si>
  <si>
    <r>
      <t>c</t>
    </r>
    <r>
      <rPr>
        <vertAlign val="subscript"/>
        <sz val="12"/>
        <color indexed="8"/>
        <rFont val="Calibri"/>
        <family val="2"/>
      </rPr>
      <t>4</t>
    </r>
  </si>
  <si>
    <r>
      <t>T</t>
    </r>
    <r>
      <rPr>
        <vertAlign val="subscript"/>
        <sz val="12"/>
        <color indexed="8"/>
        <rFont val="Calibri"/>
        <family val="2"/>
      </rPr>
      <t>F</t>
    </r>
    <r>
      <rPr>
        <sz val="12"/>
        <color indexed="8"/>
        <rFont val="Calibri"/>
        <family val="2"/>
      </rPr>
      <t xml:space="preserve">/L, </t>
    </r>
    <r>
      <rPr>
        <sz val="12"/>
        <color indexed="63"/>
        <rFont val="Calibri"/>
        <family val="2"/>
      </rPr>
      <t>when T</t>
    </r>
    <r>
      <rPr>
        <vertAlign val="subscript"/>
        <sz val="12"/>
        <color indexed="63"/>
        <rFont val="Calibri"/>
        <family val="2"/>
      </rPr>
      <t>F</t>
    </r>
    <r>
      <rPr>
        <sz val="12"/>
        <color indexed="63"/>
        <rFont val="Calibri"/>
        <family val="2"/>
      </rPr>
      <t xml:space="preserve">/L ≤ 0.04; </t>
    </r>
    <r>
      <rPr>
        <sz val="12"/>
        <color indexed="8"/>
        <rFont val="Calibri"/>
        <family val="2"/>
      </rPr>
      <t xml:space="preserve">                    0.04,</t>
    </r>
    <r>
      <rPr>
        <sz val="12"/>
        <color indexed="63"/>
        <rFont val="Calibri"/>
        <family val="2"/>
      </rPr>
      <t>when T</t>
    </r>
    <r>
      <rPr>
        <vertAlign val="subscript"/>
        <sz val="12"/>
        <color indexed="63"/>
        <rFont val="Calibri"/>
        <family val="2"/>
      </rPr>
      <t>F</t>
    </r>
    <r>
      <rPr>
        <sz val="12"/>
        <color indexed="63"/>
        <rFont val="Calibri"/>
        <family val="2"/>
      </rPr>
      <t>/L&gt;0.04</t>
    </r>
  </si>
  <si>
    <r>
      <t>T</t>
    </r>
    <r>
      <rPr>
        <vertAlign val="subscript"/>
        <sz val="12"/>
        <color indexed="8"/>
        <rFont val="Calibri"/>
        <family val="2"/>
      </rPr>
      <t>F</t>
    </r>
    <r>
      <rPr>
        <sz val="12"/>
        <color indexed="8"/>
        <rFont val="Calibri"/>
        <family val="2"/>
      </rPr>
      <t>/L</t>
    </r>
  </si>
  <si>
    <t>7.wind resitance</t>
  </si>
  <si>
    <r>
      <t>R</t>
    </r>
    <r>
      <rPr>
        <vertAlign val="subscript"/>
        <sz val="12"/>
        <color indexed="8"/>
        <rFont val="Calibri"/>
        <family val="2"/>
      </rPr>
      <t>wind</t>
    </r>
  </si>
  <si>
    <t>Total resistance</t>
  </si>
  <si>
    <r>
      <t>R</t>
    </r>
    <r>
      <rPr>
        <vertAlign val="subscript"/>
        <sz val="12"/>
        <color indexed="8"/>
        <rFont val="Calibri"/>
        <family val="2"/>
      </rPr>
      <t xml:space="preserve">T  </t>
    </r>
    <r>
      <rPr>
        <sz val="12"/>
        <color indexed="8"/>
        <rFont val="Calibri"/>
        <family val="2"/>
      </rPr>
      <t>=</t>
    </r>
  </si>
  <si>
    <r>
      <t xml:space="preserve"> R</t>
    </r>
    <r>
      <rPr>
        <vertAlign val="subscript"/>
        <sz val="12"/>
        <color indexed="8"/>
        <rFont val="Calibri"/>
        <family val="2"/>
      </rPr>
      <t>F</t>
    </r>
    <r>
      <rPr>
        <sz val="12"/>
        <color indexed="8"/>
        <rFont val="Calibri"/>
        <family val="2"/>
      </rPr>
      <t>(l +k</t>
    </r>
    <r>
      <rPr>
        <vertAlign val="subscript"/>
        <sz val="12"/>
        <color indexed="8"/>
        <rFont val="Calibri"/>
        <family val="2"/>
      </rPr>
      <t xml:space="preserve">l </t>
    </r>
    <r>
      <rPr>
        <sz val="12"/>
        <color indexed="8"/>
        <rFont val="Calibri"/>
        <family val="2"/>
      </rPr>
      <t>) +R</t>
    </r>
    <r>
      <rPr>
        <vertAlign val="subscript"/>
        <sz val="12"/>
        <color indexed="8"/>
        <rFont val="Calibri"/>
        <family val="2"/>
      </rPr>
      <t>wind</t>
    </r>
    <r>
      <rPr>
        <sz val="12"/>
        <color indexed="8"/>
        <rFont val="Calibri"/>
        <family val="2"/>
      </rPr>
      <t>+ R</t>
    </r>
    <r>
      <rPr>
        <vertAlign val="subscript"/>
        <sz val="12"/>
        <color indexed="8"/>
        <rFont val="Calibri"/>
        <family val="2"/>
      </rPr>
      <t>APP</t>
    </r>
    <r>
      <rPr>
        <sz val="12"/>
        <color indexed="8"/>
        <rFont val="Calibri"/>
        <family val="2"/>
      </rPr>
      <t xml:space="preserve"> + R</t>
    </r>
    <r>
      <rPr>
        <vertAlign val="subscript"/>
        <sz val="12"/>
        <color indexed="8"/>
        <rFont val="Calibri"/>
        <family val="2"/>
      </rPr>
      <t>w</t>
    </r>
    <r>
      <rPr>
        <sz val="12"/>
        <color indexed="8"/>
        <rFont val="Calibri"/>
        <family val="2"/>
      </rPr>
      <t xml:space="preserve"> + R</t>
    </r>
    <r>
      <rPr>
        <vertAlign val="subscript"/>
        <sz val="12"/>
        <color indexed="8"/>
        <rFont val="Calibri"/>
        <family val="2"/>
      </rPr>
      <t>B</t>
    </r>
    <r>
      <rPr>
        <sz val="12"/>
        <color indexed="8"/>
        <rFont val="Calibri"/>
        <family val="2"/>
      </rPr>
      <t xml:space="preserve"> + R</t>
    </r>
    <r>
      <rPr>
        <vertAlign val="subscript"/>
        <sz val="12"/>
        <color indexed="8"/>
        <rFont val="Calibri"/>
        <family val="2"/>
      </rPr>
      <t>TR</t>
    </r>
    <r>
      <rPr>
        <sz val="12"/>
        <color indexed="8"/>
        <rFont val="Calibri"/>
        <family val="2"/>
      </rPr>
      <t xml:space="preserve"> + R</t>
    </r>
    <r>
      <rPr>
        <vertAlign val="subscript"/>
        <sz val="12"/>
        <color indexed="8"/>
        <rFont val="Calibri"/>
        <family val="2"/>
      </rPr>
      <t xml:space="preserve">A  </t>
    </r>
  </si>
  <si>
    <t>Effective Power</t>
  </si>
  <si>
    <r>
      <t>P</t>
    </r>
    <r>
      <rPr>
        <vertAlign val="subscript"/>
        <sz val="12"/>
        <color indexed="8"/>
        <rFont val="Calibri"/>
        <family val="2"/>
      </rPr>
      <t>E</t>
    </r>
  </si>
  <si>
    <r>
      <t xml:space="preserve">    R</t>
    </r>
    <r>
      <rPr>
        <vertAlign val="subscript"/>
        <sz val="12"/>
        <color indexed="8"/>
        <rFont val="Calibri"/>
        <family val="2"/>
      </rPr>
      <t>T*</t>
    </r>
    <r>
      <rPr>
        <sz val="12"/>
        <color indexed="8"/>
        <rFont val="Calibri"/>
        <family val="2"/>
      </rPr>
      <t>V</t>
    </r>
  </si>
  <si>
    <t>KW</t>
  </si>
  <si>
    <t>HP</t>
  </si>
  <si>
    <t>Wake fraction</t>
  </si>
  <si>
    <t>w</t>
  </si>
  <si>
    <t>sheet 2</t>
  </si>
  <si>
    <t>Thrust deduction factor</t>
  </si>
  <si>
    <t>t</t>
  </si>
  <si>
    <t>Relative rotative effic.</t>
  </si>
  <si>
    <r>
      <rPr>
        <sz val="12"/>
        <color indexed="8"/>
        <rFont val="Calibri"/>
        <family val="2"/>
      </rPr>
      <t>ƞ</t>
    </r>
    <r>
      <rPr>
        <vertAlign val="subscript"/>
        <sz val="12"/>
        <color indexed="8"/>
        <rFont val="Calibri"/>
        <family val="2"/>
      </rPr>
      <t>R</t>
    </r>
  </si>
  <si>
    <t>Open water efficiency</t>
  </si>
  <si>
    <r>
      <t>ƞ</t>
    </r>
    <r>
      <rPr>
        <vertAlign val="subscript"/>
        <sz val="12"/>
        <color indexed="8"/>
        <rFont val="Calibri"/>
        <family val="2"/>
      </rPr>
      <t>o</t>
    </r>
  </si>
  <si>
    <t>1-w</t>
  </si>
  <si>
    <t>Hull efficiency</t>
  </si>
  <si>
    <r>
      <t>ƞ</t>
    </r>
    <r>
      <rPr>
        <sz val="10"/>
        <color indexed="8"/>
        <rFont val="Calibri"/>
        <family val="2"/>
      </rPr>
      <t>H</t>
    </r>
  </si>
  <si>
    <t>1- t</t>
  </si>
  <si>
    <t>QPC</t>
  </si>
  <si>
    <t>Delivered power</t>
  </si>
  <si>
    <r>
      <t>P</t>
    </r>
    <r>
      <rPr>
        <sz val="9"/>
        <color indexed="8"/>
        <rFont val="Calibri"/>
        <family val="2"/>
      </rPr>
      <t>D</t>
    </r>
  </si>
  <si>
    <t>kw</t>
  </si>
  <si>
    <t>Shaft efficiency</t>
  </si>
  <si>
    <t>Shaft power</t>
  </si>
  <si>
    <r>
      <t>P</t>
    </r>
    <r>
      <rPr>
        <vertAlign val="subscript"/>
        <sz val="12"/>
        <color indexed="8"/>
        <rFont val="Calibri"/>
        <family val="2"/>
      </rPr>
      <t>S</t>
    </r>
  </si>
  <si>
    <t>Gear efficiency</t>
  </si>
  <si>
    <t>Brake power</t>
  </si>
  <si>
    <t>Due to 15% MCR</t>
  </si>
  <si>
    <t>(approx)</t>
  </si>
  <si>
    <t>Propeller Shaft Arrangement</t>
  </si>
  <si>
    <t>Propeller RPM,N</t>
  </si>
  <si>
    <t>rpm</t>
  </si>
  <si>
    <t>Effective power, P</t>
  </si>
  <si>
    <t>Calculation of shaft diameter using theoretical formula</t>
  </si>
  <si>
    <r>
      <t xml:space="preserve">Angular velocity, </t>
    </r>
    <r>
      <rPr>
        <sz val="11"/>
        <color theme="1"/>
        <rFont val="Calibri"/>
        <family val="2"/>
      </rPr>
      <t>ꙍ=2πN/60</t>
    </r>
  </si>
  <si>
    <t>rad/sec</t>
  </si>
  <si>
    <r>
      <t>Torque, T=P/</t>
    </r>
    <r>
      <rPr>
        <sz val="11"/>
        <color theme="1"/>
        <rFont val="Calibri"/>
        <family val="2"/>
      </rPr>
      <t>ꙍ</t>
    </r>
  </si>
  <si>
    <t>Nm</t>
  </si>
  <si>
    <t>Allowable Stress</t>
  </si>
  <si>
    <r>
      <t>N/mm</t>
    </r>
    <r>
      <rPr>
        <vertAlign val="superscript"/>
        <sz val="11"/>
        <color indexed="8"/>
        <rFont val="Calibri"/>
        <family val="2"/>
      </rPr>
      <t>2</t>
    </r>
  </si>
  <si>
    <t>(Sir bolse class e 450)</t>
  </si>
  <si>
    <t>Factor of safety</t>
  </si>
  <si>
    <t>Working Stress</t>
  </si>
  <si>
    <r>
      <t>N/mm</t>
    </r>
    <r>
      <rPr>
        <vertAlign val="superscript"/>
        <sz val="11"/>
        <color indexed="8"/>
        <rFont val="Calibri"/>
        <family val="2"/>
        <scheme val="minor"/>
      </rPr>
      <t>2</t>
    </r>
  </si>
  <si>
    <r>
      <t>N/m</t>
    </r>
    <r>
      <rPr>
        <vertAlign val="superscript"/>
        <sz val="11"/>
        <color indexed="8"/>
        <rFont val="Calibri"/>
        <family val="2"/>
        <scheme val="minor"/>
      </rPr>
      <t>2</t>
    </r>
  </si>
  <si>
    <t>Allowable Stress,  τ=TC/J</t>
  </si>
  <si>
    <t>Radius, C=d/2</t>
  </si>
  <si>
    <r>
      <t>Polar moment of inertia, J=πd</t>
    </r>
    <r>
      <rPr>
        <vertAlign val="superscript"/>
        <sz val="11"/>
        <color theme="1"/>
        <rFont val="Calibri"/>
        <family val="2"/>
        <scheme val="minor"/>
      </rPr>
      <t>4</t>
    </r>
    <r>
      <rPr>
        <sz val="11"/>
        <color theme="1"/>
        <rFont val="Calibri"/>
        <family val="2"/>
        <scheme val="minor"/>
      </rPr>
      <t>/32</t>
    </r>
  </si>
  <si>
    <r>
      <t>Using the stress formula, d</t>
    </r>
    <r>
      <rPr>
        <vertAlign val="superscript"/>
        <sz val="11"/>
        <color theme="1"/>
        <rFont val="Calibri"/>
        <family val="2"/>
        <scheme val="minor"/>
      </rPr>
      <t>3</t>
    </r>
    <r>
      <rPr>
        <sz val="11"/>
        <color theme="1"/>
        <rFont val="Calibri"/>
        <family val="2"/>
        <scheme val="minor"/>
      </rPr>
      <t>=32T/2πτ</t>
    </r>
  </si>
  <si>
    <t>Diameter of the shaft, d</t>
  </si>
  <si>
    <t>mm</t>
  </si>
  <si>
    <t>Approximately</t>
  </si>
  <si>
    <t>Calculation using GL rule book (Part-1, Chapter-2, Section-4,C.2)</t>
  </si>
  <si>
    <t>(Part-1, Chapter-2, Section-4,C.2)</t>
  </si>
  <si>
    <t>Shaft Diameter</t>
  </si>
  <si>
    <r>
      <t>P</t>
    </r>
    <r>
      <rPr>
        <vertAlign val="subscript"/>
        <sz val="11"/>
        <color theme="1"/>
        <rFont val="Calibri"/>
        <family val="2"/>
        <scheme val="minor"/>
      </rPr>
      <t>W</t>
    </r>
    <r>
      <rPr>
        <sz val="11"/>
        <color theme="1"/>
        <rFont val="Calibri"/>
        <family val="2"/>
        <scheme val="minor"/>
      </rPr>
      <t xml:space="preserve"> (considering 2% gear loss and 3% shaft loss)</t>
    </r>
  </si>
  <si>
    <t>Tensile strength of shaft material (Forged Steel)</t>
  </si>
  <si>
    <r>
      <t>Material factor, C</t>
    </r>
    <r>
      <rPr>
        <vertAlign val="subscript"/>
        <sz val="11"/>
        <color theme="1"/>
        <rFont val="Calibri"/>
        <family val="2"/>
        <scheme val="minor"/>
      </rPr>
      <t>W</t>
    </r>
  </si>
  <si>
    <t>k (for propeller shafts with flange mounted and propeller is keyed to the tapered propeller shaft)</t>
  </si>
  <si>
    <t>F</t>
  </si>
  <si>
    <r>
      <t>1-(d</t>
    </r>
    <r>
      <rPr>
        <vertAlign val="subscript"/>
        <sz val="11"/>
        <color theme="1"/>
        <rFont val="Calibri"/>
        <family val="2"/>
        <scheme val="minor"/>
      </rPr>
      <t>i</t>
    </r>
    <r>
      <rPr>
        <sz val="11"/>
        <color theme="1"/>
        <rFont val="Calibri"/>
        <family val="2"/>
        <scheme val="minor"/>
      </rPr>
      <t>/d</t>
    </r>
    <r>
      <rPr>
        <vertAlign val="subscript"/>
        <sz val="11"/>
        <color theme="1"/>
        <rFont val="Calibri"/>
        <family val="2"/>
        <scheme val="minor"/>
      </rPr>
      <t>a</t>
    </r>
    <r>
      <rPr>
        <sz val="11"/>
        <color theme="1"/>
        <rFont val="Calibri"/>
        <family val="2"/>
        <scheme val="minor"/>
      </rPr>
      <t>)</t>
    </r>
    <r>
      <rPr>
        <vertAlign val="superscript"/>
        <sz val="11"/>
        <color theme="1"/>
        <rFont val="Calibri"/>
        <family val="2"/>
        <scheme val="minor"/>
      </rPr>
      <t>4</t>
    </r>
  </si>
  <si>
    <t>Taking</t>
  </si>
  <si>
    <t xml:space="preserve">       </t>
  </si>
  <si>
    <t>Twisting Angle (From "Elements of Mechanics of Materials" by G.A. Olsen at chapter: 5, article: 5-8)</t>
  </si>
  <si>
    <t>Here, length of the shaft is, L</t>
  </si>
  <si>
    <t>Polar moment of inertia, J=πd4/32</t>
  </si>
  <si>
    <r>
      <t>m</t>
    </r>
    <r>
      <rPr>
        <vertAlign val="superscript"/>
        <sz val="11"/>
        <color theme="1"/>
        <rFont val="Calibri"/>
        <family val="2"/>
        <scheme val="minor"/>
      </rPr>
      <t>4</t>
    </r>
  </si>
  <si>
    <t>Shearing modulus of elasticity, G</t>
  </si>
  <si>
    <t>Pa</t>
  </si>
  <si>
    <t>Twisting angle, θ=TL/GJ</t>
  </si>
  <si>
    <t>radian</t>
  </si>
  <si>
    <t>degree</t>
  </si>
  <si>
    <t xml:space="preserve">The twisting angle is .9160˚ which is less than 1˚ </t>
  </si>
  <si>
    <t>Minimum wall thickness</t>
  </si>
  <si>
    <t>(Part-1, Chapter-2, Section-4,D.3.2.3)</t>
  </si>
  <si>
    <t>Coupling</t>
  </si>
  <si>
    <t>(Part-1, Chapter-2, Section-4,D.2)</t>
  </si>
  <si>
    <t>The thickness of coupling flanges on the intermediate and thrust shafts and on the forward end of the propeller shaft must be equal to at least 20 % of the calculated diameter of the shaft.</t>
  </si>
  <si>
    <t>Thickness of the coupling</t>
  </si>
  <si>
    <t>Distance between bearings</t>
  </si>
  <si>
    <t>(Part-1, Chapter-2, Section-4,D.5.1)</t>
  </si>
  <si>
    <r>
      <t>K</t>
    </r>
    <r>
      <rPr>
        <vertAlign val="subscript"/>
        <sz val="11"/>
        <color rgb="FF000000"/>
        <rFont val="Calibri"/>
        <family val="2"/>
        <scheme val="minor"/>
      </rPr>
      <t>2</t>
    </r>
  </si>
  <si>
    <t>The maximum bearing spacing</t>
  </si>
  <si>
    <t>Stern tube bearing</t>
  </si>
  <si>
    <t>(Part-1, Chapter-2, Section-4,D.5.2.2)</t>
  </si>
  <si>
    <t>Length of after stern tube bearing</t>
  </si>
  <si>
    <t>Length of forward stern tube bearing</t>
  </si>
  <si>
    <t>Sl. No</t>
  </si>
  <si>
    <t>Description</t>
  </si>
  <si>
    <t>Mat.spec.</t>
  </si>
  <si>
    <t>No.OF component</t>
  </si>
  <si>
    <t>Cone nut</t>
  </si>
  <si>
    <t xml:space="preserve">M.B BS </t>
  </si>
  <si>
    <t>Cone nut securing screw</t>
  </si>
  <si>
    <t>Propeller key</t>
  </si>
  <si>
    <t> </t>
  </si>
  <si>
    <t>Propeller dia</t>
  </si>
  <si>
    <t>Aft. BRG . securing screw</t>
  </si>
  <si>
    <t>Cover plate securing screw</t>
  </si>
  <si>
    <t xml:space="preserve">STEEL BS </t>
  </si>
  <si>
    <t>Aft locking ring</t>
  </si>
  <si>
    <t>Cover plate</t>
  </si>
  <si>
    <t>Lock ring securing screw</t>
  </si>
  <si>
    <t>Forward locking ring</t>
  </si>
  <si>
    <t>Rubber bearing</t>
  </si>
  <si>
    <t>RUBBER</t>
  </si>
  <si>
    <t>Sterntube</t>
  </si>
  <si>
    <t>Tail shaft</t>
  </si>
  <si>
    <t>FORGED STEEL</t>
  </si>
  <si>
    <t>Forward gland housing</t>
  </si>
  <si>
    <t>G.M.BS</t>
  </si>
  <si>
    <t>Forward bearing</t>
  </si>
  <si>
    <t>Greasy packing</t>
  </si>
  <si>
    <t>GRAPHITE ASBESTOS</t>
  </si>
  <si>
    <t>3 TURNS</t>
  </si>
  <si>
    <t>Gland ring</t>
  </si>
  <si>
    <t xml:space="preserve">G.M.BS </t>
  </si>
  <si>
    <t>Gland studs and nuts</t>
  </si>
  <si>
    <t>M.B BS</t>
  </si>
  <si>
    <t>Coupling key</t>
  </si>
  <si>
    <t>Half coupling</t>
  </si>
  <si>
    <t>Backing washer</t>
  </si>
  <si>
    <t>Locking nut</t>
  </si>
  <si>
    <t xml:space="preserve">STEEL EnBS </t>
  </si>
  <si>
    <t>Sealing ring</t>
  </si>
  <si>
    <t>BS</t>
  </si>
  <si>
    <t>Fwd.BRG. securing screw</t>
  </si>
  <si>
    <t>Bearing lock ring</t>
  </si>
  <si>
    <t>Summary</t>
  </si>
  <si>
    <t>Items</t>
  </si>
  <si>
    <t>Dimensions</t>
  </si>
  <si>
    <t>150 mm</t>
  </si>
  <si>
    <t>mm.</t>
  </si>
  <si>
    <t>Twisting Angle</t>
  </si>
  <si>
    <r>
      <t>0.9160</t>
    </r>
    <r>
      <rPr>
        <vertAlign val="superscript"/>
        <sz val="12"/>
        <color theme="1"/>
        <rFont val="Calibri"/>
        <family val="2"/>
        <scheme val="minor"/>
      </rPr>
      <t xml:space="preserve"> 0</t>
    </r>
  </si>
  <si>
    <t>Minimum Wall thickness</t>
  </si>
  <si>
    <t>12 mm</t>
  </si>
  <si>
    <t>Maximum bearing spacing</t>
  </si>
  <si>
    <t>5520  mm</t>
  </si>
  <si>
    <t>Length of Stern tube bearing</t>
  </si>
  <si>
    <t xml:space="preserve">300 mm(after)       &amp;      120 (forward)     </t>
  </si>
  <si>
    <t>Thickness of coupling</t>
  </si>
  <si>
    <t xml:space="preserve"> 30mm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</si>
</sst>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0.0000"/>
  </numFmts>
  <fonts count="57">
    <font>
      <sz val="11"/>
      <color theme="1"/>
      <name val="Calibri"/>
      <family val="2"/>
      <scheme val="minor"/>
    </font>
    <font>
      <sz val="12"/>
      <color indexed="8"/>
      <name val="Calibri"/>
      <family val="2"/>
    </font>
    <font>
      <b/>
      <sz val="16"/>
      <name val="Calibri Light"/>
      <family val="1"/>
    </font>
    <font>
      <b/>
      <sz val="16"/>
      <color indexed="30"/>
      <name val="Calibri Light"/>
      <family val="1"/>
    </font>
    <font>
      <sz val="12"/>
      <name val="Calibri"/>
      <family val="2"/>
    </font>
    <font>
      <sz val="14"/>
      <color indexed="8"/>
      <name val="Times New Roman"/>
      <family val="1"/>
    </font>
    <font>
      <vertAlign val="subscript"/>
      <sz val="14"/>
      <color indexed="8"/>
      <name val="Times New Roman"/>
      <family val="1"/>
    </font>
    <font>
      <vertAlign val="superscript"/>
      <sz val="12"/>
      <color indexed="8"/>
      <name val="Calibri"/>
      <family val="2"/>
    </font>
    <font>
      <vertAlign val="subscript"/>
      <sz val="12"/>
      <color indexed="8"/>
      <name val="Calibri"/>
      <family val="2"/>
    </font>
    <font>
      <sz val="12"/>
      <color indexed="63"/>
      <name val="Calibri"/>
      <family val="2"/>
    </font>
    <font>
      <vertAlign val="superscript"/>
      <sz val="12"/>
      <name val="Calibri"/>
      <family val="2"/>
    </font>
    <font>
      <vertAlign val="superscript"/>
      <sz val="12"/>
      <color indexed="63"/>
      <name val="Calibri"/>
      <family val="2"/>
    </font>
    <font>
      <vertAlign val="subscript"/>
      <sz val="12"/>
      <color indexed="63"/>
      <name val="Calibri"/>
      <family val="2"/>
    </font>
    <font>
      <sz val="12"/>
      <name val="Times New Roman"/>
      <family val="1"/>
    </font>
    <font>
      <sz val="10"/>
      <color indexed="8"/>
      <name val="Calibri"/>
      <family val="2"/>
    </font>
    <font>
      <sz val="9"/>
      <color indexed="8"/>
      <name val="Calibri"/>
      <family val="2"/>
    </font>
    <font>
      <b/>
      <sz val="9"/>
      <color indexed="81"/>
      <name val="Tahoma"/>
      <family val="2"/>
    </font>
    <font>
      <sz val="9"/>
      <color indexed="81"/>
      <name val="Tahoma"/>
      <family val="2"/>
    </font>
    <font>
      <vertAlign val="superscript"/>
      <sz val="11"/>
      <color indexed="8"/>
      <name val="Calibri"/>
      <family val="2"/>
    </font>
    <font>
      <sz val="12"/>
      <color theme="1"/>
      <name val="Calibri"/>
      <family val="2"/>
      <scheme val="minor"/>
    </font>
    <font>
      <sz val="14"/>
      <name val="Calibri Light"/>
      <family val="1"/>
      <scheme val="major"/>
    </font>
    <font>
      <b/>
      <sz val="14"/>
      <color rgb="FF008000"/>
      <name val="Calibri"/>
      <family val="2"/>
      <scheme val="minor"/>
    </font>
    <font>
      <sz val="14"/>
      <color rgb="FF000000"/>
      <name val="Times New Roman"/>
      <family val="1"/>
    </font>
    <font>
      <b/>
      <sz val="14"/>
      <color rgb="FF006600"/>
      <name val="Calibri"/>
      <family val="2"/>
      <scheme val="minor"/>
    </font>
    <font>
      <b/>
      <sz val="14"/>
      <color rgb="FF006600"/>
      <name val="Times New Roman"/>
      <family val="1"/>
    </font>
    <font>
      <sz val="14"/>
      <color theme="1"/>
      <name val="Calibri"/>
      <family val="2"/>
      <scheme val="minor"/>
    </font>
    <font>
      <sz val="12"/>
      <name val="Calibri"/>
      <family val="2"/>
      <scheme val="minor"/>
    </font>
    <font>
      <b/>
      <sz val="16"/>
      <name val="Calibri Light"/>
      <family val="1"/>
      <scheme val="major"/>
    </font>
    <font>
      <i/>
      <sz val="14"/>
      <name val="Calibri"/>
      <family val="2"/>
      <scheme val="minor"/>
    </font>
    <font>
      <sz val="12"/>
      <color theme="1"/>
      <name val="Calibri"/>
      <family val="2"/>
    </font>
    <font>
      <sz val="12"/>
      <color rgb="FF0070C0"/>
      <name val="Calibri"/>
      <family val="2"/>
      <scheme val="minor"/>
    </font>
    <font>
      <sz val="12"/>
      <color theme="1" tint="0.34998626667073579"/>
      <name val="Calibri"/>
      <family val="2"/>
      <scheme val="minor"/>
    </font>
    <font>
      <sz val="12"/>
      <color rgb="FF000000"/>
      <name val="Calibri"/>
      <family val="2"/>
      <scheme val="minor"/>
    </font>
    <font>
      <b/>
      <sz val="14"/>
      <color theme="1"/>
      <name val="Calibri"/>
      <family val="2"/>
      <scheme val="minor"/>
    </font>
    <font>
      <sz val="11"/>
      <color theme="1"/>
      <name val="Calibri"/>
      <family val="2"/>
    </font>
    <font>
      <sz val="14"/>
      <color theme="1"/>
      <name val="Times New Roman"/>
      <family val="1"/>
    </font>
    <font>
      <i/>
      <sz val="14"/>
      <color theme="1"/>
      <name val="Times New Roman"/>
      <family val="1"/>
    </font>
    <font>
      <b/>
      <sz val="14"/>
      <color theme="1"/>
      <name val="Times New Roman"/>
      <family val="1"/>
    </font>
    <font>
      <b/>
      <sz val="16"/>
      <color rgb="FF008000"/>
      <name val="Calibri"/>
      <family val="2"/>
      <scheme val="minor"/>
    </font>
    <font>
      <b/>
      <sz val="18"/>
      <color theme="1"/>
      <name val="Calibri"/>
      <family val="2"/>
      <scheme val="minor"/>
    </font>
    <font>
      <sz val="11"/>
      <name val="Calibri"/>
      <family val="2"/>
      <scheme val="minor"/>
    </font>
    <font>
      <vertAlign val="superscript"/>
      <sz val="11"/>
      <color indexed="8"/>
      <name val="Calibri"/>
      <family val="2"/>
      <scheme val="minor"/>
    </font>
    <font>
      <vertAlign val="superscript"/>
      <sz val="11"/>
      <color theme="1"/>
      <name val="Calibri"/>
      <family val="2"/>
      <scheme val="minor"/>
    </font>
    <font>
      <vertAlign val="subscript"/>
      <sz val="11"/>
      <color theme="1"/>
      <name val="Calibri"/>
      <family val="2"/>
      <scheme val="minor"/>
    </font>
    <font>
      <sz val="14"/>
      <color rgb="FF000000"/>
      <name val="Calibri"/>
      <family val="2"/>
      <scheme val="minor"/>
    </font>
    <font>
      <sz val="11"/>
      <color rgb="FF000000"/>
      <name val="Calibri"/>
      <family val="2"/>
      <scheme val="minor"/>
    </font>
    <font>
      <vertAlign val="subscript"/>
      <sz val="11"/>
      <color rgb="FF000000"/>
      <name val="Calibri"/>
      <family val="2"/>
      <scheme val="minor"/>
    </font>
    <font>
      <b/>
      <sz val="11"/>
      <name val="Calibri"/>
      <family val="2"/>
      <scheme val="minor"/>
    </font>
    <font>
      <sz val="11"/>
      <color rgb="FF000000"/>
      <name val="Calibri"/>
      <family val="2"/>
    </font>
    <font>
      <sz val="11"/>
      <name val="Calibri"/>
      <family val="2"/>
    </font>
    <font>
      <b/>
      <sz val="14"/>
      <color rgb="FF000000"/>
      <name val="Calibri"/>
      <family val="2"/>
    </font>
    <font>
      <b/>
      <sz val="14"/>
      <color theme="1"/>
      <name val="Calibri"/>
      <family val="2"/>
    </font>
    <font>
      <sz val="11"/>
      <color theme="1"/>
      <name val="Calibri"/>
      <family val="2"/>
      <scheme val="minor"/>
    </font>
    <font>
      <vertAlign val="superscript"/>
      <sz val="12"/>
      <color theme="1"/>
      <name val="Calibri"/>
      <family val="2"/>
      <scheme val="minor"/>
    </font>
    <font>
      <b/>
      <sz val="22"/>
      <color theme="1"/>
      <name val="Calibri"/>
      <family val="2"/>
      <scheme val="minor"/>
    </font>
    <font>
      <sz val="22"/>
      <color theme="1"/>
      <name val="Calibri"/>
      <family val="2"/>
      <scheme val="minor"/>
    </font>
    <font>
      <b/>
      <sz val="12"/>
      <color theme="1"/>
      <name val="Calibri"/>
      <family val="2"/>
      <scheme val="minor"/>
    </font>
  </fonts>
  <fills count="9">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DDEBF7"/>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2">
    <xf numFmtId="0" fontId="0" fillId="0" borderId="0"/>
    <xf numFmtId="43" fontId="52" fillId="0" borderId="0" applyFont="0" applyFill="0" applyBorder="0" applyAlignment="0" applyProtection="0"/>
  </cellStyleXfs>
  <cellXfs count="133">
    <xf numFmtId="0" fontId="0" fillId="0" borderId="0" xfId="0"/>
    <xf numFmtId="0" fontId="19" fillId="0" borderId="0" xfId="0" applyFont="1" applyAlignment="1">
      <alignment horizontal="right" vertical="center"/>
    </xf>
    <xf numFmtId="0" fontId="19" fillId="0" borderId="0" xfId="0" applyFont="1" applyAlignment="1">
      <alignment horizontal="center" vertical="center"/>
    </xf>
    <xf numFmtId="0" fontId="20" fillId="0" borderId="0" xfId="0" applyFont="1" applyAlignment="1">
      <alignment vertical="center" wrapText="1"/>
    </xf>
    <xf numFmtId="0" fontId="21" fillId="0" borderId="0" xfId="0" applyFont="1" applyAlignment="1">
      <alignment horizontal="center" vertical="center"/>
    </xf>
    <xf numFmtId="0" fontId="22" fillId="0" borderId="0" xfId="0" applyFont="1" applyAlignment="1">
      <alignment horizontal="right" vertical="center"/>
    </xf>
    <xf numFmtId="164" fontId="19" fillId="0" borderId="0" xfId="0" applyNumberFormat="1" applyFont="1" applyAlignment="1">
      <alignment horizontal="center" vertical="center"/>
    </xf>
    <xf numFmtId="0" fontId="23" fillId="0" borderId="0" xfId="0" applyFont="1" applyAlignment="1">
      <alignment horizontal="center" vertical="center"/>
    </xf>
    <xf numFmtId="0" fontId="22" fillId="0" borderId="0" xfId="0" applyFont="1" applyAlignment="1">
      <alignment vertical="center"/>
    </xf>
    <xf numFmtId="0" fontId="24" fillId="0" borderId="0" xfId="0" applyFont="1" applyAlignment="1">
      <alignment horizontal="center" vertical="center"/>
    </xf>
    <xf numFmtId="0" fontId="19" fillId="0" borderId="0" xfId="0" applyFont="1" applyAlignment="1">
      <alignment horizontal="left" vertical="center"/>
    </xf>
    <xf numFmtId="0" fontId="19" fillId="0" borderId="0" xfId="0" applyFont="1" applyAlignment="1">
      <alignment horizontal="left" vertical="center" wrapText="1"/>
    </xf>
    <xf numFmtId="0" fontId="25" fillId="0" borderId="0" xfId="0" applyFont="1" applyAlignment="1">
      <alignment horizontal="center" vertical="center"/>
    </xf>
    <xf numFmtId="0" fontId="26" fillId="0" borderId="0" xfId="0" applyFont="1" applyAlignment="1">
      <alignment vertical="center"/>
    </xf>
    <xf numFmtId="0" fontId="19" fillId="0" borderId="0" xfId="0" applyFont="1" applyAlignment="1">
      <alignment vertical="center"/>
    </xf>
    <xf numFmtId="0" fontId="27" fillId="0" borderId="0" xfId="0" applyFont="1" applyAlignment="1">
      <alignment vertical="top" wrapText="1"/>
    </xf>
    <xf numFmtId="0" fontId="21" fillId="0" borderId="1" xfId="0" applyFont="1" applyBorder="1" applyAlignment="1">
      <alignment horizontal="center" vertical="center"/>
    </xf>
    <xf numFmtId="0" fontId="19" fillId="2" borderId="1" xfId="0" applyFont="1" applyFill="1" applyBorder="1" applyAlignment="1" applyProtection="1">
      <alignment horizontal="center" vertical="center"/>
      <protection locked="0"/>
    </xf>
    <xf numFmtId="0" fontId="19" fillId="0" borderId="1" xfId="0" applyFont="1" applyBorder="1" applyAlignment="1">
      <alignment horizontal="center" vertical="center"/>
    </xf>
    <xf numFmtId="164" fontId="19" fillId="0" borderId="1" xfId="0" applyNumberFormat="1" applyFont="1" applyBorder="1" applyAlignment="1">
      <alignment horizontal="center" vertical="center"/>
    </xf>
    <xf numFmtId="49" fontId="19" fillId="0" borderId="1" xfId="0" applyNumberFormat="1" applyFont="1" applyBorder="1" applyAlignment="1">
      <alignment horizontal="center" vertical="center"/>
    </xf>
    <xf numFmtId="164" fontId="19" fillId="2" borderId="1" xfId="0" applyNumberFormat="1" applyFont="1" applyFill="1" applyBorder="1" applyAlignment="1" applyProtection="1">
      <alignment horizontal="center" vertical="center"/>
      <protection locked="0"/>
    </xf>
    <xf numFmtId="0" fontId="28" fillId="3" borderId="1" xfId="0" applyFont="1" applyFill="1" applyBorder="1" applyAlignment="1">
      <alignment horizontal="right" vertical="center"/>
    </xf>
    <xf numFmtId="0" fontId="19" fillId="3" borderId="1" xfId="0" applyFont="1" applyFill="1" applyBorder="1" applyAlignment="1">
      <alignment horizontal="center" vertical="center"/>
    </xf>
    <xf numFmtId="164" fontId="13" fillId="3" borderId="1" xfId="0" applyNumberFormat="1" applyFont="1" applyFill="1" applyBorder="1" applyAlignment="1">
      <alignment horizontal="center" vertical="center"/>
    </xf>
    <xf numFmtId="0" fontId="19" fillId="0" borderId="1" xfId="0" applyFont="1" applyBorder="1" applyAlignment="1">
      <alignment horizontal="right" vertical="center"/>
    </xf>
    <xf numFmtId="0" fontId="19" fillId="4" borderId="1" xfId="0" applyFont="1" applyFill="1" applyBorder="1" applyAlignment="1">
      <alignment horizontal="center" vertical="center"/>
    </xf>
    <xf numFmtId="0" fontId="19" fillId="0" borderId="1" xfId="0" applyFont="1" applyBorder="1" applyAlignment="1">
      <alignment horizontal="left" vertical="center"/>
    </xf>
    <xf numFmtId="0" fontId="19" fillId="2" borderId="1" xfId="0" applyFont="1" applyFill="1" applyBorder="1" applyAlignment="1">
      <alignment horizontal="center" vertical="center"/>
    </xf>
    <xf numFmtId="0" fontId="19" fillId="0" borderId="1" xfId="0" applyFont="1" applyBorder="1" applyAlignment="1">
      <alignment vertical="center"/>
    </xf>
    <xf numFmtId="0" fontId="29" fillId="0" borderId="1" xfId="0" applyFont="1" applyBorder="1" applyAlignment="1">
      <alignment horizontal="center" vertical="center"/>
    </xf>
    <xf numFmtId="0" fontId="19" fillId="5" borderId="1" xfId="0" applyFont="1" applyFill="1" applyBorder="1" applyAlignment="1">
      <alignment horizontal="right" vertical="center"/>
    </xf>
    <xf numFmtId="0" fontId="19" fillId="5" borderId="1" xfId="0" applyFont="1" applyFill="1" applyBorder="1" applyAlignment="1">
      <alignment horizontal="center" vertical="center"/>
    </xf>
    <xf numFmtId="0" fontId="19" fillId="5" borderId="1" xfId="0" applyFont="1" applyFill="1" applyBorder="1" applyAlignment="1">
      <alignment horizontal="left" vertical="center"/>
    </xf>
    <xf numFmtId="0" fontId="30" fillId="3" borderId="1" xfId="0" applyFont="1" applyFill="1" applyBorder="1" applyAlignment="1">
      <alignment horizontal="right" vertical="center" wrapText="1"/>
    </xf>
    <xf numFmtId="0" fontId="19" fillId="3" borderId="1" xfId="0" applyFont="1" applyFill="1" applyBorder="1" applyAlignment="1">
      <alignment horizontal="left" vertical="center"/>
    </xf>
    <xf numFmtId="164" fontId="19" fillId="3" borderId="1" xfId="0" applyNumberFormat="1" applyFont="1" applyFill="1" applyBorder="1" applyAlignment="1">
      <alignment horizontal="center" vertical="center"/>
    </xf>
    <xf numFmtId="0" fontId="19" fillId="0" borderId="1" xfId="0" applyFont="1" applyBorder="1" applyAlignment="1">
      <alignment horizontal="left" vertical="center" wrapText="1"/>
    </xf>
    <xf numFmtId="0" fontId="30" fillId="3" borderId="1" xfId="0" applyFont="1" applyFill="1" applyBorder="1" applyAlignment="1">
      <alignment horizontal="right" vertical="center"/>
    </xf>
    <xf numFmtId="0" fontId="31" fillId="0" borderId="1" xfId="0" applyFont="1" applyBorder="1" applyAlignment="1">
      <alignment horizontal="left" vertical="center" wrapText="1"/>
    </xf>
    <xf numFmtId="0" fontId="19" fillId="0" borderId="1" xfId="0" quotePrefix="1" applyFont="1" applyBorder="1" applyAlignment="1">
      <alignment horizontal="left" vertical="center" wrapText="1"/>
    </xf>
    <xf numFmtId="164" fontId="19" fillId="0" borderId="0" xfId="0" applyNumberFormat="1" applyFont="1" applyAlignment="1" applyProtection="1">
      <alignment horizontal="center" vertical="center"/>
      <protection locked="0"/>
    </xf>
    <xf numFmtId="0" fontId="32" fillId="3" borderId="1" xfId="0" applyFont="1" applyFill="1" applyBorder="1" applyAlignment="1">
      <alignment horizontal="center" vertical="center"/>
    </xf>
    <xf numFmtId="0" fontId="32" fillId="0" borderId="1" xfId="0" applyFont="1" applyBorder="1" applyAlignment="1">
      <alignment horizontal="center" vertical="center"/>
    </xf>
    <xf numFmtId="11" fontId="19" fillId="0" borderId="1" xfId="0" applyNumberFormat="1" applyFont="1" applyBorder="1" applyAlignment="1">
      <alignment horizontal="center" vertical="center"/>
    </xf>
    <xf numFmtId="0" fontId="32" fillId="0" borderId="1" xfId="0" applyFont="1" applyBorder="1" applyAlignment="1">
      <alignment horizontal="left" vertical="center" wrapText="1"/>
    </xf>
    <xf numFmtId="0" fontId="26" fillId="0" borderId="1" xfId="0" applyFont="1" applyBorder="1" applyAlignment="1">
      <alignment horizontal="right" vertical="center"/>
    </xf>
    <xf numFmtId="0" fontId="19" fillId="0" borderId="2" xfId="0" applyFont="1" applyBorder="1" applyAlignment="1">
      <alignment horizontal="center" vertical="center"/>
    </xf>
    <xf numFmtId="0" fontId="19" fillId="3" borderId="2" xfId="0" applyFont="1" applyFill="1" applyBorder="1" applyAlignment="1">
      <alignment horizontal="center" vertical="center"/>
    </xf>
    <xf numFmtId="0" fontId="26" fillId="0" borderId="1" xfId="0" applyFont="1" applyBorder="1" applyAlignment="1">
      <alignment horizontal="center" vertical="center"/>
    </xf>
    <xf numFmtId="0" fontId="19" fillId="0" borderId="3" xfId="0" applyFont="1" applyBorder="1" applyAlignment="1">
      <alignment horizontal="center" vertical="center"/>
    </xf>
    <xf numFmtId="0" fontId="33" fillId="0" borderId="0" xfId="0" applyFont="1"/>
    <xf numFmtId="0" fontId="33" fillId="0" borderId="4" xfId="0" applyFont="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36" fillId="0" borderId="0" xfId="0" applyFont="1"/>
    <xf numFmtId="0" fontId="35" fillId="0" borderId="0" xfId="0" applyFont="1" applyAlignment="1">
      <alignment vertical="center"/>
    </xf>
    <xf numFmtId="0" fontId="36" fillId="0" borderId="0" xfId="0" applyFont="1" applyAlignment="1">
      <alignment vertical="center"/>
    </xf>
    <xf numFmtId="0" fontId="37" fillId="0" borderId="0" xfId="0" applyFont="1" applyAlignment="1">
      <alignment vertical="center"/>
    </xf>
    <xf numFmtId="0" fontId="0" fillId="0" borderId="0" xfId="0" applyAlignment="1">
      <alignment horizontal="left" vertical="center"/>
    </xf>
    <xf numFmtId="0" fontId="0" fillId="0" borderId="0" xfId="0" applyAlignment="1">
      <alignment horizontal="left"/>
    </xf>
    <xf numFmtId="0" fontId="33" fillId="0" borderId="0" xfId="0" applyFont="1" applyAlignment="1">
      <alignment vertical="center"/>
    </xf>
    <xf numFmtId="0" fontId="0" fillId="0" borderId="1" xfId="0" applyBorder="1"/>
    <xf numFmtId="0" fontId="0" fillId="0" borderId="1" xfId="0" applyBorder="1" applyAlignment="1">
      <alignment horizontal="center" vertical="center"/>
    </xf>
    <xf numFmtId="1" fontId="0" fillId="0" borderId="1" xfId="0" applyNumberFormat="1" applyBorder="1" applyAlignment="1">
      <alignment horizontal="center" vertical="center"/>
    </xf>
    <xf numFmtId="0" fontId="0" fillId="0" borderId="1" xfId="0" applyBorder="1" applyAlignment="1">
      <alignment horizontal="right" vertical="center"/>
    </xf>
    <xf numFmtId="0" fontId="0" fillId="0" borderId="1" xfId="0" applyBorder="1" applyAlignment="1">
      <alignment horizontal="right"/>
    </xf>
    <xf numFmtId="0" fontId="35" fillId="0" borderId="1" xfId="0" applyFont="1" applyBorder="1" applyAlignment="1">
      <alignment horizontal="center" vertical="center"/>
    </xf>
    <xf numFmtId="0" fontId="45" fillId="0" borderId="0" xfId="0" applyFont="1" applyAlignment="1">
      <alignment horizontal="center" vertical="center"/>
    </xf>
    <xf numFmtId="164" fontId="47" fillId="0" borderId="0" xfId="0" applyNumberFormat="1" applyFont="1" applyAlignment="1">
      <alignment horizontal="center" vertical="center"/>
    </xf>
    <xf numFmtId="0" fontId="0" fillId="0" borderId="1" xfId="0" applyBorder="1" applyAlignment="1">
      <alignment horizontal="center"/>
    </xf>
    <xf numFmtId="0" fontId="48" fillId="0" borderId="0" xfId="0" applyFont="1"/>
    <xf numFmtId="0" fontId="0" fillId="7" borderId="0" xfId="0" applyFill="1" applyAlignment="1">
      <alignment horizontal="center"/>
    </xf>
    <xf numFmtId="0" fontId="49" fillId="0" borderId="0" xfId="0" applyFont="1" applyAlignment="1">
      <alignment vertical="center" wrapText="1"/>
    </xf>
    <xf numFmtId="165" fontId="0" fillId="0" borderId="1" xfId="0" applyNumberFormat="1" applyBorder="1" applyAlignment="1">
      <alignment horizontal="center" vertical="center"/>
    </xf>
    <xf numFmtId="0" fontId="50" fillId="0" borderId="0" xfId="0" applyFont="1" applyAlignment="1">
      <alignment horizontal="center" vertical="center"/>
    </xf>
    <xf numFmtId="0" fontId="51" fillId="0" borderId="0" xfId="0" applyFont="1" applyAlignment="1">
      <alignment horizontal="center" vertical="center"/>
    </xf>
    <xf numFmtId="0" fontId="50" fillId="0" borderId="1" xfId="0" applyFont="1" applyBorder="1" applyAlignment="1">
      <alignment horizontal="center" vertical="center"/>
    </xf>
    <xf numFmtId="0" fontId="51" fillId="0" borderId="1" xfId="0" applyFont="1" applyBorder="1" applyAlignment="1">
      <alignment horizontal="center" vertical="center" wrapText="1"/>
    </xf>
    <xf numFmtId="0" fontId="51" fillId="0" borderId="1" xfId="0" applyFont="1" applyBorder="1" applyAlignment="1">
      <alignment horizontal="center" vertical="center"/>
    </xf>
    <xf numFmtId="0" fontId="50" fillId="0" borderId="1" xfId="0" applyFont="1" applyBorder="1" applyAlignment="1">
      <alignment horizontal="center" wrapText="1"/>
    </xf>
    <xf numFmtId="0" fontId="0" fillId="0" borderId="0" xfId="0" applyAlignment="1">
      <alignment horizontal="center"/>
    </xf>
    <xf numFmtId="0" fontId="0" fillId="7" borderId="1" xfId="0" applyFill="1" applyBorder="1" applyAlignment="1">
      <alignment horizontal="center"/>
    </xf>
    <xf numFmtId="0" fontId="0" fillId="7" borderId="1" xfId="0" applyFill="1" applyBorder="1" applyAlignment="1">
      <alignment horizontal="center" vertical="center"/>
    </xf>
    <xf numFmtId="1" fontId="0" fillId="7" borderId="1" xfId="0" applyNumberFormat="1" applyFill="1" applyBorder="1" applyAlignment="1">
      <alignment horizontal="center"/>
    </xf>
    <xf numFmtId="164" fontId="40" fillId="7" borderId="1" xfId="0" applyNumberFormat="1" applyFont="1" applyFill="1" applyBorder="1" applyAlignment="1">
      <alignment horizontal="center" vertical="center"/>
    </xf>
    <xf numFmtId="165" fontId="0" fillId="0" borderId="1" xfId="0" applyNumberFormat="1" applyBorder="1" applyAlignment="1">
      <alignment horizontal="center"/>
    </xf>
    <xf numFmtId="1" fontId="0" fillId="0" borderId="1" xfId="0" applyNumberFormat="1" applyBorder="1" applyAlignment="1">
      <alignment horizontal="center"/>
    </xf>
    <xf numFmtId="164" fontId="0" fillId="0" borderId="1" xfId="0" applyNumberFormat="1" applyBorder="1" applyAlignment="1">
      <alignment horizontal="center" vertical="center"/>
    </xf>
    <xf numFmtId="164" fontId="0" fillId="0" borderId="1" xfId="0" applyNumberFormat="1" applyBorder="1" applyAlignment="1">
      <alignment horizontal="center"/>
    </xf>
    <xf numFmtId="164" fontId="0" fillId="7" borderId="1" xfId="0" applyNumberFormat="1" applyFill="1" applyBorder="1" applyAlignment="1">
      <alignment horizontal="center"/>
    </xf>
    <xf numFmtId="11" fontId="0" fillId="0" borderId="1" xfId="0" applyNumberFormat="1" applyBorder="1" applyAlignment="1">
      <alignment horizontal="center"/>
    </xf>
    <xf numFmtId="0" fontId="22" fillId="0" borderId="1" xfId="0" applyFont="1" applyBorder="1" applyAlignment="1">
      <alignment horizontal="right" vertical="center"/>
    </xf>
    <xf numFmtId="0" fontId="27" fillId="6" borderId="7" xfId="0" applyFont="1" applyFill="1" applyBorder="1" applyAlignment="1">
      <alignment horizontal="center" vertical="top" wrapText="1"/>
    </xf>
    <xf numFmtId="0" fontId="27" fillId="6" borderId="8" xfId="0" applyFont="1" applyFill="1" applyBorder="1" applyAlignment="1">
      <alignment horizontal="center" vertical="top" wrapText="1"/>
    </xf>
    <xf numFmtId="0" fontId="27" fillId="6" borderId="9" xfId="0" applyFont="1" applyFill="1" applyBorder="1" applyAlignment="1">
      <alignment horizontal="center" vertical="top" wrapText="1"/>
    </xf>
    <xf numFmtId="0" fontId="27" fillId="6" borderId="10" xfId="0" applyFont="1" applyFill="1" applyBorder="1" applyAlignment="1">
      <alignment horizontal="center" vertical="top" wrapText="1"/>
    </xf>
    <xf numFmtId="0" fontId="27" fillId="6" borderId="11" xfId="0" applyFont="1" applyFill="1" applyBorder="1" applyAlignment="1">
      <alignment horizontal="center" vertical="top" wrapText="1"/>
    </xf>
    <xf numFmtId="0" fontId="27" fillId="6" borderId="12" xfId="0" applyFont="1" applyFill="1" applyBorder="1" applyAlignment="1">
      <alignment horizontal="center" vertical="top" wrapText="1"/>
    </xf>
    <xf numFmtId="0" fontId="27" fillId="6" borderId="2" xfId="0" applyFont="1" applyFill="1" applyBorder="1" applyAlignment="1">
      <alignment horizontal="center" vertical="top" wrapText="1"/>
    </xf>
    <xf numFmtId="0" fontId="27" fillId="6" borderId="13" xfId="0" applyFont="1" applyFill="1" applyBorder="1" applyAlignment="1">
      <alignment horizontal="center" vertical="top" wrapText="1"/>
    </xf>
    <xf numFmtId="0" fontId="27" fillId="6" borderId="3" xfId="0" applyFont="1" applyFill="1" applyBorder="1" applyAlignment="1">
      <alignment horizontal="center" vertical="top" wrapText="1"/>
    </xf>
    <xf numFmtId="0" fontId="38" fillId="0" borderId="1" xfId="0" applyFont="1" applyBorder="1" applyAlignment="1">
      <alignment horizontal="center" vertical="center"/>
    </xf>
    <xf numFmtId="0" fontId="0" fillId="0" borderId="1" xfId="0" applyBorder="1" applyAlignment="1">
      <alignment horizontal="left" vertical="center"/>
    </xf>
    <xf numFmtId="0" fontId="0" fillId="7"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xf numFmtId="0" fontId="34" fillId="0" borderId="1" xfId="0" applyFont="1" applyBorder="1" applyAlignment="1">
      <alignment horizontal="center" vertical="center"/>
    </xf>
    <xf numFmtId="0" fontId="44" fillId="0" borderId="1" xfId="0" applyFont="1" applyBorder="1" applyAlignment="1">
      <alignment horizontal="center" vertical="center"/>
    </xf>
    <xf numFmtId="0" fontId="45" fillId="0" borderId="1" xfId="0" applyFont="1" applyBorder="1" applyAlignment="1">
      <alignment horizontal="center" vertical="center"/>
    </xf>
    <xf numFmtId="0" fontId="39" fillId="0" borderId="1" xfId="0" applyFont="1" applyBorder="1" applyAlignment="1">
      <alignment horizontal="center" vertical="center"/>
    </xf>
    <xf numFmtId="0" fontId="25" fillId="8" borderId="1" xfId="0" applyFont="1" applyFill="1" applyBorder="1" applyAlignment="1">
      <alignment horizontal="center" wrapText="1"/>
    </xf>
    <xf numFmtId="0" fontId="0" fillId="0" borderId="1" xfId="0" applyBorder="1" applyAlignment="1">
      <alignment horizontal="left"/>
    </xf>
    <xf numFmtId="0" fontId="19" fillId="0" borderId="2" xfId="0" applyFont="1" applyBorder="1" applyAlignment="1">
      <alignment horizontal="left" vertical="center"/>
    </xf>
    <xf numFmtId="0" fontId="25" fillId="0" borderId="1" xfId="0" applyFont="1" applyBorder="1" applyAlignment="1">
      <alignment horizontal="center" vertical="center" wrapText="1"/>
    </xf>
    <xf numFmtId="0" fontId="0" fillId="0" borderId="2" xfId="0" applyBorder="1" applyAlignment="1">
      <alignment horizontal="left"/>
    </xf>
    <xf numFmtId="0" fontId="0" fillId="0" borderId="1" xfId="0" applyBorder="1" applyAlignment="1">
      <alignment horizontal="left" vertical="center" wrapText="1"/>
    </xf>
    <xf numFmtId="0" fontId="45" fillId="0" borderId="1" xfId="0" applyFont="1" applyBorder="1" applyAlignment="1">
      <alignment horizontal="left" vertical="center" wrapText="1"/>
    </xf>
    <xf numFmtId="0" fontId="0" fillId="0" borderId="1" xfId="0" applyBorder="1" applyAlignment="1">
      <alignment vertical="center"/>
    </xf>
    <xf numFmtId="0" fontId="25" fillId="0" borderId="1" xfId="0" applyFont="1" applyBorder="1" applyAlignment="1">
      <alignment horizontal="center" vertical="center"/>
    </xf>
    <xf numFmtId="0" fontId="54" fillId="0" borderId="6" xfId="0" applyFont="1" applyBorder="1" applyAlignment="1">
      <alignment horizontal="center" vertical="center"/>
    </xf>
    <xf numFmtId="0" fontId="55" fillId="0" borderId="6" xfId="0" applyFont="1" applyBorder="1" applyAlignment="1">
      <alignment horizontal="center" vertical="center"/>
    </xf>
    <xf numFmtId="0" fontId="19" fillId="0" borderId="6" xfId="0" applyFont="1" applyBorder="1" applyAlignment="1">
      <alignment horizontal="center" vertical="center"/>
    </xf>
    <xf numFmtId="0" fontId="56" fillId="0" borderId="5" xfId="0" applyFont="1" applyBorder="1" applyAlignment="1">
      <alignment horizontal="center" vertical="center"/>
    </xf>
    <xf numFmtId="0" fontId="56" fillId="0" borderId="14" xfId="0" applyFont="1" applyBorder="1" applyAlignment="1">
      <alignment horizontal="center" vertical="center"/>
    </xf>
    <xf numFmtId="43" fontId="19" fillId="0" borderId="6" xfId="1" applyFont="1" applyBorder="1" applyAlignment="1">
      <alignment horizontal="center" vertical="center"/>
    </xf>
    <xf numFmtId="0" fontId="34" fillId="0" borderId="0" xfId="0" applyFont="1"/>
    <xf numFmtId="0" fontId="29"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vertical="center" wrapText="1"/>
    </xf>
    <xf numFmtId="0" fontId="34" fillId="0" borderId="0" xfId="0" applyFont="1" applyAlignment="1">
      <alignment horizontal="center" vertical="center" wrapText="1"/>
    </xf>
    <xf numFmtId="0" fontId="34" fillId="0" borderId="0" xfId="0" applyFont="1" applyAlignment="1">
      <alignment vertical="center" wrapText="1"/>
    </xf>
    <xf numFmtId="0" fontId="34" fillId="0" borderId="0" xfId="0" applyFont="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295275</xdr:colOff>
      <xdr:row>27</xdr:row>
      <xdr:rowOff>114300</xdr:rowOff>
    </xdr:from>
    <xdr:to>
      <xdr:col>13</xdr:col>
      <xdr:colOff>275738</xdr:colOff>
      <xdr:row>43</xdr:row>
      <xdr:rowOff>77534</xdr:rowOff>
    </xdr:to>
    <xdr:pic>
      <xdr:nvPicPr>
        <xdr:cNvPr id="9"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7191375" y="5400675"/>
          <a:ext cx="3895238" cy="445903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333375</xdr:colOff>
      <xdr:row>50</xdr:row>
      <xdr:rowOff>152400</xdr:rowOff>
    </xdr:from>
    <xdr:to>
      <xdr:col>12</xdr:col>
      <xdr:colOff>856826</xdr:colOff>
      <xdr:row>52</xdr:row>
      <xdr:rowOff>171345</xdr:rowOff>
    </xdr:to>
    <xdr:pic>
      <xdr:nvPicPr>
        <xdr:cNvPr id="10" name="Picture 3">
          <a:extLst>
            <a:ext uri="{FF2B5EF4-FFF2-40B4-BE49-F238E27FC236}">
              <a16:creationId xmlns:a16="http://schemas.microsoft.com/office/drawing/2014/main" id="{00000000-0008-0000-0100-000004000000}"/>
            </a:ext>
            <a:ext uri="{147F2762-F138-4A5C-976F-8EAC2B608ADB}">
              <a16:predDERef xmlns:a16="http://schemas.microsoft.com/office/drawing/2014/main" pred="{00000000-0008-0000-0100-000003000000}"/>
            </a:ext>
          </a:extLst>
        </xdr:cNvPr>
        <xdr:cNvPicPr>
          <a:picLocks noChangeAspect="1"/>
        </xdr:cNvPicPr>
      </xdr:nvPicPr>
      <xdr:blipFill>
        <a:blip xmlns:r="http://schemas.openxmlformats.org/officeDocument/2006/relationships" r:embed="rId2"/>
        <a:stretch>
          <a:fillRect/>
        </a:stretch>
      </xdr:blipFill>
      <xdr:spPr>
        <a:xfrm>
          <a:off x="7229475" y="11372850"/>
          <a:ext cx="3390476" cy="79999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295275</xdr:colOff>
      <xdr:row>44</xdr:row>
      <xdr:rowOff>19050</xdr:rowOff>
    </xdr:from>
    <xdr:to>
      <xdr:col>13</xdr:col>
      <xdr:colOff>237643</xdr:colOff>
      <xdr:row>50</xdr:row>
      <xdr:rowOff>1194</xdr:rowOff>
    </xdr:to>
    <xdr:pic>
      <xdr:nvPicPr>
        <xdr:cNvPr id="5" name="Picture 4">
          <a:extLst>
            <a:ext uri="{FF2B5EF4-FFF2-40B4-BE49-F238E27FC236}">
              <a16:creationId xmlns:a16="http://schemas.microsoft.com/office/drawing/2014/main" id="{00000000-0008-0000-0100-000005000000}"/>
            </a:ext>
            <a:ext uri="{147F2762-F138-4A5C-976F-8EAC2B608ADB}">
              <a16:predDERef xmlns:a16="http://schemas.microsoft.com/office/drawing/2014/main" pred="{00000000-0008-0000-0100-000004000000}"/>
            </a:ext>
          </a:extLst>
        </xdr:cNvPr>
        <xdr:cNvPicPr>
          <a:picLocks noChangeAspect="1"/>
        </xdr:cNvPicPr>
      </xdr:nvPicPr>
      <xdr:blipFill>
        <a:blip xmlns:r="http://schemas.openxmlformats.org/officeDocument/2006/relationships" r:embed="rId3"/>
        <a:stretch>
          <a:fillRect/>
        </a:stretch>
      </xdr:blipFill>
      <xdr:spPr>
        <a:xfrm>
          <a:off x="7191375" y="9972675"/>
          <a:ext cx="3857143" cy="126665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470535</xdr:colOff>
      <xdr:row>59</xdr:row>
      <xdr:rowOff>142875</xdr:rowOff>
    </xdr:from>
    <xdr:to>
      <xdr:col>13</xdr:col>
      <xdr:colOff>365284</xdr:colOff>
      <xdr:row>67</xdr:row>
      <xdr:rowOff>95038</xdr:rowOff>
    </xdr:to>
    <xdr:pic>
      <xdr:nvPicPr>
        <xdr:cNvPr id="2" name="Picture 1">
          <a:extLst>
            <a:ext uri="{FF2B5EF4-FFF2-40B4-BE49-F238E27FC236}">
              <a16:creationId xmlns:a16="http://schemas.microsoft.com/office/drawing/2014/main" id="{00000000-0008-0000-0100-000002000000}"/>
            </a:ext>
            <a:ext uri="{147F2762-F138-4A5C-976F-8EAC2B608ADB}">
              <a16:predDERef xmlns:a16="http://schemas.microsoft.com/office/drawing/2014/main" pred="{00000000-0008-0000-0100-000005000000}"/>
            </a:ext>
          </a:extLst>
        </xdr:cNvPr>
        <xdr:cNvPicPr>
          <a:picLocks noChangeAspect="1"/>
        </xdr:cNvPicPr>
      </xdr:nvPicPr>
      <xdr:blipFill>
        <a:blip xmlns:r="http://schemas.openxmlformats.org/officeDocument/2006/relationships" r:embed="rId4"/>
        <a:stretch>
          <a:fillRect/>
        </a:stretch>
      </xdr:blipFill>
      <xdr:spPr>
        <a:xfrm>
          <a:off x="7366635" y="13716000"/>
          <a:ext cx="3809524" cy="164761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10</xdr:col>
      <xdr:colOff>57150</xdr:colOff>
      <xdr:row>89</xdr:row>
      <xdr:rowOff>28575</xdr:rowOff>
    </xdr:from>
    <xdr:to>
      <xdr:col>13</xdr:col>
      <xdr:colOff>590071</xdr:colOff>
      <xdr:row>93</xdr:row>
      <xdr:rowOff>28466</xdr:rowOff>
    </xdr:to>
    <xdr:pic>
      <xdr:nvPicPr>
        <xdr:cNvPr id="7" name="Picture 6">
          <a:extLst>
            <a:ext uri="{FF2B5EF4-FFF2-40B4-BE49-F238E27FC236}">
              <a16:creationId xmlns:a16="http://schemas.microsoft.com/office/drawing/2014/main" id="{00000000-0008-0000-0100-000007000000}"/>
            </a:ext>
            <a:ext uri="{147F2762-F138-4A5C-976F-8EAC2B608ADB}">
              <a16:predDERef xmlns:a16="http://schemas.microsoft.com/office/drawing/2014/main" pred="{00000000-0008-0000-0100-000006000000}"/>
            </a:ext>
          </a:extLst>
        </xdr:cNvPr>
        <xdr:cNvPicPr>
          <a:picLocks noChangeAspect="1"/>
        </xdr:cNvPicPr>
      </xdr:nvPicPr>
      <xdr:blipFill>
        <a:blip xmlns:r="http://schemas.openxmlformats.org/officeDocument/2006/relationships" r:embed="rId5"/>
        <a:stretch>
          <a:fillRect/>
        </a:stretch>
      </xdr:blipFill>
      <xdr:spPr>
        <a:xfrm>
          <a:off x="7562850" y="19621500"/>
          <a:ext cx="3838096" cy="85714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10</xdr:col>
      <xdr:colOff>66675</xdr:colOff>
      <xdr:row>93</xdr:row>
      <xdr:rowOff>219075</xdr:rowOff>
    </xdr:from>
    <xdr:to>
      <xdr:col>13</xdr:col>
      <xdr:colOff>571024</xdr:colOff>
      <xdr:row>96</xdr:row>
      <xdr:rowOff>47562</xdr:rowOff>
    </xdr:to>
    <xdr:pic>
      <xdr:nvPicPr>
        <xdr:cNvPr id="8" name="Picture 7">
          <a:extLst>
            <a:ext uri="{FF2B5EF4-FFF2-40B4-BE49-F238E27FC236}">
              <a16:creationId xmlns:a16="http://schemas.microsoft.com/office/drawing/2014/main" id="{00000000-0008-0000-0100-000008000000}"/>
            </a:ext>
            <a:ext uri="{147F2762-F138-4A5C-976F-8EAC2B608ADB}">
              <a16:predDERef xmlns:a16="http://schemas.microsoft.com/office/drawing/2014/main" pred="{00000000-0008-0000-0100-000007000000}"/>
            </a:ext>
          </a:extLst>
        </xdr:cNvPr>
        <xdr:cNvPicPr>
          <a:picLocks noChangeAspect="1"/>
        </xdr:cNvPicPr>
      </xdr:nvPicPr>
      <xdr:blipFill>
        <a:blip xmlns:r="http://schemas.openxmlformats.org/officeDocument/2006/relationships" r:embed="rId6"/>
        <a:stretch>
          <a:fillRect/>
        </a:stretch>
      </xdr:blipFill>
      <xdr:spPr>
        <a:xfrm>
          <a:off x="7572375" y="20669250"/>
          <a:ext cx="3809524" cy="485712"/>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10</xdr:col>
      <xdr:colOff>19050</xdr:colOff>
      <xdr:row>75</xdr:row>
      <xdr:rowOff>19050</xdr:rowOff>
    </xdr:from>
    <xdr:to>
      <xdr:col>14</xdr:col>
      <xdr:colOff>981075</xdr:colOff>
      <xdr:row>87</xdr:row>
      <xdr:rowOff>66675</xdr:rowOff>
    </xdr:to>
    <xdr:pic>
      <xdr:nvPicPr>
        <xdr:cNvPr id="18" name="Picture 21">
          <a:extLst>
            <a:ext uri="{FF2B5EF4-FFF2-40B4-BE49-F238E27FC236}">
              <a16:creationId xmlns:a16="http://schemas.microsoft.com/office/drawing/2014/main" id="{6655C3BC-7F5E-3294-AA27-7A73D72B89FD}"/>
            </a:ext>
            <a:ext uri="{147F2762-F138-4A5C-976F-8EAC2B608ADB}">
              <a16:predDERef xmlns:a16="http://schemas.microsoft.com/office/drawing/2014/main" pred="{00000000-0008-0000-0100-000008000000}"/>
            </a:ext>
          </a:extLst>
        </xdr:cNvPr>
        <xdr:cNvPicPr>
          <a:picLocks noChangeAspect="1"/>
        </xdr:cNvPicPr>
      </xdr:nvPicPr>
      <xdr:blipFill>
        <a:blip xmlns:r="http://schemas.openxmlformats.org/officeDocument/2006/relationships" r:embed="rId7"/>
        <a:stretch>
          <a:fillRect/>
        </a:stretch>
      </xdr:blipFill>
      <xdr:spPr>
        <a:xfrm>
          <a:off x="7524750" y="17021175"/>
          <a:ext cx="4972050" cy="2238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8"/>
  <sheetViews>
    <sheetView topLeftCell="A10" workbookViewId="0">
      <selection activeCell="E22" sqref="E22"/>
    </sheetView>
  </sheetViews>
  <sheetFormatPr defaultRowHeight="14.45"/>
  <cols>
    <col min="2" max="2" width="24.85546875" bestFit="1" customWidth="1"/>
    <col min="3" max="3" width="14.42578125" customWidth="1"/>
    <col min="4" max="4" width="44.42578125" customWidth="1"/>
    <col min="5" max="5" width="18.85546875" customWidth="1"/>
    <col min="6" max="6" width="11.28515625" bestFit="1" customWidth="1"/>
  </cols>
  <sheetData>
    <row r="1" spans="1:8" ht="18.75" customHeight="1">
      <c r="A1" s="2"/>
      <c r="B1" s="1"/>
      <c r="C1" s="93" t="s">
        <v>0</v>
      </c>
      <c r="D1" s="94"/>
      <c r="E1" s="94"/>
      <c r="F1" s="95"/>
      <c r="G1" s="15"/>
      <c r="H1" s="3"/>
    </row>
    <row r="2" spans="1:8" ht="18.75" customHeight="1">
      <c r="A2" s="2"/>
      <c r="B2" s="1"/>
      <c r="C2" s="96"/>
      <c r="D2" s="97"/>
      <c r="E2" s="97"/>
      <c r="F2" s="98"/>
      <c r="G2" s="15"/>
      <c r="H2" s="3"/>
    </row>
    <row r="3" spans="1:8" ht="18.75" customHeight="1">
      <c r="A3" s="2"/>
      <c r="B3" s="1"/>
      <c r="C3" s="99" t="s">
        <v>1</v>
      </c>
      <c r="D3" s="100"/>
      <c r="E3" s="100"/>
      <c r="F3" s="101"/>
      <c r="G3" s="14"/>
      <c r="H3" s="3"/>
    </row>
    <row r="4" spans="1:8" ht="21">
      <c r="A4" s="13"/>
      <c r="B4" s="13"/>
      <c r="C4" s="102" t="s">
        <v>2</v>
      </c>
      <c r="D4" s="102"/>
      <c r="E4" s="16" t="s">
        <v>3</v>
      </c>
      <c r="F4" s="16" t="s">
        <v>4</v>
      </c>
      <c r="G4" s="2"/>
      <c r="H4" s="2"/>
    </row>
    <row r="5" spans="1:8" ht="20.45">
      <c r="A5" s="14"/>
      <c r="B5" s="13"/>
      <c r="C5" s="92" t="s">
        <v>5</v>
      </c>
      <c r="D5" s="92"/>
      <c r="E5" s="17">
        <v>72.37</v>
      </c>
      <c r="F5" s="18" t="s">
        <v>6</v>
      </c>
      <c r="G5" s="2"/>
      <c r="H5" s="2"/>
    </row>
    <row r="6" spans="1:8" ht="20.45">
      <c r="A6" s="2"/>
      <c r="B6" s="1"/>
      <c r="C6" s="92" t="s">
        <v>7</v>
      </c>
      <c r="D6" s="92"/>
      <c r="E6" s="17">
        <v>70.599999999999994</v>
      </c>
      <c r="F6" s="18" t="s">
        <v>6</v>
      </c>
      <c r="G6" s="2"/>
      <c r="H6" s="2"/>
    </row>
    <row r="7" spans="1:8" ht="18">
      <c r="A7" s="2"/>
      <c r="B7" s="1"/>
      <c r="C7" s="92" t="s">
        <v>8</v>
      </c>
      <c r="D7" s="92"/>
      <c r="E7" s="17">
        <v>12.93</v>
      </c>
      <c r="F7" s="18" t="s">
        <v>6</v>
      </c>
      <c r="G7" s="2"/>
      <c r="H7" s="2"/>
    </row>
    <row r="8" spans="1:8" ht="18">
      <c r="A8" s="2"/>
      <c r="B8" s="1"/>
      <c r="C8" s="92" t="s">
        <v>9</v>
      </c>
      <c r="D8" s="92"/>
      <c r="E8" s="17">
        <v>3.6</v>
      </c>
      <c r="F8" s="18" t="s">
        <v>6</v>
      </c>
      <c r="G8" s="2"/>
      <c r="H8" s="2"/>
    </row>
    <row r="9" spans="1:8" ht="20.45">
      <c r="A9" s="2"/>
      <c r="B9" s="1"/>
      <c r="C9" s="92" t="s">
        <v>10</v>
      </c>
      <c r="D9" s="92"/>
      <c r="E9" s="17">
        <v>0.76</v>
      </c>
      <c r="F9" s="18"/>
      <c r="G9" s="2"/>
      <c r="H9" s="2"/>
    </row>
    <row r="10" spans="1:8" ht="18">
      <c r="A10" s="2"/>
      <c r="B10" s="1"/>
      <c r="C10" s="92" t="s">
        <v>11</v>
      </c>
      <c r="D10" s="92"/>
      <c r="E10" s="17">
        <v>10</v>
      </c>
      <c r="F10" s="18" t="s">
        <v>12</v>
      </c>
      <c r="G10" s="2"/>
      <c r="H10" s="2"/>
    </row>
    <row r="11" spans="1:8" ht="20.45">
      <c r="A11" s="2"/>
      <c r="B11" s="1"/>
      <c r="C11" s="92" t="s">
        <v>13</v>
      </c>
      <c r="D11" s="92"/>
      <c r="E11" s="19">
        <v>0.81499999999999995</v>
      </c>
      <c r="F11" s="18"/>
      <c r="G11" s="2"/>
      <c r="H11" s="2"/>
    </row>
    <row r="12" spans="1:8" ht="20.45">
      <c r="A12" s="2"/>
      <c r="B12" s="1"/>
      <c r="C12" s="92" t="s">
        <v>14</v>
      </c>
      <c r="D12" s="92"/>
      <c r="E12" s="17">
        <v>0.90900000000000003</v>
      </c>
      <c r="F12" s="18"/>
      <c r="G12" s="2"/>
      <c r="H12" s="2"/>
    </row>
    <row r="13" spans="1:8" ht="18">
      <c r="A13" s="2"/>
      <c r="B13" s="1"/>
      <c r="C13" s="92" t="s">
        <v>15</v>
      </c>
      <c r="D13" s="92"/>
      <c r="E13" s="18">
        <v>1.008</v>
      </c>
      <c r="F13" s="18" t="s">
        <v>16</v>
      </c>
      <c r="G13" s="2"/>
      <c r="H13" s="2"/>
    </row>
    <row r="14" spans="1:8" ht="18">
      <c r="A14" s="2"/>
      <c r="B14" s="1"/>
      <c r="C14" s="92" t="s">
        <v>17</v>
      </c>
      <c r="D14" s="92"/>
      <c r="E14" s="19">
        <f>E6*E7*E8*E9</f>
        <v>2497.5794879999999</v>
      </c>
      <c r="F14" s="18" t="s">
        <v>18</v>
      </c>
      <c r="G14" s="2"/>
      <c r="H14" s="2"/>
    </row>
    <row r="15" spans="1:8" ht="18">
      <c r="A15" s="2"/>
      <c r="B15" s="1"/>
      <c r="C15" s="92" t="s">
        <v>19</v>
      </c>
      <c r="D15" s="92"/>
      <c r="E15" s="19">
        <f>E6*E7*E8*E9*E13</f>
        <v>2517.5601239039997</v>
      </c>
      <c r="F15" s="18" t="s">
        <v>20</v>
      </c>
      <c r="G15" s="2"/>
      <c r="H15" s="2"/>
    </row>
    <row r="16" spans="1:8" ht="20.45">
      <c r="A16" s="2"/>
      <c r="B16" s="1"/>
      <c r="C16" s="92" t="s">
        <v>21</v>
      </c>
      <c r="D16" s="92"/>
      <c r="E16" s="17">
        <v>0.89700000000000002</v>
      </c>
      <c r="F16" s="18"/>
      <c r="G16" s="2"/>
      <c r="H16" s="2"/>
    </row>
    <row r="17" spans="1:8" ht="18">
      <c r="A17" s="2"/>
      <c r="B17" s="1"/>
      <c r="C17" s="92" t="s">
        <v>22</v>
      </c>
      <c r="D17" s="92"/>
      <c r="E17" s="17">
        <v>-1.32</v>
      </c>
      <c r="F17" s="18" t="s">
        <v>23</v>
      </c>
      <c r="G17" s="2"/>
      <c r="H17" s="2"/>
    </row>
    <row r="18" spans="1:8" ht="20.45">
      <c r="A18" s="2"/>
      <c r="B18" s="1"/>
      <c r="C18" s="92" t="s">
        <v>24</v>
      </c>
      <c r="D18" s="92"/>
      <c r="E18" s="18">
        <f>E17/(E5)*100</f>
        <v>-1.823960204504629</v>
      </c>
      <c r="F18" s="18" t="s">
        <v>25</v>
      </c>
      <c r="G18" s="2"/>
      <c r="H18" s="2"/>
    </row>
    <row r="19" spans="1:8" ht="20.45">
      <c r="A19" s="2"/>
      <c r="B19" s="1"/>
      <c r="C19" s="92" t="s">
        <v>26</v>
      </c>
      <c r="D19" s="92"/>
      <c r="E19" s="17">
        <v>0</v>
      </c>
      <c r="F19" s="18" t="s">
        <v>27</v>
      </c>
      <c r="G19" s="2"/>
      <c r="H19" s="2"/>
    </row>
    <row r="20" spans="1:8" ht="20.45">
      <c r="A20" s="2"/>
      <c r="B20" s="1"/>
      <c r="C20" s="92" t="s">
        <v>28</v>
      </c>
      <c r="D20" s="92"/>
      <c r="E20" s="17">
        <v>0</v>
      </c>
      <c r="F20" s="18" t="s">
        <v>27</v>
      </c>
      <c r="G20" s="2"/>
      <c r="H20" s="2"/>
    </row>
    <row r="21" spans="1:8" ht="18">
      <c r="A21" s="2"/>
      <c r="B21" s="1"/>
      <c r="C21" s="92" t="s">
        <v>29</v>
      </c>
      <c r="D21" s="92"/>
      <c r="E21" s="20">
        <v>1.2179999999999999E-3</v>
      </c>
      <c r="F21" s="18" t="s">
        <v>30</v>
      </c>
      <c r="G21" s="2"/>
      <c r="H21" s="2"/>
    </row>
    <row r="22" spans="1:8" ht="18">
      <c r="A22" s="2"/>
      <c r="B22" s="1"/>
      <c r="C22" s="92" t="s">
        <v>31</v>
      </c>
      <c r="D22" s="92"/>
      <c r="E22" s="21">
        <v>2.52</v>
      </c>
      <c r="F22" s="18" t="s">
        <v>6</v>
      </c>
      <c r="G22" s="2"/>
      <c r="H22" s="2"/>
    </row>
    <row r="23" spans="1:8" ht="18">
      <c r="A23" s="2"/>
      <c r="B23" s="1"/>
      <c r="C23" s="92" t="s">
        <v>32</v>
      </c>
      <c r="D23" s="92"/>
      <c r="E23" s="17">
        <v>0.4</v>
      </c>
      <c r="F23" s="18"/>
      <c r="G23" s="2"/>
      <c r="H23" s="2"/>
    </row>
    <row r="24" spans="1:8" ht="18">
      <c r="A24" s="2"/>
      <c r="B24" s="1"/>
      <c r="C24" s="2"/>
      <c r="D24" s="5"/>
      <c r="E24" s="2"/>
      <c r="F24" s="2"/>
      <c r="G24" s="2"/>
      <c r="H24" s="2"/>
    </row>
    <row r="25" spans="1:8" ht="18">
      <c r="A25" s="12"/>
      <c r="B25" s="4" t="s">
        <v>33</v>
      </c>
      <c r="C25" s="7" t="s">
        <v>34</v>
      </c>
      <c r="D25" s="8"/>
      <c r="E25" s="9" t="s">
        <v>35</v>
      </c>
      <c r="F25" s="7" t="s">
        <v>4</v>
      </c>
      <c r="G25" s="7" t="s">
        <v>36</v>
      </c>
      <c r="H25" s="9" t="s">
        <v>35</v>
      </c>
    </row>
    <row r="26" spans="1:8" ht="15.6">
      <c r="A26" s="2"/>
      <c r="B26" s="1"/>
      <c r="C26" s="2"/>
      <c r="D26" s="10"/>
      <c r="E26" s="2"/>
      <c r="F26" s="2"/>
      <c r="G26" s="2"/>
      <c r="H26" s="2"/>
    </row>
    <row r="27" spans="1:8" ht="18">
      <c r="A27" s="2"/>
      <c r="B27" s="38" t="s">
        <v>37</v>
      </c>
      <c r="C27" s="23" t="s">
        <v>38</v>
      </c>
      <c r="D27" s="42" t="s">
        <v>39</v>
      </c>
      <c r="E27" s="36">
        <f>0.5*E13*(E10*0.5144)^2*E34*E28</f>
        <v>16.353912102987131</v>
      </c>
      <c r="F27" s="23" t="s">
        <v>40</v>
      </c>
      <c r="G27" s="2"/>
      <c r="H27" s="2"/>
    </row>
    <row r="28" spans="1:8" ht="18">
      <c r="A28" s="2"/>
      <c r="B28" s="25" t="s">
        <v>41</v>
      </c>
      <c r="C28" s="18" t="s">
        <v>42</v>
      </c>
      <c r="D28" s="43" t="s">
        <v>43</v>
      </c>
      <c r="E28" s="19">
        <v>1.0408660000000001E-3</v>
      </c>
      <c r="F28" s="18"/>
      <c r="G28" s="2"/>
      <c r="H28" s="2"/>
    </row>
    <row r="29" spans="1:8" ht="18">
      <c r="A29" s="2"/>
      <c r="B29" s="25" t="s">
        <v>44</v>
      </c>
      <c r="C29" s="18" t="s">
        <v>45</v>
      </c>
      <c r="D29" s="43" t="s">
        <v>46</v>
      </c>
      <c r="E29" s="44">
        <f>E13*1000*E10*0.5144*E5/E21</f>
        <v>308086576.5517242</v>
      </c>
      <c r="F29" s="18"/>
      <c r="G29" s="2"/>
      <c r="H29" s="2"/>
    </row>
    <row r="30" spans="1:8" ht="36">
      <c r="A30" s="2"/>
      <c r="B30" s="25" t="s">
        <v>47</v>
      </c>
      <c r="C30" s="18" t="s">
        <v>48</v>
      </c>
      <c r="D30" s="45" t="s">
        <v>49</v>
      </c>
      <c r="E30" s="19">
        <f>E33*(0.93+E32*(E7/E31)^0.92497*(0.95-E11)^-0.521448*(1-E11+0.0225*E17)^0.6906)</f>
        <v>2.2262658235676254</v>
      </c>
      <c r="F30" s="18"/>
      <c r="G30" s="2"/>
      <c r="H30" s="2"/>
    </row>
    <row r="31" spans="1:8" ht="18">
      <c r="A31" s="2"/>
      <c r="B31" s="25" t="s">
        <v>50</v>
      </c>
      <c r="C31" s="18" t="s">
        <v>51</v>
      </c>
      <c r="D31" s="27" t="s">
        <v>52</v>
      </c>
      <c r="E31" s="19">
        <f>E5*((1-E11+(0.06*E11*E17))/(4*E11-1))</f>
        <v>3.8571288672566397</v>
      </c>
      <c r="F31" s="18"/>
      <c r="G31" s="2"/>
      <c r="H31" s="2"/>
    </row>
    <row r="32" spans="1:8" ht="66">
      <c r="A32" s="2"/>
      <c r="B32" s="46"/>
      <c r="C32" s="18" t="s">
        <v>53</v>
      </c>
      <c r="D32" s="37" t="s">
        <v>54</v>
      </c>
      <c r="E32" s="19">
        <f>IF(H32&gt;=0.05,H32^0.2228446,IF(H32&lt;=0.02,0.479948,48.2*(H32-0.02)^2.078+0.479948))</f>
        <v>0.51236569533565479</v>
      </c>
      <c r="F32" s="47"/>
      <c r="G32" s="18" t="s">
        <v>55</v>
      </c>
      <c r="H32" s="19">
        <f>E8/E5</f>
        <v>4.9744369213762608E-2</v>
      </c>
    </row>
    <row r="33" spans="1:8" ht="18">
      <c r="A33" s="2"/>
      <c r="B33" s="25"/>
      <c r="C33" s="30" t="s">
        <v>56</v>
      </c>
      <c r="D33" s="37" t="s">
        <v>57</v>
      </c>
      <c r="E33" s="19">
        <f>1+0.003*H33</f>
        <v>1.03</v>
      </c>
      <c r="F33" s="47"/>
      <c r="G33" s="18" t="s">
        <v>58</v>
      </c>
      <c r="H33" s="21">
        <v>10</v>
      </c>
    </row>
    <row r="34" spans="1:8" ht="36">
      <c r="A34" s="2"/>
      <c r="B34" s="25" t="s">
        <v>59</v>
      </c>
      <c r="C34" s="18" t="s">
        <v>60</v>
      </c>
      <c r="D34" s="37" t="s">
        <v>61</v>
      </c>
      <c r="E34" s="19">
        <f>E5*(2*E8+E7)*E12^0.5*(0.453+0.4425*E9-0.2862*E12-0.003467*(E7/E8)+0.3696*E16)+2.38*E19/E9</f>
        <v>1178.1331614856417</v>
      </c>
      <c r="F34" s="47"/>
      <c r="G34" s="18" t="s">
        <v>62</v>
      </c>
      <c r="H34" s="19">
        <f>E19</f>
        <v>0</v>
      </c>
    </row>
    <row r="35" spans="1:8" ht="15.6">
      <c r="A35" s="2"/>
      <c r="B35" s="1"/>
      <c r="C35" s="2"/>
      <c r="D35" s="11"/>
      <c r="E35" s="6"/>
      <c r="F35" s="2"/>
      <c r="G35" s="18"/>
      <c r="H35" s="19"/>
    </row>
    <row r="36" spans="1:8" ht="18">
      <c r="A36" s="2"/>
      <c r="B36" s="38" t="s">
        <v>63</v>
      </c>
      <c r="C36" s="23" t="s">
        <v>64</v>
      </c>
      <c r="D36" s="35" t="s">
        <v>65</v>
      </c>
      <c r="E36" s="36">
        <f>0.5*E13*(E10*0.5144)^2*H36*E37*E28</f>
        <v>0.49061736308961396</v>
      </c>
      <c r="F36" s="48" t="s">
        <v>40</v>
      </c>
      <c r="G36" s="18" t="s">
        <v>66</v>
      </c>
      <c r="H36" s="19">
        <f>0.02*E34</f>
        <v>23.562663229712836</v>
      </c>
    </row>
    <row r="37" spans="1:8" ht="18">
      <c r="A37" s="2"/>
      <c r="B37" s="25" t="s">
        <v>67</v>
      </c>
      <c r="C37" s="18" t="s">
        <v>68</v>
      </c>
      <c r="D37" s="27"/>
      <c r="E37" s="21">
        <v>1.5</v>
      </c>
      <c r="F37" s="18"/>
      <c r="G37" s="2"/>
      <c r="H37" s="6"/>
    </row>
    <row r="38" spans="1:8" ht="15.6">
      <c r="A38" s="2"/>
      <c r="B38" s="1"/>
      <c r="C38" s="2"/>
      <c r="D38" s="10"/>
      <c r="E38" s="41"/>
      <c r="F38" s="2"/>
      <c r="G38" s="2"/>
      <c r="H38" s="6"/>
    </row>
    <row r="39" spans="1:8" ht="18">
      <c r="A39" s="2"/>
      <c r="B39" s="38" t="s">
        <v>69</v>
      </c>
      <c r="C39" s="23" t="s">
        <v>70</v>
      </c>
      <c r="D39" s="35" t="s">
        <v>71</v>
      </c>
      <c r="E39" s="36">
        <v>0</v>
      </c>
      <c r="F39" s="48" t="s">
        <v>40</v>
      </c>
      <c r="G39" s="18" t="s">
        <v>72</v>
      </c>
      <c r="H39" s="19">
        <f>E10*0.5144/SQRT(E5*9.81)</f>
        <v>0.19305771867545618</v>
      </c>
    </row>
    <row r="40" spans="1:8" ht="18">
      <c r="A40" s="2"/>
      <c r="B40" s="25"/>
      <c r="C40" s="18" t="s">
        <v>73</v>
      </c>
      <c r="D40" s="27" t="s">
        <v>74</v>
      </c>
      <c r="E40" s="19">
        <f>2223105*E42^3.78613*H40^1.07961*(90-E52)^-1.37656</f>
        <v>6.6874001439621935</v>
      </c>
      <c r="F40" s="47"/>
      <c r="G40" s="18" t="s">
        <v>75</v>
      </c>
      <c r="H40" s="19">
        <f>E8/E7</f>
        <v>0.27842227378190254</v>
      </c>
    </row>
    <row r="41" spans="1:8" ht="15.6">
      <c r="A41" s="2"/>
      <c r="B41" s="25"/>
      <c r="C41" s="18"/>
      <c r="D41" s="27"/>
      <c r="E41" s="19"/>
      <c r="F41" s="47"/>
      <c r="G41" s="18"/>
      <c r="H41" s="19"/>
    </row>
    <row r="42" spans="1:8" ht="48.6">
      <c r="A42" s="2"/>
      <c r="B42" s="25"/>
      <c r="C42" s="18" t="s">
        <v>76</v>
      </c>
      <c r="D42" s="39" t="s">
        <v>77</v>
      </c>
      <c r="E42" s="19">
        <f>IF(H42&lt;0.11,0.229577*H42^0.33333,IF(H42&gt;0.25,0.5-0.0625*H45,H42))</f>
        <v>0.17866519275943069</v>
      </c>
      <c r="F42" s="47"/>
      <c r="G42" s="49" t="s">
        <v>78</v>
      </c>
      <c r="H42" s="19">
        <f>E7/E5</f>
        <v>0.17866519275943069</v>
      </c>
    </row>
    <row r="43" spans="1:8" ht="18">
      <c r="A43" s="2"/>
      <c r="B43" s="25"/>
      <c r="C43" s="18" t="s">
        <v>79</v>
      </c>
      <c r="D43" s="27" t="s">
        <v>80</v>
      </c>
      <c r="E43" s="19">
        <f>EXP(-1.89*SQRT(E53))</f>
        <v>1</v>
      </c>
      <c r="F43" s="47"/>
      <c r="G43" s="18"/>
      <c r="H43" s="19"/>
    </row>
    <row r="44" spans="1:8" ht="18">
      <c r="A44" s="2"/>
      <c r="B44" s="25"/>
      <c r="C44" s="18" t="s">
        <v>81</v>
      </c>
      <c r="D44" s="27" t="s">
        <v>82</v>
      </c>
      <c r="E44" s="19">
        <f>1-0.8*E20/(E7*E8*E12)</f>
        <v>1</v>
      </c>
      <c r="F44" s="47"/>
      <c r="G44" s="18"/>
      <c r="H44" s="19"/>
    </row>
    <row r="45" spans="1:8" ht="36">
      <c r="A45" s="2"/>
      <c r="B45" s="25"/>
      <c r="C45" s="18" t="s">
        <v>83</v>
      </c>
      <c r="D45" s="37" t="s">
        <v>84</v>
      </c>
      <c r="E45" s="19">
        <f>IF(H45&lt;12,1.446*E11-0.03*H45,1.446*E11-0.36)</f>
        <v>1.010578167053364</v>
      </c>
      <c r="F45" s="47"/>
      <c r="G45" s="18" t="s">
        <v>85</v>
      </c>
      <c r="H45" s="19">
        <f>E5/E7</f>
        <v>5.5970610982211912</v>
      </c>
    </row>
    <row r="46" spans="1:8" ht="15.6">
      <c r="A46" s="2"/>
      <c r="B46" s="25"/>
      <c r="C46" s="18"/>
      <c r="D46" s="27"/>
      <c r="E46" s="19"/>
      <c r="F46" s="47"/>
      <c r="G46" s="18"/>
      <c r="H46" s="19"/>
    </row>
    <row r="47" spans="1:8" ht="35.450000000000003">
      <c r="A47" s="2"/>
      <c r="B47" s="25"/>
      <c r="C47" s="18" t="s">
        <v>86</v>
      </c>
      <c r="D47" s="37" t="s">
        <v>87</v>
      </c>
      <c r="E47" s="19">
        <f>0.0140407*H47-1.75254*E14^0.333/E5-4.79323*H42-E48</f>
        <v>-2.0568214447012689</v>
      </c>
      <c r="F47" s="47"/>
      <c r="G47" s="18" t="s">
        <v>88</v>
      </c>
      <c r="H47" s="19">
        <f>E5/E8</f>
        <v>20.102777777777778</v>
      </c>
    </row>
    <row r="48" spans="1:8" ht="36.6">
      <c r="A48" s="2"/>
      <c r="B48" s="25"/>
      <c r="C48" s="18" t="s">
        <v>89</v>
      </c>
      <c r="D48" s="37" t="s">
        <v>90</v>
      </c>
      <c r="E48" s="19">
        <f>IF(H48&gt;0.8,8.07981*H48-13.8673*H48^2+6.984388*H48^3,1.73014-0.7067*H48)</f>
        <v>1.1549899797294993</v>
      </c>
      <c r="F48" s="47"/>
      <c r="G48" s="18" t="s">
        <v>91</v>
      </c>
      <c r="H48" s="19">
        <f>E11</f>
        <v>0.81499999999999995</v>
      </c>
    </row>
    <row r="49" spans="1:8" ht="18">
      <c r="A49" s="2"/>
      <c r="B49" s="25"/>
      <c r="C49" s="18" t="s">
        <v>92</v>
      </c>
      <c r="D49" s="27" t="s">
        <v>93</v>
      </c>
      <c r="E49" s="19">
        <f>E50*H48^2*EXP(-0.1*H39^-2)</f>
        <v>-7.6906790826494376E-2</v>
      </c>
      <c r="F49" s="47"/>
      <c r="G49" s="18"/>
      <c r="H49" s="19"/>
    </row>
    <row r="50" spans="1:8" ht="34.9">
      <c r="A50" s="2"/>
      <c r="B50" s="25"/>
      <c r="C50" s="18" t="s">
        <v>94</v>
      </c>
      <c r="D50" s="40" t="s">
        <v>95</v>
      </c>
      <c r="E50" s="19">
        <f>IF(H50&lt;512,-1.69385,IF(H50&gt;1727,0,-1.69385+(H50-8)/2.36))</f>
        <v>-1.6938500000000001</v>
      </c>
      <c r="F50" s="47"/>
      <c r="G50" s="18" t="s">
        <v>96</v>
      </c>
      <c r="H50" s="19">
        <f>E6^3/E14</f>
        <v>140.8947413648842</v>
      </c>
    </row>
    <row r="51" spans="1:8" ht="15.6">
      <c r="A51" s="2"/>
      <c r="B51" s="25"/>
      <c r="C51" s="18" t="s">
        <v>97</v>
      </c>
      <c r="D51" s="27"/>
      <c r="E51" s="19">
        <v>-0.9</v>
      </c>
      <c r="F51" s="47"/>
      <c r="G51" s="18"/>
      <c r="H51" s="19"/>
    </row>
    <row r="52" spans="1:8" ht="18">
      <c r="A52" s="2"/>
      <c r="B52" s="25" t="s">
        <v>98</v>
      </c>
      <c r="C52" s="18" t="s">
        <v>99</v>
      </c>
      <c r="D52" s="37"/>
      <c r="E52" s="21">
        <v>57</v>
      </c>
      <c r="F52" s="47"/>
      <c r="G52" s="18"/>
      <c r="H52" s="19"/>
    </row>
    <row r="53" spans="1:8" ht="18">
      <c r="A53" s="2"/>
      <c r="B53" s="25"/>
      <c r="C53" s="18" t="s">
        <v>100</v>
      </c>
      <c r="D53" s="27" t="s">
        <v>101</v>
      </c>
      <c r="E53" s="19">
        <f>0.56*E19^1.5/(E7*E8*(0.31*SQRT(E19)+E8-H53))</f>
        <v>0</v>
      </c>
      <c r="F53" s="18"/>
      <c r="G53" s="18" t="s">
        <v>102</v>
      </c>
      <c r="H53" s="21">
        <v>0</v>
      </c>
    </row>
    <row r="54" spans="1:8" ht="15.6">
      <c r="A54" s="2"/>
      <c r="B54" s="1"/>
      <c r="C54" s="2"/>
      <c r="D54" s="10"/>
      <c r="E54" s="6"/>
      <c r="F54" s="2"/>
      <c r="G54" s="2"/>
      <c r="H54" s="6"/>
    </row>
    <row r="55" spans="1:8" ht="15.6">
      <c r="A55" s="2"/>
      <c r="B55" s="1"/>
      <c r="C55" s="2"/>
      <c r="D55" s="10"/>
      <c r="E55" s="6"/>
      <c r="F55" s="2"/>
      <c r="G55" s="2"/>
      <c r="H55" s="6"/>
    </row>
    <row r="56" spans="1:8" ht="46.9">
      <c r="A56" s="2"/>
      <c r="B56" s="34" t="s">
        <v>103</v>
      </c>
      <c r="C56" s="23" t="s">
        <v>104</v>
      </c>
      <c r="D56" s="35" t="s">
        <v>105</v>
      </c>
      <c r="E56" s="36">
        <f>IF(E57=0,0,0.11*EXP(-3*E57^-2)*E58^3*H56^1.5*1.025*9.81/(1+E58^2))</f>
        <v>0</v>
      </c>
      <c r="F56" s="23" t="s">
        <v>40</v>
      </c>
      <c r="G56" s="18" t="s">
        <v>62</v>
      </c>
      <c r="H56" s="19">
        <f>E19</f>
        <v>0</v>
      </c>
    </row>
    <row r="57" spans="1:8" ht="18">
      <c r="A57" s="2"/>
      <c r="B57" s="25"/>
      <c r="C57" s="18" t="s">
        <v>106</v>
      </c>
      <c r="D57" s="27" t="s">
        <v>107</v>
      </c>
      <c r="E57" s="19">
        <f>0.56*SQRT(H56)/(E8-1.5*H53)</f>
        <v>0</v>
      </c>
      <c r="F57" s="2"/>
      <c r="G57" s="2"/>
      <c r="H57" s="6"/>
    </row>
    <row r="58" spans="1:8" ht="18">
      <c r="A58" s="2"/>
      <c r="B58" s="25"/>
      <c r="C58" s="18" t="s">
        <v>108</v>
      </c>
      <c r="D58" s="27" t="s">
        <v>109</v>
      </c>
      <c r="E58" s="19">
        <f>E10*0.5144/SQRT(9.81*(E8-H53-0.25*H56^0.5)+0.15*(E10*0.5144)^2)</f>
        <v>0.82070479524380624</v>
      </c>
      <c r="F58" s="2"/>
      <c r="G58" s="2"/>
      <c r="H58" s="6"/>
    </row>
    <row r="59" spans="1:8" ht="15.6">
      <c r="A59" s="2"/>
      <c r="B59" s="1"/>
      <c r="C59" s="2"/>
      <c r="D59" s="10"/>
      <c r="E59" s="6"/>
      <c r="F59" s="2"/>
      <c r="G59" s="2"/>
      <c r="H59" s="6"/>
    </row>
    <row r="60" spans="1:8" ht="46.9">
      <c r="A60" s="2"/>
      <c r="B60" s="34" t="s">
        <v>110</v>
      </c>
      <c r="C60" s="23" t="s">
        <v>111</v>
      </c>
      <c r="D60" s="35" t="s">
        <v>112</v>
      </c>
      <c r="E60" s="36">
        <f>0.5*E13*(E10*0.5144)^2*H60*E61</f>
        <v>0</v>
      </c>
      <c r="F60" s="23" t="s">
        <v>40</v>
      </c>
      <c r="G60" s="50" t="s">
        <v>113</v>
      </c>
      <c r="H60" s="19">
        <f>E20</f>
        <v>0</v>
      </c>
    </row>
    <row r="61" spans="1:8" ht="18">
      <c r="A61" s="2"/>
      <c r="B61" s="25"/>
      <c r="C61" s="18" t="s">
        <v>114</v>
      </c>
      <c r="D61" s="27" t="s">
        <v>115</v>
      </c>
      <c r="E61" s="19">
        <f>IF(E62&lt;5,0.2*(1-0.2*E62),0)</f>
        <v>0.2</v>
      </c>
      <c r="F61" s="18"/>
      <c r="G61" s="2"/>
      <c r="H61" s="6"/>
    </row>
    <row r="62" spans="1:8" ht="18">
      <c r="A62" s="2"/>
      <c r="B62" s="25"/>
      <c r="C62" s="18" t="s">
        <v>116</v>
      </c>
      <c r="D62" s="27" t="s">
        <v>117</v>
      </c>
      <c r="E62" s="19">
        <v>0</v>
      </c>
      <c r="F62" s="18"/>
      <c r="G62" s="2"/>
      <c r="H62" s="6"/>
    </row>
    <row r="63" spans="1:8" ht="15.6">
      <c r="A63" s="2"/>
      <c r="B63" s="1"/>
      <c r="C63" s="2"/>
      <c r="D63" s="10"/>
      <c r="E63" s="6"/>
      <c r="F63" s="2"/>
      <c r="G63" s="2"/>
      <c r="H63" s="6"/>
    </row>
    <row r="64" spans="1:8" ht="31.15">
      <c r="A64" s="2"/>
      <c r="B64" s="34" t="s">
        <v>118</v>
      </c>
      <c r="C64" s="23" t="s">
        <v>119</v>
      </c>
      <c r="D64" s="35" t="s">
        <v>120</v>
      </c>
      <c r="E64" s="36">
        <f>0.5*E13*(E10*0.5144)^2*E34*E65</f>
        <v>9.1472856303110976</v>
      </c>
      <c r="F64" s="23" t="s">
        <v>40</v>
      </c>
      <c r="G64" s="2"/>
      <c r="H64" s="6"/>
    </row>
    <row r="65" spans="1:8" ht="36">
      <c r="A65" s="2"/>
      <c r="B65" s="25"/>
      <c r="C65" s="18" t="s">
        <v>121</v>
      </c>
      <c r="D65" s="37" t="s">
        <v>122</v>
      </c>
      <c r="E65" s="19">
        <f>0.006*(E5+100)^-0.16-0.00205+0.003*SQRT((E5/7.5)*E9^4*E43*(0.04-E66))</f>
        <v>5.8219088771672631E-4</v>
      </c>
      <c r="F65" s="47"/>
      <c r="G65" s="2"/>
      <c r="H65" s="6"/>
    </row>
    <row r="66" spans="1:8" ht="64.5" customHeight="1">
      <c r="A66" s="2"/>
      <c r="B66" s="25"/>
      <c r="C66" s="18" t="s">
        <v>123</v>
      </c>
      <c r="D66" s="37" t="s">
        <v>124</v>
      </c>
      <c r="E66" s="19">
        <f>IF(H66&lt;=0.04,H66,0.04)</f>
        <v>0.04</v>
      </c>
      <c r="F66" s="47"/>
      <c r="G66" s="18" t="s">
        <v>125</v>
      </c>
      <c r="H66" s="19">
        <f>E8/E6</f>
        <v>5.09915014164306E-2</v>
      </c>
    </row>
    <row r="67" spans="1:8" ht="15.6">
      <c r="A67" s="2"/>
      <c r="B67" s="25"/>
      <c r="C67" s="18"/>
      <c r="D67" s="37"/>
      <c r="E67" s="19"/>
      <c r="F67" s="18"/>
      <c r="G67" s="2"/>
      <c r="H67" s="6"/>
    </row>
    <row r="68" spans="1:8" ht="18">
      <c r="A68" s="2"/>
      <c r="B68" s="25" t="s">
        <v>126</v>
      </c>
      <c r="C68" s="18" t="s">
        <v>127</v>
      </c>
      <c r="D68" s="37"/>
      <c r="E68" s="19">
        <v>11.6</v>
      </c>
      <c r="F68" s="18" t="s">
        <v>40</v>
      </c>
      <c r="G68" s="2"/>
      <c r="H68" s="6"/>
    </row>
    <row r="69" spans="1:8" ht="15.6">
      <c r="A69" s="2"/>
      <c r="B69" s="1"/>
      <c r="C69" s="2"/>
      <c r="D69" s="11"/>
      <c r="E69" s="6"/>
      <c r="F69" s="2"/>
      <c r="G69" s="2"/>
      <c r="H69" s="6"/>
    </row>
    <row r="70" spans="1:8" ht="15.6">
      <c r="A70" s="2"/>
      <c r="B70" s="1"/>
      <c r="C70" s="2"/>
      <c r="D70" s="11"/>
      <c r="E70" s="6"/>
      <c r="F70" s="2"/>
      <c r="G70" s="2"/>
      <c r="H70" s="6"/>
    </row>
    <row r="71" spans="1:8" ht="15.6">
      <c r="A71" s="2"/>
      <c r="B71" s="1"/>
      <c r="C71" s="2"/>
      <c r="D71" s="10"/>
      <c r="E71" s="6"/>
      <c r="F71" s="2"/>
      <c r="G71" s="2"/>
      <c r="H71" s="6"/>
    </row>
    <row r="72" spans="1:8" ht="18">
      <c r="A72" s="2"/>
      <c r="B72" s="22" t="s">
        <v>128</v>
      </c>
      <c r="C72" s="23" t="s">
        <v>129</v>
      </c>
      <c r="D72" s="23" t="s">
        <v>130</v>
      </c>
      <c r="E72" s="24">
        <f>E27*E30+E36+E39+E56+E60+E64+E68</f>
        <v>57.646058589909913</v>
      </c>
      <c r="F72" s="23" t="s">
        <v>40</v>
      </c>
      <c r="G72" s="2"/>
      <c r="H72" s="6"/>
    </row>
    <row r="73" spans="1:8" ht="18">
      <c r="A73" s="2"/>
      <c r="B73" s="25" t="s">
        <v>131</v>
      </c>
      <c r="C73" s="26" t="s">
        <v>132</v>
      </c>
      <c r="D73" s="27" t="s">
        <v>133</v>
      </c>
      <c r="E73" s="28">
        <f>E72*E10*0.5144</f>
        <v>296.53132538649658</v>
      </c>
      <c r="F73" s="18" t="s">
        <v>134</v>
      </c>
      <c r="G73" s="2"/>
      <c r="H73" s="2"/>
    </row>
    <row r="74" spans="1:8" ht="15.6">
      <c r="A74" s="2"/>
      <c r="B74" s="25"/>
      <c r="C74" s="18"/>
      <c r="D74" s="27"/>
      <c r="E74" s="28">
        <f>E73/0.746</f>
        <v>397.49507424463349</v>
      </c>
      <c r="F74" s="18" t="s">
        <v>135</v>
      </c>
      <c r="G74" s="2"/>
      <c r="H74" s="2"/>
    </row>
    <row r="75" spans="1:8" ht="15.6">
      <c r="A75" s="2"/>
      <c r="B75" s="25" t="s">
        <v>136</v>
      </c>
      <c r="C75" s="18" t="s">
        <v>137</v>
      </c>
      <c r="D75" s="29" t="s">
        <v>138</v>
      </c>
      <c r="E75" s="28" t="e">
        <f>#REF!</f>
        <v>#REF!</v>
      </c>
      <c r="F75" s="18"/>
      <c r="G75" s="2"/>
      <c r="H75" s="2"/>
    </row>
    <row r="76" spans="1:8" ht="15.6">
      <c r="A76" s="2"/>
      <c r="B76" s="25" t="s">
        <v>139</v>
      </c>
      <c r="C76" s="18" t="s">
        <v>140</v>
      </c>
      <c r="D76" s="27" t="s">
        <v>138</v>
      </c>
      <c r="E76" s="28" t="e">
        <f>#REF!</f>
        <v>#REF!</v>
      </c>
      <c r="F76" s="18"/>
      <c r="G76" s="2"/>
      <c r="H76" s="2"/>
    </row>
    <row r="77" spans="1:8" ht="18">
      <c r="A77" s="2"/>
      <c r="B77" s="25" t="s">
        <v>141</v>
      </c>
      <c r="C77" s="18" t="s">
        <v>142</v>
      </c>
      <c r="D77" s="27" t="s">
        <v>138</v>
      </c>
      <c r="E77" s="28" t="e">
        <f>#REF!</f>
        <v>#REF!</v>
      </c>
      <c r="F77" s="18"/>
      <c r="G77" s="2"/>
      <c r="H77" s="2"/>
    </row>
    <row r="78" spans="1:8" ht="18">
      <c r="A78" s="2"/>
      <c r="B78" s="25" t="s">
        <v>143</v>
      </c>
      <c r="C78" s="30" t="s">
        <v>144</v>
      </c>
      <c r="D78" s="27"/>
      <c r="E78" s="17" t="e">
        <f>#REF!</f>
        <v>#REF!</v>
      </c>
      <c r="F78" s="18"/>
      <c r="G78" s="18" t="s">
        <v>145</v>
      </c>
      <c r="H78" s="28" t="e">
        <f>1-E75</f>
        <v>#REF!</v>
      </c>
    </row>
    <row r="79" spans="1:8" ht="15.6">
      <c r="A79" s="2"/>
      <c r="B79" s="25" t="s">
        <v>146</v>
      </c>
      <c r="C79" s="30" t="s">
        <v>147</v>
      </c>
      <c r="D79" s="27"/>
      <c r="E79" s="17" t="e">
        <f>#REF!</f>
        <v>#REF!</v>
      </c>
      <c r="F79" s="18"/>
      <c r="G79" s="18" t="s">
        <v>148</v>
      </c>
      <c r="H79" s="28" t="e">
        <f>1-E76</f>
        <v>#REF!</v>
      </c>
    </row>
    <row r="80" spans="1:8" ht="15.6">
      <c r="A80" s="2"/>
      <c r="B80" s="25" t="s">
        <v>149</v>
      </c>
      <c r="C80" s="25"/>
      <c r="D80" s="27"/>
      <c r="E80" s="28" t="e">
        <f>E79*E78*E77</f>
        <v>#REF!</v>
      </c>
      <c r="F80" s="18"/>
      <c r="G80" s="2"/>
      <c r="H80" s="2"/>
    </row>
    <row r="81" spans="1:8" ht="15.6">
      <c r="A81" s="2"/>
      <c r="B81" s="25" t="s">
        <v>150</v>
      </c>
      <c r="C81" s="26" t="s">
        <v>151</v>
      </c>
      <c r="D81" s="27"/>
      <c r="E81" s="28" t="e">
        <f>E74/E80</f>
        <v>#REF!</v>
      </c>
      <c r="F81" s="18" t="s">
        <v>135</v>
      </c>
      <c r="G81" s="2" t="e">
        <f>E81*0.746</f>
        <v>#REF!</v>
      </c>
      <c r="H81" s="2" t="s">
        <v>152</v>
      </c>
    </row>
    <row r="82" spans="1:8" ht="15.6">
      <c r="A82" s="2"/>
      <c r="B82" s="25" t="s">
        <v>153</v>
      </c>
      <c r="C82" s="18"/>
      <c r="D82" s="27"/>
      <c r="E82" s="17">
        <v>0.98</v>
      </c>
      <c r="F82" s="18"/>
      <c r="G82" s="2"/>
      <c r="H82" s="2"/>
    </row>
    <row r="83" spans="1:8" ht="18">
      <c r="A83" s="2"/>
      <c r="B83" s="25" t="s">
        <v>154</v>
      </c>
      <c r="C83" s="26" t="s">
        <v>155</v>
      </c>
      <c r="D83" s="27"/>
      <c r="E83" s="28" t="e">
        <f>E81/E82</f>
        <v>#REF!</v>
      </c>
      <c r="F83" s="18" t="s">
        <v>135</v>
      </c>
      <c r="G83" s="2" t="e">
        <f>E83*0.746</f>
        <v>#REF!</v>
      </c>
      <c r="H83" s="2" t="s">
        <v>152</v>
      </c>
    </row>
    <row r="84" spans="1:8" ht="15.6">
      <c r="A84" s="2"/>
      <c r="B84" s="25" t="s">
        <v>156</v>
      </c>
      <c r="C84" s="18"/>
      <c r="D84" s="27"/>
      <c r="E84" s="28">
        <v>0.95</v>
      </c>
      <c r="F84" s="18"/>
      <c r="G84" s="2"/>
      <c r="H84" s="2"/>
    </row>
    <row r="85" spans="1:8" ht="18">
      <c r="A85" s="2"/>
      <c r="B85" s="25" t="s">
        <v>157</v>
      </c>
      <c r="C85" s="26" t="s">
        <v>106</v>
      </c>
      <c r="D85" s="27"/>
      <c r="E85" s="28" t="e">
        <f>E83/E84</f>
        <v>#REF!</v>
      </c>
      <c r="F85" s="18" t="s">
        <v>135</v>
      </c>
      <c r="G85" s="2" t="e">
        <f>E85*0.746</f>
        <v>#REF!</v>
      </c>
      <c r="H85" s="2" t="s">
        <v>152</v>
      </c>
    </row>
    <row r="86" spans="1:8" ht="15.6">
      <c r="A86" s="2"/>
      <c r="B86" s="25"/>
      <c r="C86" s="18"/>
      <c r="D86" s="27"/>
      <c r="E86" s="18"/>
      <c r="F86" s="18"/>
      <c r="G86" s="2"/>
      <c r="H86" s="2"/>
    </row>
    <row r="87" spans="1:8" ht="18">
      <c r="A87" s="2"/>
      <c r="B87" s="31" t="s">
        <v>158</v>
      </c>
      <c r="C87" s="32" t="s">
        <v>106</v>
      </c>
      <c r="D87" s="33"/>
      <c r="E87" s="32" t="e">
        <f>E85/0.85</f>
        <v>#REF!</v>
      </c>
      <c r="F87" s="32" t="s">
        <v>135</v>
      </c>
      <c r="G87" s="10" t="e">
        <f>E87*0.746</f>
        <v>#REF!</v>
      </c>
      <c r="H87" s="2" t="s">
        <v>152</v>
      </c>
    </row>
    <row r="88" spans="1:8" ht="18">
      <c r="E88" s="51">
        <v>792</v>
      </c>
      <c r="F88" s="52" t="s">
        <v>135</v>
      </c>
      <c r="G88" t="s">
        <v>159</v>
      </c>
    </row>
  </sheetData>
  <mergeCells count="22">
    <mergeCell ref="C23:D23"/>
    <mergeCell ref="C1:F2"/>
    <mergeCell ref="C3:F3"/>
    <mergeCell ref="C18:D18"/>
    <mergeCell ref="C19:D19"/>
    <mergeCell ref="C20:D20"/>
    <mergeCell ref="C21:D21"/>
    <mergeCell ref="C22:D22"/>
    <mergeCell ref="C13:D13"/>
    <mergeCell ref="C14:D14"/>
    <mergeCell ref="C11:D11"/>
    <mergeCell ref="C12:D12"/>
    <mergeCell ref="C4:D4"/>
    <mergeCell ref="C5:D5"/>
    <mergeCell ref="C6:D6"/>
    <mergeCell ref="C7:D7"/>
    <mergeCell ref="C15:D15"/>
    <mergeCell ref="C16:D16"/>
    <mergeCell ref="C17:D17"/>
    <mergeCell ref="C8:D8"/>
    <mergeCell ref="C9:D9"/>
    <mergeCell ref="C10:D1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U129"/>
  <sheetViews>
    <sheetView tabSelected="1" zoomScale="70" zoomScaleNormal="70" workbookViewId="0"/>
  </sheetViews>
  <sheetFormatPr defaultRowHeight="14.45"/>
  <cols>
    <col min="3" max="3" width="11" customWidth="1"/>
    <col min="4" max="4" width="17.28515625" customWidth="1"/>
    <col min="5" max="5" width="14.7109375" style="81" bestFit="1" customWidth="1"/>
    <col min="7" max="7" width="16.5703125" customWidth="1"/>
    <col min="12" max="12" width="24.7109375" customWidth="1"/>
    <col min="13" max="13" width="15.7109375" customWidth="1"/>
    <col min="14" max="14" width="10.5703125" bestFit="1" customWidth="1"/>
    <col min="15" max="15" width="21.42578125" customWidth="1"/>
    <col min="17" max="17" width="15.85546875" customWidth="1"/>
    <col min="18" max="18" width="44" customWidth="1"/>
    <col min="19" max="19" width="33" customWidth="1"/>
    <col min="20" max="20" width="23.28515625" customWidth="1"/>
    <col min="21" max="21" width="65.28515625" customWidth="1"/>
  </cols>
  <sheetData>
    <row r="1" spans="2:8" ht="15" customHeight="1">
      <c r="B1" s="110" t="s">
        <v>160</v>
      </c>
      <c r="C1" s="110"/>
      <c r="D1" s="110"/>
      <c r="E1" s="110"/>
      <c r="F1" s="110"/>
      <c r="G1" s="61"/>
      <c r="H1" s="61"/>
    </row>
    <row r="2" spans="2:8" ht="15" customHeight="1">
      <c r="B2" s="110"/>
      <c r="C2" s="110"/>
      <c r="D2" s="110"/>
      <c r="E2" s="110"/>
      <c r="F2" s="110"/>
      <c r="G2" s="61"/>
      <c r="H2" s="61"/>
    </row>
    <row r="3" spans="2:8">
      <c r="B3" s="118" t="str">
        <f>'Resistance &amp; Power'!C4</f>
        <v>Parameters</v>
      </c>
      <c r="C3" s="118"/>
      <c r="D3" s="118"/>
      <c r="E3" s="63" t="str">
        <f>'Resistance &amp; Power'!E4</f>
        <v>Value</v>
      </c>
      <c r="F3" s="63" t="str">
        <f>'Resistance &amp; Power'!F4</f>
        <v>Unit</v>
      </c>
    </row>
    <row r="4" spans="2:8">
      <c r="B4" s="118" t="str">
        <f>'Resistance &amp; Power'!C5</f>
        <v xml:space="preserve">Waterline Length, LWL            </v>
      </c>
      <c r="C4" s="118"/>
      <c r="D4" s="118"/>
      <c r="E4" s="82">
        <v>64.760000000000005</v>
      </c>
      <c r="F4" s="63" t="str">
        <f>'Resistance &amp; Power'!F5</f>
        <v>m</v>
      </c>
    </row>
    <row r="5" spans="2:8">
      <c r="B5" s="118" t="str">
        <f>'Resistance &amp; Power'!C6</f>
        <v>Length Between Perpendicular, LBP</v>
      </c>
      <c r="C5" s="118"/>
      <c r="D5" s="118"/>
      <c r="E5" s="82">
        <v>64.55</v>
      </c>
      <c r="F5" s="63" t="str">
        <f>'Resistance &amp; Power'!F6</f>
        <v>m</v>
      </c>
    </row>
    <row r="6" spans="2:8">
      <c r="B6" s="118" t="str">
        <f>'Resistance &amp; Power'!C7</f>
        <v>Breadth moulded, B</v>
      </c>
      <c r="C6" s="118"/>
      <c r="D6" s="118"/>
      <c r="E6" s="82">
        <v>10.77</v>
      </c>
      <c r="F6" s="63" t="str">
        <f>'Resistance &amp; Power'!F7</f>
        <v>m</v>
      </c>
    </row>
    <row r="7" spans="2:8">
      <c r="B7" s="118" t="str">
        <f>'Resistance &amp; Power'!C8</f>
        <v xml:space="preserve">Draft moulded, T </v>
      </c>
      <c r="C7" s="118"/>
      <c r="D7" s="118"/>
      <c r="E7" s="82">
        <v>3.8</v>
      </c>
      <c r="F7" s="63" t="str">
        <f>'Resistance &amp; Power'!F8</f>
        <v>m</v>
      </c>
    </row>
    <row r="8" spans="2:8">
      <c r="B8" s="118" t="str">
        <f>'Resistance &amp; Power'!C9</f>
        <v xml:space="preserve">Block Coefficient, Cb </v>
      </c>
      <c r="C8" s="118"/>
      <c r="D8" s="118"/>
      <c r="E8" s="82">
        <v>0.79</v>
      </c>
      <c r="F8" s="63"/>
    </row>
    <row r="9" spans="2:8">
      <c r="B9" s="118" t="str">
        <f>'Resistance &amp; Power'!C10</f>
        <v xml:space="preserve"> Ship Speed, V</v>
      </c>
      <c r="C9" s="118"/>
      <c r="D9" s="118"/>
      <c r="E9" s="82">
        <v>9</v>
      </c>
      <c r="F9" s="63" t="str">
        <f>'Resistance &amp; Power'!F10</f>
        <v>knots</v>
      </c>
    </row>
    <row r="10" spans="2:8">
      <c r="B10" s="112" t="s">
        <v>161</v>
      </c>
      <c r="C10" s="112"/>
      <c r="D10" s="112"/>
      <c r="E10" s="84">
        <v>200</v>
      </c>
      <c r="F10" s="64" t="s">
        <v>162</v>
      </c>
    </row>
    <row r="11" spans="2:8" ht="15.75" customHeight="1">
      <c r="B11" s="112" t="s">
        <v>163</v>
      </c>
      <c r="C11" s="112"/>
      <c r="D11" s="112"/>
      <c r="E11" s="85">
        <v>197.32599999999999</v>
      </c>
      <c r="F11" s="63" t="s">
        <v>134</v>
      </c>
    </row>
    <row r="12" spans="2:8" ht="15.75" customHeight="1">
      <c r="B12" s="60"/>
      <c r="C12" s="60"/>
      <c r="D12" s="60"/>
      <c r="E12" s="69">
        <f>E11</f>
        <v>197.32599999999999</v>
      </c>
      <c r="F12" s="54"/>
    </row>
    <row r="13" spans="2:8" ht="15.75" customHeight="1">
      <c r="B13" s="111" t="s">
        <v>164</v>
      </c>
      <c r="C13" s="111"/>
      <c r="D13" s="111"/>
      <c r="E13" s="111"/>
      <c r="F13" s="111"/>
    </row>
    <row r="14" spans="2:8" ht="25.5" customHeight="1">
      <c r="B14" s="111"/>
      <c r="C14" s="111"/>
      <c r="D14" s="111"/>
      <c r="E14" s="111"/>
      <c r="F14" s="111"/>
    </row>
    <row r="15" spans="2:8" ht="18.75" customHeight="1">
      <c r="B15" s="112" t="s">
        <v>165</v>
      </c>
      <c r="C15" s="112"/>
      <c r="D15" s="112"/>
      <c r="E15" s="86">
        <f>2*3.14159*E10/60</f>
        <v>20.943933333333334</v>
      </c>
      <c r="F15" s="65" t="s">
        <v>166</v>
      </c>
    </row>
    <row r="16" spans="2:8">
      <c r="B16" s="112" t="s">
        <v>167</v>
      </c>
      <c r="C16" s="112"/>
      <c r="D16" s="112"/>
      <c r="E16" s="86">
        <f>E11/E15*1000</f>
        <v>9421.6304482761916</v>
      </c>
      <c r="F16" s="65" t="s">
        <v>168</v>
      </c>
    </row>
    <row r="17" spans="2:8" ht="16.149999999999999">
      <c r="B17" s="112" t="s">
        <v>169</v>
      </c>
      <c r="C17" s="112"/>
      <c r="D17" s="112"/>
      <c r="E17" s="70">
        <v>450</v>
      </c>
      <c r="F17" s="65" t="s">
        <v>170</v>
      </c>
      <c r="H17" t="s">
        <v>171</v>
      </c>
    </row>
    <row r="18" spans="2:8">
      <c r="B18" s="112" t="s">
        <v>172</v>
      </c>
      <c r="C18" s="112"/>
      <c r="D18" s="112"/>
      <c r="E18" s="70">
        <v>2</v>
      </c>
      <c r="F18" s="65"/>
    </row>
    <row r="19" spans="2:8" ht="16.149999999999999">
      <c r="B19" s="103" t="s">
        <v>173</v>
      </c>
      <c r="C19" s="103"/>
      <c r="D19" s="103"/>
      <c r="E19" s="70">
        <f>E17/E18</f>
        <v>225</v>
      </c>
      <c r="F19" s="65" t="s">
        <v>174</v>
      </c>
    </row>
    <row r="20" spans="2:8" ht="16.149999999999999">
      <c r="B20" s="103"/>
      <c r="C20" s="103"/>
      <c r="D20" s="103"/>
      <c r="E20" s="87">
        <f>E19*1000000</f>
        <v>225000000</v>
      </c>
      <c r="F20" s="65" t="s">
        <v>175</v>
      </c>
    </row>
    <row r="21" spans="2:8">
      <c r="B21" s="115" t="s">
        <v>176</v>
      </c>
      <c r="C21" s="115"/>
      <c r="D21" s="115"/>
      <c r="E21" s="115"/>
      <c r="F21" s="115"/>
    </row>
    <row r="22" spans="2:8">
      <c r="B22" s="115" t="s">
        <v>177</v>
      </c>
      <c r="C22" s="115"/>
      <c r="D22" s="115"/>
      <c r="E22" s="115"/>
      <c r="F22" s="115"/>
    </row>
    <row r="23" spans="2:8" ht="16.149999999999999">
      <c r="B23" s="115" t="s">
        <v>178</v>
      </c>
      <c r="C23" s="115"/>
      <c r="D23" s="115"/>
      <c r="E23" s="115"/>
      <c r="F23" s="115"/>
    </row>
    <row r="24" spans="2:8" ht="18">
      <c r="B24" s="112" t="s">
        <v>179</v>
      </c>
      <c r="C24" s="112"/>
      <c r="D24" s="112"/>
      <c r="E24" s="86">
        <f>(E16*32)/(3.14159*2*E20)</f>
        <v>2.1326226835939632E-4</v>
      </c>
      <c r="F24" s="66"/>
      <c r="H24" s="55"/>
    </row>
    <row r="25" spans="2:8">
      <c r="B25" s="112" t="s">
        <v>180</v>
      </c>
      <c r="C25" s="112"/>
      <c r="D25" s="112"/>
      <c r="E25" s="86">
        <f>E24^(1/3)*1000</f>
        <v>59.745427739913055</v>
      </c>
      <c r="F25" s="66" t="s">
        <v>181</v>
      </c>
    </row>
    <row r="26" spans="2:8">
      <c r="B26" s="112" t="s">
        <v>182</v>
      </c>
      <c r="C26" s="112"/>
      <c r="D26" s="112"/>
      <c r="E26" s="82">
        <v>60</v>
      </c>
      <c r="F26" s="66" t="s">
        <v>181</v>
      </c>
    </row>
    <row r="29" spans="2:8" ht="18.75" customHeight="1">
      <c r="B29" s="114" t="s">
        <v>183</v>
      </c>
      <c r="C29" s="114"/>
      <c r="D29" s="114"/>
      <c r="E29" s="114"/>
      <c r="F29" s="114"/>
      <c r="G29" t="s">
        <v>184</v>
      </c>
    </row>
    <row r="30" spans="2:8" ht="27" customHeight="1">
      <c r="B30" s="114"/>
      <c r="C30" s="114"/>
      <c r="D30" s="114"/>
      <c r="E30" s="114"/>
      <c r="F30" s="114"/>
    </row>
    <row r="31" spans="2:8" ht="15.6">
      <c r="B31" s="113" t="s">
        <v>185</v>
      </c>
      <c r="C31" s="113"/>
      <c r="D31" s="113"/>
      <c r="E31" s="113"/>
      <c r="F31" s="113"/>
    </row>
    <row r="32" spans="2:8" ht="39" customHeight="1">
      <c r="B32" s="116" t="s">
        <v>186</v>
      </c>
      <c r="C32" s="116"/>
      <c r="D32" s="116"/>
      <c r="E32" s="88">
        <f>E11</f>
        <v>197.32599999999999</v>
      </c>
      <c r="F32" s="63" t="s">
        <v>134</v>
      </c>
    </row>
    <row r="33" spans="2:9" ht="33" customHeight="1">
      <c r="B33" s="116" t="s">
        <v>187</v>
      </c>
      <c r="C33" s="116"/>
      <c r="D33" s="116"/>
      <c r="E33" s="70">
        <f>E17</f>
        <v>450</v>
      </c>
      <c r="F33" s="63" t="s">
        <v>170</v>
      </c>
    </row>
    <row r="34" spans="2:9" ht="18">
      <c r="B34" s="103" t="s">
        <v>188</v>
      </c>
      <c r="C34" s="103"/>
      <c r="D34" s="103"/>
      <c r="E34" s="89">
        <f>560/(E33+160)</f>
        <v>0.91803278688524592</v>
      </c>
      <c r="F34" s="67"/>
    </row>
    <row r="35" spans="2:9" ht="53.25" customHeight="1">
      <c r="B35" s="116" t="s">
        <v>189</v>
      </c>
      <c r="C35" s="116"/>
      <c r="D35" s="116"/>
      <c r="E35" s="70">
        <v>1.26</v>
      </c>
      <c r="F35" s="63"/>
      <c r="G35" s="54"/>
    </row>
    <row r="36" spans="2:9">
      <c r="B36" s="103" t="s">
        <v>190</v>
      </c>
      <c r="C36" s="103"/>
      <c r="D36" s="103"/>
      <c r="E36" s="70">
        <v>100</v>
      </c>
      <c r="F36" s="63"/>
    </row>
    <row r="37" spans="2:9" ht="16.149999999999999">
      <c r="B37" s="103" t="s">
        <v>191</v>
      </c>
      <c r="C37" s="103"/>
      <c r="D37" s="103"/>
      <c r="E37" s="70">
        <v>1</v>
      </c>
      <c r="F37" s="63"/>
    </row>
    <row r="38" spans="2:9">
      <c r="B38" s="103" t="s">
        <v>180</v>
      </c>
      <c r="C38" s="103"/>
      <c r="D38" s="103"/>
      <c r="E38" s="89">
        <f>E36*E35*(E32*E34/E10*E37)^(1/3)</f>
        <v>121.91057547752442</v>
      </c>
      <c r="F38" s="63" t="s">
        <v>181</v>
      </c>
    </row>
    <row r="39" spans="2:9" ht="18.75" customHeight="1">
      <c r="B39" s="103"/>
      <c r="C39" s="103"/>
      <c r="D39" s="103"/>
      <c r="E39" s="90">
        <v>150</v>
      </c>
      <c r="F39" s="63" t="s">
        <v>181</v>
      </c>
      <c r="G39" s="54" t="s">
        <v>192</v>
      </c>
    </row>
    <row r="40" spans="2:9" ht="18">
      <c r="B40" s="57"/>
      <c r="D40" s="54"/>
    </row>
    <row r="41" spans="2:9" ht="18">
      <c r="B41" s="56"/>
    </row>
    <row r="42" spans="2:9" ht="18">
      <c r="C42" s="56"/>
    </row>
    <row r="43" spans="2:9" ht="18">
      <c r="B43" s="56"/>
      <c r="F43" s="56"/>
      <c r="I43" s="53"/>
    </row>
    <row r="45" spans="2:9" ht="18">
      <c r="C45" s="56"/>
    </row>
    <row r="47" spans="2:9" ht="18">
      <c r="B47" s="56" t="s">
        <v>193</v>
      </c>
      <c r="C47" s="58"/>
    </row>
    <row r="49" spans="2:7" ht="18">
      <c r="C49" s="56"/>
    </row>
    <row r="50" spans="2:7" ht="17.45">
      <c r="B50" s="58"/>
    </row>
    <row r="51" spans="2:7" ht="18.75" customHeight="1">
      <c r="B51" s="114" t="s">
        <v>194</v>
      </c>
      <c r="C51" s="114"/>
      <c r="D51" s="114"/>
      <c r="E51" s="114"/>
      <c r="F51" s="114"/>
    </row>
    <row r="52" spans="2:7" ht="42.75" customHeight="1">
      <c r="B52" s="114"/>
      <c r="C52" s="114"/>
      <c r="D52" s="114"/>
      <c r="E52" s="114"/>
      <c r="F52" s="114"/>
    </row>
    <row r="53" spans="2:7">
      <c r="B53" s="105" t="s">
        <v>195</v>
      </c>
      <c r="C53" s="105"/>
      <c r="D53" s="105"/>
      <c r="E53" s="83">
        <v>7</v>
      </c>
      <c r="F53" s="63" t="s">
        <v>6</v>
      </c>
    </row>
    <row r="54" spans="2:7" ht="16.149999999999999">
      <c r="B54" s="105" t="s">
        <v>196</v>
      </c>
      <c r="C54" s="105"/>
      <c r="D54" s="105"/>
      <c r="E54" s="70">
        <f>3.1416*((E39/1000)^4)/32</f>
        <v>4.9701093749999995E-5</v>
      </c>
      <c r="F54" s="63" t="s">
        <v>197</v>
      </c>
    </row>
    <row r="55" spans="2:7">
      <c r="B55" s="106" t="s">
        <v>198</v>
      </c>
      <c r="C55" s="106"/>
      <c r="D55" s="106"/>
      <c r="E55" s="91">
        <v>83000000000</v>
      </c>
      <c r="F55" s="63" t="s">
        <v>199</v>
      </c>
    </row>
    <row r="56" spans="2:7">
      <c r="B56" s="107" t="s">
        <v>200</v>
      </c>
      <c r="C56" s="107"/>
      <c r="D56" s="107"/>
      <c r="E56" s="63">
        <f>(E16*E53)/(E54*E55)</f>
        <v>1.598748194573173E-2</v>
      </c>
      <c r="F56" s="63" t="s">
        <v>201</v>
      </c>
    </row>
    <row r="57" spans="2:7" ht="18.75" customHeight="1">
      <c r="B57" s="107"/>
      <c r="C57" s="107"/>
      <c r="D57" s="107"/>
      <c r="E57" s="74">
        <f>E56*180/3.1416</f>
        <v>0.91601309849494261</v>
      </c>
      <c r="F57" s="63" t="s">
        <v>202</v>
      </c>
    </row>
    <row r="58" spans="2:7" ht="32.25" customHeight="1">
      <c r="B58" s="104" t="s">
        <v>203</v>
      </c>
      <c r="C58" s="104"/>
      <c r="D58" s="104"/>
      <c r="E58" s="104"/>
      <c r="F58" s="104"/>
    </row>
    <row r="59" spans="2:7">
      <c r="G59" s="59"/>
    </row>
    <row r="61" spans="2:7" ht="18.75" customHeight="1">
      <c r="B61" s="108" t="s">
        <v>204</v>
      </c>
      <c r="C61" s="108"/>
      <c r="D61" s="108"/>
      <c r="E61" s="108"/>
      <c r="F61" s="108"/>
      <c r="G61" t="s">
        <v>205</v>
      </c>
    </row>
    <row r="62" spans="2:7">
      <c r="B62" s="108"/>
      <c r="C62" s="108"/>
      <c r="D62" s="108"/>
      <c r="E62" s="108"/>
      <c r="F62" s="108"/>
    </row>
    <row r="63" spans="2:7" ht="18.75" customHeight="1">
      <c r="B63" s="109" t="s">
        <v>204</v>
      </c>
      <c r="C63" s="109"/>
      <c r="D63" s="109"/>
      <c r="E63" s="70">
        <f>0.03*E39+7.5</f>
        <v>12</v>
      </c>
      <c r="F63" s="62" t="s">
        <v>181</v>
      </c>
    </row>
    <row r="64" spans="2:7" ht="18.75" customHeight="1">
      <c r="B64" s="109"/>
      <c r="C64" s="109"/>
      <c r="D64" s="109"/>
      <c r="E64" s="82">
        <v>12</v>
      </c>
      <c r="F64" s="62" t="s">
        <v>181</v>
      </c>
    </row>
    <row r="67" spans="2:7" ht="18">
      <c r="B67" s="8"/>
    </row>
    <row r="68" spans="2:7" ht="18">
      <c r="B68" s="8"/>
    </row>
    <row r="69" spans="2:7" ht="20.25" customHeight="1">
      <c r="B69" s="108" t="s">
        <v>206</v>
      </c>
      <c r="C69" s="108"/>
      <c r="D69" s="108"/>
      <c r="E69" s="108"/>
      <c r="F69" s="108"/>
      <c r="G69" t="s">
        <v>207</v>
      </c>
    </row>
    <row r="70" spans="2:7" ht="20.25" customHeight="1">
      <c r="B70" s="108"/>
      <c r="C70" s="108"/>
      <c r="D70" s="108"/>
      <c r="E70" s="108"/>
      <c r="F70" s="108"/>
    </row>
    <row r="71" spans="2:7" ht="18.75" customHeight="1">
      <c r="B71" s="117" t="s">
        <v>208</v>
      </c>
      <c r="C71" s="117"/>
      <c r="D71" s="117"/>
      <c r="E71" s="117"/>
      <c r="F71" s="117"/>
    </row>
    <row r="72" spans="2:7" ht="18.75" customHeight="1">
      <c r="B72" s="117"/>
      <c r="C72" s="117"/>
      <c r="D72" s="117"/>
      <c r="E72" s="117"/>
      <c r="F72" s="117"/>
    </row>
    <row r="73" spans="2:7">
      <c r="B73" s="117"/>
      <c r="C73" s="117"/>
      <c r="D73" s="117"/>
      <c r="E73" s="117"/>
      <c r="F73" s="117"/>
    </row>
    <row r="74" spans="2:7">
      <c r="B74" s="117"/>
      <c r="C74" s="117"/>
      <c r="D74" s="117"/>
      <c r="E74" s="117"/>
      <c r="F74" s="117"/>
    </row>
    <row r="75" spans="2:7">
      <c r="B75" s="109" t="s">
        <v>209</v>
      </c>
      <c r="C75" s="109"/>
      <c r="D75" s="109"/>
      <c r="E75" s="70">
        <f>0.2*E39</f>
        <v>30</v>
      </c>
      <c r="F75" s="62" t="s">
        <v>181</v>
      </c>
    </row>
    <row r="76" spans="2:7">
      <c r="B76" s="68"/>
      <c r="C76" s="68"/>
      <c r="D76" s="68"/>
    </row>
    <row r="77" spans="2:7">
      <c r="B77" s="108" t="s">
        <v>210</v>
      </c>
      <c r="C77" s="108"/>
      <c r="D77" s="108"/>
      <c r="E77" s="108"/>
      <c r="F77" s="108"/>
      <c r="G77" t="s">
        <v>211</v>
      </c>
    </row>
    <row r="78" spans="2:7">
      <c r="B78" s="108"/>
      <c r="C78" s="108"/>
      <c r="D78" s="108"/>
      <c r="E78" s="108"/>
      <c r="F78" s="108"/>
    </row>
    <row r="79" spans="2:7" ht="15.6">
      <c r="B79" s="109" t="s">
        <v>212</v>
      </c>
      <c r="C79" s="109"/>
      <c r="D79" s="109"/>
      <c r="E79" s="70">
        <v>450</v>
      </c>
      <c r="F79" s="62"/>
    </row>
    <row r="80" spans="2:7">
      <c r="B80" s="109" t="s">
        <v>213</v>
      </c>
      <c r="C80" s="109"/>
      <c r="D80" s="109"/>
      <c r="E80" s="70">
        <f>E79*SQRT(E39)</f>
        <v>5511.3519212621504</v>
      </c>
      <c r="F80" s="62" t="s">
        <v>181</v>
      </c>
    </row>
    <row r="81" spans="2:7">
      <c r="B81" s="68"/>
      <c r="C81" s="68"/>
      <c r="D81" s="68"/>
      <c r="E81" s="72">
        <v>5520</v>
      </c>
      <c r="F81" s="71" t="s">
        <v>181</v>
      </c>
    </row>
    <row r="82" spans="2:7">
      <c r="B82" s="68"/>
      <c r="C82" s="68"/>
      <c r="D82" s="68"/>
    </row>
    <row r="83" spans="2:7">
      <c r="B83" s="68"/>
      <c r="C83" s="68"/>
      <c r="D83" s="68"/>
    </row>
    <row r="84" spans="2:7">
      <c r="B84" s="68"/>
      <c r="C84" s="68"/>
      <c r="D84" s="68"/>
    </row>
    <row r="85" spans="2:7">
      <c r="B85" s="68"/>
      <c r="C85" s="68"/>
      <c r="D85" s="68"/>
    </row>
    <row r="86" spans="2:7">
      <c r="B86" s="68"/>
      <c r="C86" s="68"/>
      <c r="D86" s="68"/>
    </row>
    <row r="87" spans="2:7">
      <c r="B87" s="68"/>
      <c r="C87" s="68"/>
      <c r="D87" s="68"/>
    </row>
    <row r="89" spans="2:7" ht="18">
      <c r="B89" s="8"/>
    </row>
    <row r="90" spans="2:7" ht="20.25" customHeight="1">
      <c r="B90" s="119" t="s">
        <v>214</v>
      </c>
      <c r="C90" s="119"/>
      <c r="D90" s="119"/>
      <c r="E90" s="119"/>
      <c r="F90" s="119"/>
      <c r="G90" t="s">
        <v>215</v>
      </c>
    </row>
    <row r="91" spans="2:7" ht="18.75" customHeight="1">
      <c r="B91" s="119"/>
      <c r="C91" s="119"/>
      <c r="D91" s="119"/>
      <c r="E91" s="119"/>
      <c r="F91" s="119"/>
    </row>
    <row r="92" spans="2:7">
      <c r="B92" s="109" t="s">
        <v>216</v>
      </c>
      <c r="C92" s="109"/>
      <c r="D92" s="109"/>
      <c r="E92" s="70">
        <f>2*E39</f>
        <v>300</v>
      </c>
      <c r="F92" s="62" t="s">
        <v>181</v>
      </c>
    </row>
    <row r="93" spans="2:7">
      <c r="B93" s="109" t="s">
        <v>217</v>
      </c>
      <c r="C93" s="109"/>
      <c r="D93" s="109"/>
      <c r="E93" s="105">
        <f>0.8*E39</f>
        <v>120</v>
      </c>
      <c r="F93" s="103" t="s">
        <v>181</v>
      </c>
    </row>
    <row r="94" spans="2:7" ht="18.75" customHeight="1">
      <c r="B94" s="109"/>
      <c r="C94" s="109"/>
      <c r="D94" s="109"/>
      <c r="E94" s="105"/>
      <c r="F94" s="103"/>
    </row>
    <row r="95" spans="2:7" ht="18">
      <c r="B95" s="8"/>
    </row>
    <row r="98" spans="2:21" ht="18">
      <c r="B98" s="56"/>
      <c r="K98" s="126"/>
      <c r="L98" s="126"/>
      <c r="M98" s="126"/>
      <c r="N98" s="126"/>
      <c r="O98" s="126"/>
      <c r="P98" s="126"/>
      <c r="Q98" s="126"/>
      <c r="R98" s="126"/>
      <c r="S98" s="126"/>
      <c r="T98" s="126"/>
      <c r="U98" s="126"/>
    </row>
    <row r="99" spans="2:21" ht="42" customHeight="1">
      <c r="K99" s="127"/>
      <c r="L99" s="127"/>
      <c r="M99" s="127"/>
      <c r="N99" s="127"/>
      <c r="O99" s="127"/>
      <c r="P99" s="126"/>
      <c r="Q99" s="77" t="s">
        <v>218</v>
      </c>
      <c r="R99" s="77" t="s">
        <v>219</v>
      </c>
      <c r="S99" s="77" t="s">
        <v>220</v>
      </c>
      <c r="T99" s="77" t="s">
        <v>221</v>
      </c>
      <c r="U99" s="75"/>
    </row>
    <row r="100" spans="2:21" ht="19.899999999999999" customHeight="1">
      <c r="K100" s="128"/>
      <c r="L100" s="129"/>
      <c r="M100" s="128"/>
      <c r="N100" s="128"/>
      <c r="O100" s="129"/>
      <c r="P100" s="126"/>
      <c r="Q100" s="77">
        <v>1</v>
      </c>
      <c r="R100" s="78" t="s">
        <v>222</v>
      </c>
      <c r="S100" s="77" t="s">
        <v>223</v>
      </c>
      <c r="T100" s="77">
        <v>1</v>
      </c>
      <c r="U100" s="75"/>
    </row>
    <row r="101" spans="2:21" ht="19.899999999999999" customHeight="1">
      <c r="K101" s="128"/>
      <c r="L101" s="129"/>
      <c r="M101" s="128"/>
      <c r="N101" s="128"/>
      <c r="O101" s="129"/>
      <c r="P101" s="126"/>
      <c r="Q101" s="77">
        <v>2</v>
      </c>
      <c r="R101" s="78" t="s">
        <v>224</v>
      </c>
      <c r="S101" s="77" t="s">
        <v>223</v>
      </c>
      <c r="T101" s="77">
        <v>2</v>
      </c>
      <c r="U101" s="75"/>
    </row>
    <row r="102" spans="2:21" ht="19.899999999999999" customHeight="1">
      <c r="K102" s="128"/>
      <c r="L102" s="129"/>
      <c r="M102" s="128"/>
      <c r="N102" s="128"/>
      <c r="O102" s="129"/>
      <c r="P102" s="126"/>
      <c r="Q102" s="77">
        <v>3</v>
      </c>
      <c r="R102" s="78" t="s">
        <v>225</v>
      </c>
      <c r="S102" s="77" t="s">
        <v>223</v>
      </c>
      <c r="T102" s="79" t="s">
        <v>226</v>
      </c>
      <c r="U102" s="75"/>
    </row>
    <row r="103" spans="2:21" ht="19.899999999999999" customHeight="1">
      <c r="K103" s="128"/>
      <c r="L103" s="129"/>
      <c r="M103" s="128"/>
      <c r="N103" s="128"/>
      <c r="O103" s="73"/>
      <c r="P103" s="126"/>
      <c r="Q103" s="77">
        <v>4</v>
      </c>
      <c r="R103" s="78" t="s">
        <v>227</v>
      </c>
      <c r="S103" s="77" t="s">
        <v>223</v>
      </c>
      <c r="T103" s="77">
        <v>1</v>
      </c>
      <c r="U103" s="76"/>
    </row>
    <row r="104" spans="2:21" ht="19.899999999999999" customHeight="1">
      <c r="K104" s="128"/>
      <c r="L104" s="129"/>
      <c r="M104" s="128"/>
      <c r="N104" s="128"/>
      <c r="O104" s="129"/>
      <c r="P104" s="126"/>
      <c r="Q104" s="77">
        <v>5</v>
      </c>
      <c r="R104" s="78" t="s">
        <v>228</v>
      </c>
      <c r="S104" s="77" t="s">
        <v>223</v>
      </c>
      <c r="T104" s="77">
        <v>3</v>
      </c>
      <c r="U104" s="75"/>
    </row>
    <row r="105" spans="2:21" ht="19.899999999999999" customHeight="1">
      <c r="K105" s="128"/>
      <c r="L105" s="129"/>
      <c r="M105" s="128"/>
      <c r="N105" s="128"/>
      <c r="O105" s="129"/>
      <c r="P105" s="126"/>
      <c r="Q105" s="77">
        <v>6</v>
      </c>
      <c r="R105" s="78" t="s">
        <v>229</v>
      </c>
      <c r="S105" s="77" t="s">
        <v>230</v>
      </c>
      <c r="T105" s="77">
        <v>3</v>
      </c>
      <c r="U105" s="75"/>
    </row>
    <row r="106" spans="2:21" ht="19.899999999999999" customHeight="1">
      <c r="K106" s="128"/>
      <c r="L106" s="129"/>
      <c r="M106" s="128"/>
      <c r="N106" s="128"/>
      <c r="O106" s="129"/>
      <c r="P106" s="126"/>
      <c r="Q106" s="77">
        <v>7</v>
      </c>
      <c r="R106" s="78" t="s">
        <v>231</v>
      </c>
      <c r="S106" s="77" t="s">
        <v>230</v>
      </c>
      <c r="T106" s="77">
        <v>1</v>
      </c>
      <c r="U106" s="75"/>
    </row>
    <row r="107" spans="2:21" ht="19.899999999999999" customHeight="1">
      <c r="K107" s="128"/>
      <c r="L107" s="129"/>
      <c r="M107" s="128"/>
      <c r="N107" s="128"/>
      <c r="O107" s="129"/>
      <c r="P107" s="126"/>
      <c r="Q107" s="77">
        <v>8</v>
      </c>
      <c r="R107" s="78" t="s">
        <v>232</v>
      </c>
      <c r="S107" s="77" t="s">
        <v>230</v>
      </c>
      <c r="T107" s="77">
        <v>1</v>
      </c>
      <c r="U107" s="75"/>
    </row>
    <row r="108" spans="2:21" ht="19.899999999999999" customHeight="1">
      <c r="K108" s="128"/>
      <c r="L108" s="129"/>
      <c r="M108" s="128"/>
      <c r="N108" s="128"/>
      <c r="O108" s="129"/>
      <c r="P108" s="126"/>
      <c r="Q108" s="77">
        <v>9</v>
      </c>
      <c r="R108" s="78" t="s">
        <v>233</v>
      </c>
      <c r="S108" s="77" t="s">
        <v>230</v>
      </c>
      <c r="T108" s="77">
        <v>3</v>
      </c>
      <c r="U108" s="75"/>
    </row>
    <row r="109" spans="2:21" ht="19.899999999999999" customHeight="1">
      <c r="K109" s="130"/>
      <c r="L109" s="131"/>
      <c r="M109" s="130"/>
      <c r="N109" s="130"/>
      <c r="O109" s="131"/>
      <c r="P109" s="126"/>
      <c r="Q109" s="77">
        <v>10</v>
      </c>
      <c r="R109" s="80" t="s">
        <v>234</v>
      </c>
      <c r="S109" s="77" t="s">
        <v>230</v>
      </c>
      <c r="T109" s="77">
        <v>1</v>
      </c>
      <c r="U109" s="75"/>
    </row>
    <row r="110" spans="2:21" ht="19.899999999999999" customHeight="1">
      <c r="K110" s="130"/>
      <c r="L110" s="131"/>
      <c r="M110" s="130"/>
      <c r="N110" s="130"/>
      <c r="O110" s="131"/>
      <c r="P110" s="126"/>
      <c r="Q110" s="77">
        <v>11</v>
      </c>
      <c r="R110" s="78" t="s">
        <v>235</v>
      </c>
      <c r="S110" s="79" t="s">
        <v>236</v>
      </c>
      <c r="T110" s="79" t="s">
        <v>226</v>
      </c>
      <c r="U110" s="75"/>
    </row>
    <row r="111" spans="2:21" ht="19.899999999999999" customHeight="1">
      <c r="K111" s="128"/>
      <c r="L111" s="129"/>
      <c r="M111" s="128"/>
      <c r="N111" s="128"/>
      <c r="O111" s="129"/>
      <c r="P111" s="126"/>
      <c r="Q111" s="77">
        <v>12</v>
      </c>
      <c r="R111" s="77" t="s">
        <v>237</v>
      </c>
      <c r="S111" s="77" t="s">
        <v>230</v>
      </c>
      <c r="T111" s="77">
        <v>1</v>
      </c>
      <c r="U111" s="75"/>
    </row>
    <row r="112" spans="2:21" ht="19.899999999999999" customHeight="1">
      <c r="K112" s="128"/>
      <c r="L112" s="129"/>
      <c r="M112" s="128"/>
      <c r="N112" s="128"/>
      <c r="O112" s="129"/>
      <c r="P112" s="126"/>
      <c r="Q112" s="77">
        <v>13</v>
      </c>
      <c r="R112" s="78" t="s">
        <v>238</v>
      </c>
      <c r="S112" s="79" t="s">
        <v>239</v>
      </c>
      <c r="T112" s="77">
        <v>1</v>
      </c>
      <c r="U112" s="75"/>
    </row>
    <row r="113" spans="11:21" ht="19.899999999999999" customHeight="1">
      <c r="K113" s="128"/>
      <c r="L113" s="129"/>
      <c r="M113" s="128"/>
      <c r="N113" s="128"/>
      <c r="O113" s="129"/>
      <c r="P113" s="126"/>
      <c r="Q113" s="77">
        <v>14</v>
      </c>
      <c r="R113" s="78" t="s">
        <v>240</v>
      </c>
      <c r="S113" s="77" t="s">
        <v>241</v>
      </c>
      <c r="T113" s="77">
        <v>1</v>
      </c>
      <c r="U113" s="76"/>
    </row>
    <row r="114" spans="11:21" ht="19.899999999999999" customHeight="1">
      <c r="K114" s="128"/>
      <c r="L114" s="129"/>
      <c r="M114" s="128"/>
      <c r="N114" s="128"/>
      <c r="O114" s="129"/>
      <c r="P114" s="126"/>
      <c r="Q114" s="77">
        <v>15</v>
      </c>
      <c r="R114" s="77" t="s">
        <v>242</v>
      </c>
      <c r="S114" s="77" t="s">
        <v>241</v>
      </c>
      <c r="T114" s="77">
        <v>1</v>
      </c>
      <c r="U114" s="75"/>
    </row>
    <row r="115" spans="11:21" ht="19.899999999999999" customHeight="1">
      <c r="K115" s="128"/>
      <c r="L115" s="129"/>
      <c r="M115" s="128"/>
      <c r="N115" s="128"/>
      <c r="O115" s="129"/>
      <c r="P115" s="126"/>
      <c r="Q115" s="77">
        <v>16</v>
      </c>
      <c r="R115" s="77" t="s">
        <v>243</v>
      </c>
      <c r="S115" s="77" t="s">
        <v>244</v>
      </c>
      <c r="T115" s="77" t="s">
        <v>245</v>
      </c>
      <c r="U115" s="75"/>
    </row>
    <row r="116" spans="11:21" ht="19.899999999999999" customHeight="1">
      <c r="K116" s="128"/>
      <c r="L116" s="129"/>
      <c r="M116" s="128"/>
      <c r="N116" s="128"/>
      <c r="O116" s="129"/>
      <c r="P116" s="126"/>
      <c r="Q116" s="77">
        <v>17</v>
      </c>
      <c r="R116" s="77" t="s">
        <v>246</v>
      </c>
      <c r="S116" s="77" t="s">
        <v>247</v>
      </c>
      <c r="T116" s="77">
        <v>1</v>
      </c>
      <c r="U116" s="76"/>
    </row>
    <row r="117" spans="11:21" ht="19.899999999999999" customHeight="1">
      <c r="K117" s="128"/>
      <c r="L117" s="129"/>
      <c r="M117" s="128"/>
      <c r="N117" s="128"/>
      <c r="O117" s="129"/>
      <c r="P117" s="126"/>
      <c r="Q117" s="77">
        <v>18</v>
      </c>
      <c r="R117" s="78" t="s">
        <v>248</v>
      </c>
      <c r="S117" s="77" t="s">
        <v>249</v>
      </c>
      <c r="T117" s="77">
        <v>2</v>
      </c>
      <c r="U117" s="75"/>
    </row>
    <row r="118" spans="11:21" ht="19.899999999999999" customHeight="1">
      <c r="K118" s="128"/>
      <c r="L118" s="129"/>
      <c r="M118" s="128"/>
      <c r="N118" s="128"/>
      <c r="O118" s="129"/>
      <c r="P118" s="126"/>
      <c r="Q118" s="77">
        <v>19</v>
      </c>
      <c r="R118" s="78" t="s">
        <v>250</v>
      </c>
      <c r="S118" s="77" t="s">
        <v>230</v>
      </c>
      <c r="T118" s="77">
        <v>1</v>
      </c>
      <c r="U118" s="75"/>
    </row>
    <row r="119" spans="11:21" ht="19.899999999999999" customHeight="1">
      <c r="K119" s="128"/>
      <c r="L119" s="129"/>
      <c r="M119" s="128"/>
      <c r="N119" s="128"/>
      <c r="O119" s="129"/>
      <c r="P119" s="126"/>
      <c r="Q119" s="77">
        <v>20</v>
      </c>
      <c r="R119" s="78" t="s">
        <v>251</v>
      </c>
      <c r="S119" s="77" t="s">
        <v>230</v>
      </c>
      <c r="T119" s="77">
        <v>1</v>
      </c>
      <c r="U119" s="76"/>
    </row>
    <row r="120" spans="11:21" ht="19.899999999999999" customHeight="1">
      <c r="K120" s="128"/>
      <c r="L120" s="129"/>
      <c r="M120" s="128"/>
      <c r="N120" s="128"/>
      <c r="O120" s="129"/>
      <c r="P120" s="126"/>
      <c r="Q120" s="77">
        <v>21</v>
      </c>
      <c r="R120" s="78" t="s">
        <v>252</v>
      </c>
      <c r="S120" s="77" t="s">
        <v>230</v>
      </c>
      <c r="T120" s="77">
        <v>1</v>
      </c>
      <c r="U120" s="75"/>
    </row>
    <row r="121" spans="11:21" ht="19.899999999999999" customHeight="1">
      <c r="K121" s="128"/>
      <c r="L121" s="129"/>
      <c r="M121" s="128"/>
      <c r="N121" s="128"/>
      <c r="O121" s="129"/>
      <c r="P121" s="126"/>
      <c r="Q121" s="77">
        <v>22</v>
      </c>
      <c r="R121" s="78" t="s">
        <v>253</v>
      </c>
      <c r="S121" s="77" t="s">
        <v>254</v>
      </c>
      <c r="T121" s="77">
        <v>1</v>
      </c>
      <c r="U121" s="75"/>
    </row>
    <row r="122" spans="11:21" ht="19.899999999999999" customHeight="1">
      <c r="K122" s="128"/>
      <c r="L122" s="129"/>
      <c r="M122" s="128"/>
      <c r="N122" s="128"/>
      <c r="O122" s="129"/>
      <c r="P122" s="126"/>
      <c r="Q122" s="77">
        <v>23</v>
      </c>
      <c r="R122" s="78" t="s">
        <v>255</v>
      </c>
      <c r="S122" s="77" t="s">
        <v>256</v>
      </c>
      <c r="T122" s="77">
        <v>1</v>
      </c>
      <c r="U122" s="75"/>
    </row>
    <row r="123" spans="11:21" ht="19.899999999999999" customHeight="1">
      <c r="K123" s="128"/>
      <c r="L123" s="129"/>
      <c r="M123" s="128"/>
      <c r="N123" s="128"/>
      <c r="O123" s="129"/>
      <c r="P123" s="126"/>
      <c r="Q123" s="77">
        <v>24</v>
      </c>
      <c r="R123" s="78" t="s">
        <v>257</v>
      </c>
      <c r="S123" s="77" t="s">
        <v>223</v>
      </c>
      <c r="T123" s="77">
        <v>1</v>
      </c>
      <c r="U123" s="75"/>
    </row>
    <row r="124" spans="11:21" ht="19.899999999999999" customHeight="1">
      <c r="K124" s="128"/>
      <c r="L124" s="129"/>
      <c r="M124" s="128"/>
      <c r="N124" s="128"/>
      <c r="O124" s="129"/>
      <c r="P124" s="126"/>
      <c r="Q124" s="77">
        <v>25</v>
      </c>
      <c r="R124" s="78" t="s">
        <v>258</v>
      </c>
      <c r="S124" s="77" t="s">
        <v>230</v>
      </c>
      <c r="T124" s="77">
        <v>1</v>
      </c>
      <c r="U124" s="75"/>
    </row>
    <row r="125" spans="11:21" ht="16.899999999999999" customHeight="1">
      <c r="K125" s="128"/>
      <c r="L125" s="129"/>
      <c r="M125" s="128"/>
      <c r="N125" s="128"/>
      <c r="O125" s="129"/>
      <c r="P125" s="126"/>
    </row>
    <row r="126" spans="11:21">
      <c r="K126" s="126"/>
      <c r="L126" s="126"/>
      <c r="M126" s="126"/>
      <c r="N126" s="126"/>
      <c r="O126" s="126"/>
      <c r="P126" s="126"/>
    </row>
    <row r="127" spans="11:21" ht="44.25" customHeight="1">
      <c r="K127" s="132"/>
      <c r="L127" s="132"/>
      <c r="M127" s="132"/>
      <c r="N127" s="132"/>
      <c r="O127" s="132"/>
      <c r="P127" s="126"/>
    </row>
    <row r="128" spans="11:21">
      <c r="K128" s="126"/>
      <c r="L128" s="126"/>
      <c r="M128" s="126"/>
      <c r="N128" s="126"/>
      <c r="O128" s="126"/>
      <c r="P128" s="126"/>
    </row>
    <row r="129" spans="11:16">
      <c r="K129" s="126"/>
      <c r="L129" s="126"/>
      <c r="M129" s="126"/>
      <c r="N129" s="126"/>
      <c r="O129" s="126"/>
      <c r="P129" s="126"/>
    </row>
  </sheetData>
  <mergeCells count="56">
    <mergeCell ref="B80:D80"/>
    <mergeCell ref="B90:F91"/>
    <mergeCell ref="B92:D92"/>
    <mergeCell ref="B93:D94"/>
    <mergeCell ref="K127:O127"/>
    <mergeCell ref="K109:K110"/>
    <mergeCell ref="L109:L110"/>
    <mergeCell ref="M109:M110"/>
    <mergeCell ref="N109:N110"/>
    <mergeCell ref="E93:E94"/>
    <mergeCell ref="F93:F94"/>
    <mergeCell ref="B9:D9"/>
    <mergeCell ref="B10:D10"/>
    <mergeCell ref="B3:D3"/>
    <mergeCell ref="B4:D4"/>
    <mergeCell ref="B5:D5"/>
    <mergeCell ref="B6:D6"/>
    <mergeCell ref="B7:D7"/>
    <mergeCell ref="B8:D8"/>
    <mergeCell ref="B61:F62"/>
    <mergeCell ref="B63:D64"/>
    <mergeCell ref="B69:F70"/>
    <mergeCell ref="O109:O110"/>
    <mergeCell ref="B11:D11"/>
    <mergeCell ref="B15:D15"/>
    <mergeCell ref="B16:D16"/>
    <mergeCell ref="B24:D24"/>
    <mergeCell ref="B25:D25"/>
    <mergeCell ref="B26:D26"/>
    <mergeCell ref="B21:F21"/>
    <mergeCell ref="B22:F22"/>
    <mergeCell ref="B29:F30"/>
    <mergeCell ref="B32:D32"/>
    <mergeCell ref="B71:F74"/>
    <mergeCell ref="B75:D75"/>
    <mergeCell ref="B77:F78"/>
    <mergeCell ref="B79:D79"/>
    <mergeCell ref="B1:F2"/>
    <mergeCell ref="B13:F14"/>
    <mergeCell ref="B18:D18"/>
    <mergeCell ref="B17:D17"/>
    <mergeCell ref="B19:D20"/>
    <mergeCell ref="B31:F31"/>
    <mergeCell ref="B38:D39"/>
    <mergeCell ref="B51:F52"/>
    <mergeCell ref="B53:D53"/>
    <mergeCell ref="B23:F23"/>
    <mergeCell ref="B33:D33"/>
    <mergeCell ref="B34:D34"/>
    <mergeCell ref="B35:D35"/>
    <mergeCell ref="B36:D36"/>
    <mergeCell ref="B37:D37"/>
    <mergeCell ref="B58:F58"/>
    <mergeCell ref="B54:D54"/>
    <mergeCell ref="B55:D55"/>
    <mergeCell ref="B56:D57"/>
  </mergeCells>
  <pageMargins left="0.7" right="0.7" top="0.75" bottom="0.75" header="0.3" footer="0.3"/>
  <pageSetup orientation="portrait"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F11:I33"/>
  <sheetViews>
    <sheetView topLeftCell="A7" workbookViewId="0">
      <selection activeCell="F12" sqref="F12:I27"/>
    </sheetView>
  </sheetViews>
  <sheetFormatPr defaultRowHeight="14.45"/>
  <cols>
    <col min="7" max="7" width="26.42578125" customWidth="1"/>
    <col min="8" max="8" width="21.7109375" customWidth="1"/>
    <col min="9" max="9" width="18.7109375" customWidth="1"/>
  </cols>
  <sheetData>
    <row r="11" spans="6:9" ht="15" thickBot="1"/>
    <row r="12" spans="6:9" ht="15" thickBot="1">
      <c r="F12" s="120" t="s">
        <v>259</v>
      </c>
      <c r="G12" s="121"/>
      <c r="H12" s="121"/>
      <c r="I12" s="121"/>
    </row>
    <row r="13" spans="6:9" ht="15" thickBot="1">
      <c r="F13" s="121"/>
      <c r="G13" s="121"/>
      <c r="H13" s="121"/>
      <c r="I13" s="121"/>
    </row>
    <row r="14" spans="6:9" ht="15" thickBot="1">
      <c r="F14" s="123" t="s">
        <v>260</v>
      </c>
      <c r="G14" s="123"/>
      <c r="H14" s="123" t="s">
        <v>261</v>
      </c>
      <c r="I14" s="123"/>
    </row>
    <row r="15" spans="6:9" ht="15" thickBot="1">
      <c r="F15" s="124"/>
      <c r="G15" s="124"/>
      <c r="H15" s="124"/>
      <c r="I15" s="124"/>
    </row>
    <row r="16" spans="6:9" ht="15" thickBot="1">
      <c r="F16" s="122" t="s">
        <v>185</v>
      </c>
      <c r="G16" s="122"/>
      <c r="H16" s="122" t="s">
        <v>262</v>
      </c>
      <c r="I16" s="122" t="s">
        <v>263</v>
      </c>
    </row>
    <row r="17" spans="6:9" ht="15" thickBot="1">
      <c r="F17" s="122"/>
      <c r="G17" s="122"/>
      <c r="H17" s="122">
        <v>65</v>
      </c>
      <c r="I17" s="122" t="s">
        <v>263</v>
      </c>
    </row>
    <row r="18" spans="6:9" ht="15" thickBot="1">
      <c r="F18" s="122" t="s">
        <v>264</v>
      </c>
      <c r="G18" s="122"/>
      <c r="H18" s="122" t="s">
        <v>265</v>
      </c>
      <c r="I18" s="122"/>
    </row>
    <row r="19" spans="6:9" ht="15" thickBot="1">
      <c r="F19" s="122"/>
      <c r="G19" s="122"/>
      <c r="H19" s="122"/>
      <c r="I19" s="122"/>
    </row>
    <row r="20" spans="6:9" ht="15" thickBot="1">
      <c r="F20" s="122" t="s">
        <v>266</v>
      </c>
      <c r="G20" s="122"/>
      <c r="H20" s="122" t="s">
        <v>267</v>
      </c>
      <c r="I20" s="122"/>
    </row>
    <row r="21" spans="6:9" ht="15" thickBot="1">
      <c r="F21" s="122"/>
      <c r="G21" s="122"/>
      <c r="H21" s="122"/>
      <c r="I21" s="122"/>
    </row>
    <row r="22" spans="6:9" ht="15" thickBot="1">
      <c r="F22" s="122" t="s">
        <v>268</v>
      </c>
      <c r="G22" s="122"/>
      <c r="H22" s="122" t="s">
        <v>269</v>
      </c>
      <c r="I22" s="122"/>
    </row>
    <row r="23" spans="6:9" ht="15" thickBot="1">
      <c r="F23" s="122"/>
      <c r="G23" s="122"/>
      <c r="H23" s="122"/>
      <c r="I23" s="122"/>
    </row>
    <row r="24" spans="6:9" ht="15" thickBot="1">
      <c r="F24" s="125" t="s">
        <v>270</v>
      </c>
      <c r="G24" s="125"/>
      <c r="H24" s="122" t="s">
        <v>271</v>
      </c>
      <c r="I24" s="122"/>
    </row>
    <row r="25" spans="6:9" ht="15" thickBot="1">
      <c r="F25" s="125"/>
      <c r="G25" s="125"/>
      <c r="H25" s="122"/>
      <c r="I25" s="122"/>
    </row>
    <row r="26" spans="6:9" ht="15" customHeight="1" thickBot="1">
      <c r="F26" s="122" t="s">
        <v>272</v>
      </c>
      <c r="G26" s="122"/>
      <c r="H26" s="122" t="s">
        <v>273</v>
      </c>
      <c r="I26" s="122"/>
    </row>
    <row r="27" spans="6:9" ht="15" customHeight="1" thickBot="1">
      <c r="F27" s="122"/>
      <c r="G27" s="122"/>
      <c r="H27" s="122"/>
      <c r="I27" s="122"/>
    </row>
    <row r="28" spans="6:9" ht="15" customHeight="1">
      <c r="F28" s="14"/>
      <c r="G28" s="14"/>
      <c r="H28" s="14"/>
      <c r="I28" s="14"/>
    </row>
    <row r="29" spans="6:9" ht="15" customHeight="1">
      <c r="F29" s="14"/>
      <c r="G29" s="14"/>
      <c r="H29" s="14"/>
      <c r="I29" s="14"/>
    </row>
    <row r="30" spans="6:9" ht="15" customHeight="1">
      <c r="F30" s="14"/>
      <c r="G30" s="14"/>
      <c r="H30" s="14"/>
      <c r="I30" s="14"/>
    </row>
    <row r="31" spans="6:9" ht="15" customHeight="1">
      <c r="F31" s="14"/>
      <c r="G31" s="14"/>
      <c r="H31" s="14"/>
      <c r="I31" s="14"/>
    </row>
    <row r="32" spans="6:9" ht="15" customHeight="1">
      <c r="F32" s="14"/>
      <c r="G32" s="14"/>
      <c r="H32" s="14"/>
      <c r="I32" s="14"/>
    </row>
    <row r="33" spans="6:9" ht="15" customHeight="1">
      <c r="F33" s="14"/>
      <c r="G33" s="14"/>
      <c r="H33" s="14"/>
      <c r="I33" s="14"/>
    </row>
  </sheetData>
  <mergeCells count="15">
    <mergeCell ref="F12:I13"/>
    <mergeCell ref="F26:G27"/>
    <mergeCell ref="H26:I27"/>
    <mergeCell ref="F14:G15"/>
    <mergeCell ref="H14:I15"/>
    <mergeCell ref="F20:G21"/>
    <mergeCell ref="H20:I21"/>
    <mergeCell ref="F22:G23"/>
    <mergeCell ref="H22:I23"/>
    <mergeCell ref="F24:G25"/>
    <mergeCell ref="H24:I25"/>
    <mergeCell ref="F16:G17"/>
    <mergeCell ref="H16:I17"/>
    <mergeCell ref="F18:G19"/>
    <mergeCell ref="H18:I1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1534b24-0596-41db-9a51-3f294bfbbee0" xsi:nil="true"/>
    <lcf76f155ced4ddcb4097134ff3c332f xmlns="54506b8c-445c-4f3d-898f-38feb0004166">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29F415CBB8F654D879B98ED3DADA52F" ma:contentTypeVersion="9" ma:contentTypeDescription="Create a new document." ma:contentTypeScope="" ma:versionID="5fa83767f7d8a90cddf6555643658851">
  <xsd:schema xmlns:xsd="http://www.w3.org/2001/XMLSchema" xmlns:xs="http://www.w3.org/2001/XMLSchema" xmlns:p="http://schemas.microsoft.com/office/2006/metadata/properties" xmlns:ns2="54506b8c-445c-4f3d-898f-38feb0004166" xmlns:ns3="b1534b24-0596-41db-9a51-3f294bfbbee0" targetNamespace="http://schemas.microsoft.com/office/2006/metadata/properties" ma:root="true" ma:fieldsID="96ce9e05da52b5f688371bd9f2d274db" ns2:_="" ns3:_="">
    <xsd:import namespace="54506b8c-445c-4f3d-898f-38feb0004166"/>
    <xsd:import namespace="b1534b24-0596-41db-9a51-3f294bfbbee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06b8c-445c-4f3d-898f-38feb00041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6e39378-e5b3-4363-9849-d730c44b9237"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534b24-0596-41db-9a51-3f294bfbbee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2b462b0-74c3-47d6-a952-df5b32294fde}" ma:internalName="TaxCatchAll" ma:showField="CatchAllData" ma:web="b1534b24-0596-41db-9a51-3f294bfbbe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2BE0E5-2CFA-4D1F-9C61-F76A2A602D5B}"/>
</file>

<file path=customXml/itemProps2.xml><?xml version="1.0" encoding="utf-8"?>
<ds:datastoreItem xmlns:ds="http://schemas.openxmlformats.org/officeDocument/2006/customXml" ds:itemID="{41B79451-CA1C-4D3A-9998-20A6454322CA}"/>
</file>

<file path=customXml/itemProps3.xml><?xml version="1.0" encoding="utf-8"?>
<ds:datastoreItem xmlns:ds="http://schemas.openxmlformats.org/officeDocument/2006/customXml" ds:itemID="{FE656969-2C8C-4F97-BC03-5F3DB6AA48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Shifat Mahmud</dc:creator>
  <cp:keywords/>
  <dc:description/>
  <cp:lastModifiedBy>1812033 - Atkia Fiaza Ibnath</cp:lastModifiedBy>
  <cp:revision/>
  <dcterms:created xsi:type="dcterms:W3CDTF">2015-10-28T23:49:56Z</dcterms:created>
  <dcterms:modified xsi:type="dcterms:W3CDTF">2023-01-14T06:10:51Z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0x010100529F415CBB8F654D879B98ED3DADA52F</vt:lpwstr>
  </property>
  <property fmtid="{D5CDD505-2E9C-101B-9397-08002B2CF9AE}" pid="3" name="MediaServiceImageTags">
    <vt:lpwstr/>
  </property>
</Properties>
</file>