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121C01C8-9DA7-44DE-8509-70B2493E03E6}" xr6:coauthVersionLast="45" xr6:coauthVersionMax="45" xr10:uidLastSave="{00000000-0000-0000-0000-000000000000}"/>
  <bookViews>
    <workbookView xWindow="6660" yWindow="1005" windowWidth="24555" windowHeight="18720" firstSheet="11" activeTab="16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EXPORT" sheetId="14" r:id="rId11"/>
    <sheet name="&lt;zallcab&gt;CALC" sheetId="24" r:id="rId12"/>
    <sheet name="&lt;zallcab&gt;CabZhurnal" sheetId="25" r:id="rId13"/>
    <sheet name="&lt;zlight&gt;SET" sheetId="18" r:id="rId14"/>
    <sheet name="&lt;zlight&gt;TEMP" sheetId="21" r:id="rId15"/>
    <sheet name="&lt;zlight&gt;TEMPGU" sheetId="22" r:id="rId16"/>
    <sheet name="&lt;zlight&gt;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25" l="1"/>
  <c r="O7" i="25"/>
  <c r="P7" i="25"/>
  <c r="D3" i="25"/>
  <c r="P4" i="25"/>
  <c r="H7" i="25"/>
  <c r="G7" i="25"/>
  <c r="AB7" i="24"/>
  <c r="Q7" i="25" l="1"/>
  <c r="Q4" i="25"/>
  <c r="AO11" i="11" l="1"/>
  <c r="AP11" i="11" l="1"/>
  <c r="AW11" i="11" s="1"/>
  <c r="AN11" i="11"/>
  <c r="AM11" i="11"/>
  <c r="AL11" i="11"/>
  <c r="B1" i="18"/>
  <c r="GS28" i="20" l="1"/>
  <c r="GR28" i="20"/>
  <c r="GI28" i="20"/>
  <c r="GH28" i="20"/>
  <c r="EE27" i="20"/>
  <c r="ED27" i="20"/>
  <c r="EE26" i="20"/>
  <c r="ED26" i="20"/>
  <c r="EG26" i="20"/>
  <c r="EF26" i="20"/>
  <c r="EG28" i="20"/>
  <c r="EF28" i="20"/>
  <c r="FW28" i="20"/>
  <c r="DB28" i="20" l="1"/>
  <c r="CZ28" i="20"/>
  <c r="CY28" i="20"/>
  <c r="DA28" i="20" l="1"/>
  <c r="DD28" i="20"/>
  <c r="FN28" i="20" s="1"/>
  <c r="GA28" i="20"/>
  <c r="GB28" i="20"/>
  <c r="FY28" i="20"/>
  <c r="FZ28" i="20"/>
  <c r="EH24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J6" i="22"/>
  <c r="BA5" i="20" s="1"/>
  <c r="BB5" i="20" s="1"/>
  <c r="G6" i="22"/>
  <c r="AX5" i="20" s="1"/>
  <c r="H6" i="22"/>
  <c r="AY5" i="20" s="1"/>
  <c r="F6" i="22"/>
  <c r="AY11" i="11"/>
  <c r="AX11" i="11"/>
  <c r="AX7" i="11"/>
  <c r="AY7" i="11"/>
  <c r="AZ7" i="11"/>
  <c r="T16" i="20" l="1"/>
  <c r="CU24" i="20" l="1"/>
  <c r="CV24" i="20"/>
  <c r="CW24" i="20"/>
  <c r="AR7" i="11"/>
  <c r="AO7" i="11"/>
  <c r="AP7" i="11"/>
  <c r="AQ7" i="11"/>
  <c r="BD11" i="11"/>
  <c r="AG7" i="11"/>
  <c r="AH7" i="11"/>
  <c r="AI7" i="11"/>
  <c r="AQ11" i="11" l="1"/>
  <c r="CT28" i="20" s="1"/>
  <c r="AM28" i="20" s="1"/>
  <c r="AZ11" i="11"/>
  <c r="CX28" i="20" s="1"/>
  <c r="DH28" i="20" l="1"/>
  <c r="DI28" i="20"/>
  <c r="M28" i="20"/>
  <c r="L28" i="20"/>
  <c r="K28" i="20"/>
  <c r="EA28" i="20"/>
  <c r="DZ28" i="20"/>
  <c r="DC28" i="20"/>
  <c r="I6" i="22"/>
  <c r="AZ5" i="20" s="1"/>
  <c r="CU28" i="20"/>
  <c r="AR11" i="11"/>
  <c r="CW28" i="20" s="1"/>
  <c r="DK28" i="20" l="1"/>
  <c r="DJ28" i="20"/>
  <c r="DY28" i="20"/>
  <c r="ED28" i="20" s="1"/>
  <c r="EX28" i="20"/>
  <c r="D28" i="20"/>
  <c r="CB28" i="20" s="1"/>
  <c r="AI28" i="20"/>
  <c r="AH28" i="20"/>
  <c r="AJ28" i="20"/>
  <c r="CE28" i="20" l="1"/>
  <c r="CI28" i="20"/>
  <c r="CP28" i="20"/>
  <c r="CN28" i="20"/>
  <c r="CM28" i="20"/>
  <c r="FX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B4" i="24" l="1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H7" i="24" l="1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Z28" i="20"/>
  <c r="T7" i="25" l="1"/>
  <c r="X7" i="25"/>
  <c r="Z7" i="25"/>
  <c r="V7" i="25"/>
  <c r="AF7" i="25"/>
  <c r="AD7" i="25"/>
  <c r="AB7" i="25"/>
  <c r="O28" i="20"/>
  <c r="V28" i="20"/>
  <c r="B7" i="11" l="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K7" i="11"/>
  <c r="AS7" i="11"/>
  <c r="AT7" i="11"/>
  <c r="AU7" i="11"/>
  <c r="AV7" i="11"/>
  <c r="AW7" i="11"/>
  <c r="BA7" i="11"/>
  <c r="BB7" i="11"/>
  <c r="BC7" i="11"/>
  <c r="BI7" i="11"/>
  <c r="A7" i="11"/>
  <c r="AK11" i="11"/>
  <c r="AS11" i="11" l="1"/>
  <c r="AT11" i="11"/>
  <c r="W28" i="20" s="1"/>
  <c r="FD28" i="20" s="1"/>
  <c r="D1" i="20"/>
  <c r="E6" i="22"/>
  <c r="AU5" i="20" s="1"/>
  <c r="D6" i="22"/>
  <c r="AT5" i="20" s="1"/>
  <c r="H5" i="20" s="1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GN24" i="20" l="1"/>
  <c r="GO24" i="20"/>
  <c r="GP24" i="20"/>
  <c r="GQ24" i="20"/>
  <c r="GR24" i="20"/>
  <c r="GS24" i="20"/>
  <c r="GU24" i="20"/>
  <c r="GV24" i="20"/>
  <c r="B24" i="20"/>
  <c r="C24" i="20"/>
  <c r="D24" i="20"/>
  <c r="E24" i="20"/>
  <c r="F24" i="20"/>
  <c r="G24" i="20"/>
  <c r="H24" i="20"/>
  <c r="I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C24" i="20"/>
  <c r="AF24" i="20"/>
  <c r="AG24" i="20"/>
  <c r="AK24" i="20"/>
  <c r="AL24" i="20"/>
  <c r="AM24" i="20"/>
  <c r="AN24" i="20"/>
  <c r="AO24" i="20"/>
  <c r="AP24" i="20"/>
  <c r="AQ24" i="20"/>
  <c r="AR24" i="20"/>
  <c r="AS24" i="20"/>
  <c r="AT24" i="20"/>
  <c r="AU24" i="20"/>
  <c r="AW24" i="20"/>
  <c r="AX24" i="20"/>
  <c r="AY24" i="20"/>
  <c r="AZ24" i="20"/>
  <c r="BA24" i="20"/>
  <c r="BB24" i="20"/>
  <c r="BC24" i="20"/>
  <c r="BD24" i="20"/>
  <c r="BE24" i="20"/>
  <c r="BG24" i="20"/>
  <c r="BK24" i="20"/>
  <c r="BL24" i="20"/>
  <c r="BP24" i="20"/>
  <c r="BQ24" i="20"/>
  <c r="BR24" i="20"/>
  <c r="BS24" i="20"/>
  <c r="BU24" i="20"/>
  <c r="BW24" i="20"/>
  <c r="BX24" i="20"/>
  <c r="BY24" i="20"/>
  <c r="BZ24" i="20"/>
  <c r="CA24" i="20"/>
  <c r="CG24" i="20"/>
  <c r="CM24" i="20"/>
  <c r="CO24" i="20"/>
  <c r="CP24" i="20"/>
  <c r="CQ24" i="20"/>
  <c r="CR24" i="20"/>
  <c r="CS24" i="20"/>
  <c r="CT24" i="20"/>
  <c r="DC24" i="20"/>
  <c r="DE24" i="20"/>
  <c r="DF24" i="20"/>
  <c r="DG24" i="20"/>
  <c r="DQ24" i="20"/>
  <c r="DR24" i="20"/>
  <c r="DS24" i="20"/>
  <c r="DT24" i="20"/>
  <c r="DU24" i="20"/>
  <c r="DV24" i="20"/>
  <c r="DW24" i="20"/>
  <c r="DX24" i="20"/>
  <c r="DY24" i="20"/>
  <c r="EB24" i="20"/>
  <c r="EC24" i="20"/>
  <c r="ED24" i="20"/>
  <c r="EE24" i="20"/>
  <c r="EF24" i="20"/>
  <c r="EG24" i="20"/>
  <c r="EI24" i="20"/>
  <c r="EJ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GD24" i="20"/>
  <c r="GE24" i="20"/>
  <c r="GF24" i="20"/>
  <c r="GG24" i="20"/>
  <c r="GH24" i="20"/>
  <c r="GI24" i="20"/>
  <c r="GK24" i="20"/>
  <c r="GL24" i="20"/>
  <c r="GM24" i="20"/>
  <c r="A24" i="20"/>
  <c r="AV11" i="11" l="1"/>
  <c r="AO28" i="20" l="1"/>
  <c r="FP28" i="20" s="1"/>
  <c r="FT28" i="20" s="1"/>
  <c r="AU28" i="20"/>
  <c r="EL26" i="20"/>
  <c r="EP26" i="20"/>
  <c r="ET26" i="20"/>
  <c r="DE28" i="20"/>
  <c r="DU28" i="20"/>
  <c r="ET28" i="20"/>
  <c r="FS28" i="20"/>
  <c r="H14" i="20" l="1"/>
  <c r="EJ26" i="20"/>
  <c r="H1" i="20"/>
  <c r="G1" i="20"/>
  <c r="F1" i="20"/>
  <c r="CV28" i="20"/>
  <c r="S28" i="20" l="1"/>
  <c r="Q28" i="20"/>
  <c r="EJ28" i="20" s="1"/>
  <c r="P28" i="20"/>
  <c r="DX28" i="20"/>
  <c r="AK28" i="20"/>
  <c r="E28" i="20"/>
  <c r="R28" i="20"/>
  <c r="F28" i="20"/>
  <c r="DF28" i="20" s="1"/>
  <c r="DG28" i="20" s="1"/>
  <c r="CC28" i="20" l="1"/>
  <c r="CO28" i="20" s="1"/>
  <c r="FJ28" i="20"/>
  <c r="AB28" i="20"/>
  <c r="T5" i="20" s="1"/>
  <c r="FF28" i="20"/>
  <c r="T28" i="20"/>
  <c r="FH28" i="20" s="1"/>
  <c r="U28" i="20"/>
  <c r="AL28" i="20"/>
  <c r="AP28" i="20"/>
  <c r="AQ28" i="20"/>
  <c r="AR28" i="20"/>
  <c r="AS28" i="20"/>
  <c r="AV28" i="20" s="1"/>
  <c r="FL28" i="20"/>
  <c r="BB28" i="20"/>
  <c r="BC28" i="20"/>
  <c r="BF28" i="20" l="1"/>
  <c r="BE28" i="20"/>
  <c r="BV28" i="20" l="1"/>
  <c r="BN28" i="20"/>
  <c r="BG28" i="20"/>
  <c r="BI28" i="20" s="1"/>
  <c r="BW28" i="20" s="1"/>
  <c r="BM28" i="20"/>
  <c r="BX28" i="20"/>
  <c r="BU28" i="20"/>
  <c r="BQ28" i="20"/>
  <c r="BK28" i="20"/>
  <c r="B4" i="21"/>
  <c r="B1" i="21"/>
  <c r="BB11" i="11" l="1"/>
  <c r="BC11" i="11" s="1"/>
  <c r="BA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DR28" i="20"/>
  <c r="EZ28" i="20" s="1"/>
  <c r="DS28" i="20"/>
  <c r="DT28" i="20" s="1"/>
  <c r="DV28" i="20"/>
  <c r="DW28" i="20" l="1"/>
  <c r="DQ28" i="20"/>
  <c r="AE28" i="20"/>
  <c r="AF28" i="20" l="1"/>
  <c r="AD28" i="20"/>
  <c r="AC28" i="20" s="1"/>
  <c r="CD28" i="20" l="1"/>
  <c r="J28" i="20"/>
  <c r="AW28" i="20"/>
  <c r="EN26" i="20"/>
  <c r="BD28" i="20"/>
  <c r="AZ28" i="20"/>
  <c r="BA28" i="20"/>
  <c r="CF28" i="20" l="1"/>
  <c r="BJ28" i="20"/>
  <c r="BL28" i="20" s="1"/>
  <c r="T6" i="20"/>
  <c r="T15" i="20" s="1"/>
  <c r="AT28" i="20"/>
  <c r="CG28" i="20"/>
  <c r="BP28" i="20"/>
  <c r="BY28" i="20" s="1"/>
  <c r="AG28" i="20"/>
  <c r="BZ28" i="20"/>
  <c r="CQ28" i="20"/>
  <c r="CR28" i="20"/>
  <c r="BO28" i="20"/>
  <c r="CK28" i="20" l="1"/>
  <c r="CS28" i="20" s="1"/>
  <c r="GV28" i="20" s="1"/>
  <c r="BS28" i="20"/>
  <c r="ER26" i="20"/>
  <c r="EV26" i="20"/>
  <c r="T7" i="20"/>
  <c r="E1" i="20"/>
  <c r="AN28" i="20"/>
  <c r="I28" i="20" l="1"/>
  <c r="CA28" i="20"/>
  <c r="GL28" i="20" s="1"/>
  <c r="FR28" i="20"/>
  <c r="N28" i="20"/>
  <c r="GN28" i="20" l="1"/>
  <c r="GQ28" i="20" s="1"/>
  <c r="EP28" i="20"/>
  <c r="GP28" i="20"/>
  <c r="GW28" i="20"/>
  <c r="GO28" i="20"/>
  <c r="H28" i="20"/>
  <c r="GD28" i="20" l="1"/>
  <c r="GG28" i="20" s="1"/>
  <c r="EN28" i="20"/>
  <c r="GE28" i="20"/>
  <c r="GF28" i="20"/>
  <c r="GM28" i="20"/>
  <c r="EL28" i="20"/>
  <c r="ER28" i="20" l="1"/>
  <c r="FB28" i="20" s="1"/>
  <c r="EV28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O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K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P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Q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R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T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B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C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J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K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S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B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E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K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T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U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V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W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C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D27" authorId="0" shapeId="0" xr:uid="{0D8FF019-79EE-4433-A2EA-B3FDE0D496AE}">
      <text>
        <r>
          <rPr>
            <b/>
            <sz val="9"/>
            <color indexed="81"/>
            <rFont val="Tahoma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Y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<sst xmlns="http://schemas.openxmlformats.org/spreadsheetml/2006/main" count="984" uniqueCount="543">
  <si>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</si>
  <si>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</si>
  <si>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</si>
  <si>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</si>
  <si>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</si>
  <si>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</si>
  <si>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</si>
  <si>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</si>
  <si>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</si>
  <si>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</si>
  <si>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</si>
  <si>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</si>
  <si>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</si>
  <si>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</si>
  <si>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</si>
  <si>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</si>
  <si>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</si>
  <si>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</si>
  <si>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</si>
  <si>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</si>
  <si>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</si>
  <si>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</si>
  <si>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</si>
  <si>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</si>
  <si>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</si>
  <si>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</si>
  <si>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</si>
  <si>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</si>
  <si>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</si>
  <si>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</si>
  <si>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</si>
  <si>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</si>
  <si>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</si>
  <si>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</si>
  <si>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</si>
  <si>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</si>
  <si>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</si>
  <si>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</si>
  <si>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</si>
  <si>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</si>
  <si>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</si>
  <si>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</si>
  <si>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</si>
  <si>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</si>
  <si>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</si>
  <si>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</si>
  <si>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</si>
  <si>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</si>
  <si>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</si>
  <si>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</si>
  <si>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</si>
  <si>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</si>
  <si>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</si>
  <si>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</si>
  <si>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</si>
  <si>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</si>
  <si>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</si>
  <si>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</si>
  <si>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</si>
  <si>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</si>
  <si>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</si>
  <si>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</si>
  <si>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</si>
  <si>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</si>
  <si>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</si>
  <si>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</si>
  <si>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</si>
  <si>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</si>
  <si>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</si>
  <si>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</si>
  <si>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</si>
  <si>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</si>
  <si>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</si>
  <si>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</si>
  <si>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</si>
  <si>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</si>
  <si>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</si>
  <si>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</si>
  <si>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</si>
  <si>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</si>
  <si>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</si>
  <si>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</si>
  <si>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</si>
  <si>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</si>
  <si>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</si>
  <si>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</si>
  <si>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</si>
  <si>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</si>
  <si>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</si>
  <si>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</si>
  <si>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</si>
  <si>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</si>
  <si>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</si>
  <si>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</si>
  <si>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</si>
  <si>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</si>
  <si>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</si>
  <si>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</si>
  <si>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</si>
  <si>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</si>
  <si>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</si>
  <si>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</si>
  <si>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</si>
  <si>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</si>
  <si>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</si>
  <si>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</si>
  <si>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</si>
  <si>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</si>
  <si>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</si>
  <si>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</si>
  <si>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</si>
  <si>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</si>
  <si>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</si>
  <si>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</si>
  <si>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</si>
  <si>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</si>
  <si>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</si>
  <si>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</si>
  <si>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</si>
  <si>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</si>
  <si>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</si>
  <si>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</si>
  <si>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</si>
  <si>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</si>
  <si>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</si>
  <si>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</si>
  <si>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</si>
  <si>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</si>
  <si>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</si>
  <si>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</si>
  <si>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</si>
  <si>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</si>
  <si>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</si>
  <si>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</si>
  <si>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</si>
  <si>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</si>
  <si>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</si>
  <si>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</si>
  <si>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</si>
  <si>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</si>
  <si>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</si>
  <si>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</si>
  <si>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</si>
  <si>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</si>
  <si>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</si>
  <si>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</si>
  <si>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</si>
  <si>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</si>
  <si>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</si>
  <si>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</si>
  <si>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</si>
  <si>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</si>
  <si>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</si>
  <si>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</si>
  <si>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</si>
  <si>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</si>
  <si>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</si>
  <si>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</si>
  <si>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</si>
  <si>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</si>
  <si>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</si>
  <si>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</si>
  <si>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</si>
  <si>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</si>
  <si>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</si>
  <si>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</si>
  <si>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</si>
  <si>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</si>
  <si>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</si>
  <si>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</si>
  <si>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</si>
  <si>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</si>
  <si>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</si>
  <si>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</si>
  <si>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</si>
  <si>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</si>
  <si>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</si>
  <si>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</si>
  <si>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</si>
  <si>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</si>
  <si>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</si>
  <si>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</si>
  <si>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</si>
  <si>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</si>
  <si>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</si>
  <si>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</si>
  <si>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</si>
  <si>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</si>
  <si>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</si>
  <si>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</si>
  <si>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</si>
  <si>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</si>
  <si>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</si>
  <si>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</si>
  <si>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</si>
  <si>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</si>
  <si>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</si>
  <si>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</si>
  <si>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</si>
  <si>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</si>
  <si>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</si>
  <si>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</si>
  <si>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</si>
  <si>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</si>
  <si>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</si>
  <si>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</si>
  <si>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</si>
  <si>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</si>
  <si>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</si>
  <si>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</si>
  <si>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</si>
  <si>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</si>
  <si>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</si>
  <si>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</si>
  <si>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</si>
  <si>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</si>
  <si>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</si>
  <si>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</si>
  <si>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</si>
  <si>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</si>
  <si>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</si>
  <si>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</si>
  <si>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</si>
  <si>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</si>
  <si>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</si>
  <si>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</si>
  <si>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</si>
  <si>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</si>
  <si>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</si>
  <si>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</si>
  <si>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</si>
  <si>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</si>
  <si>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</si>
  <si>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</si>
  <si>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</si>
  <si>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</si>
  <si>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</si>
  <si>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</si>
  <si>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</si>
  <si>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</si>
  <si>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</si>
  <si>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</si>
  <si>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</si>
  <si>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</si>
  <si>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</si>
  <si>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</si>
  <si>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</si>
  <si>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</si>
  <si>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</si>
  <si>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</si>
  <si>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</si>
  <si>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</si>
  <si>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</si>
  <si>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</si>
  <si>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</si>
  <si>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</si>
  <si>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</si>
  <si>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</si>
  <si>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</si>
  <si>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</si>
  <si>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</si>
  <si>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</si>
  <si>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</si>
  <si>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</si>
  <si>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</si>
  <si>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</si>
  <si>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</si>
  <si>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</si>
  <si>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</si>
  <si>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</si>
  <si>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</si>
  <si>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</si>
  <si>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</si>
  <si>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</si>
  <si>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</si>
  <si>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</si>
  <si>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</si>
  <si>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</si>
  <si>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</si>
  <si>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</si>
  <si>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</si>
  <si>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</si>
  <si>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</si>
  <si>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</si>
  <si>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</si>
  <si>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</si>
  <si>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</si>
  <si>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</si>
  <si>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</si>
  <si>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</si>
  <si>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</si>
  <si>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</si>
  <si>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</si>
  <si>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</si>
  <si>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</si>
  <si>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</si>
  <si>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</si>
  <si>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</si>
  <si>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</si>
  <si>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</si>
  <si>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</si>
  <si>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</si>
  <si>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</si>
  <si>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</si>
  <si>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</si>
  <si>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</si>
  <si>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</si>
  <si>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</si>
  <si>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</si>
  <si>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</si>
  <si>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</si>
  <si>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</si>
  <si>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</si>
  <si>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</si>
  <si>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</si>
  <si>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</si>
  <si>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</si>
  <si>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</si>
  <si>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</si>
  <si>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</si>
  <si>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</si>
  <si>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</si>
  <si>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</si>
  <si>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</si>
  <si>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</si>
  <si>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</si>
  <si>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</si>
  <si>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</si>
  <si>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</si>
  <si>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</si>
  <si>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</si>
  <si>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</si>
  <si>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</si>
  <si>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</si>
  <si>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</si>
  <si>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</si>
  <si>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</si>
  <si>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</si>
  <si>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</si>
  <si>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</si>
  <si>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</si>
  <si>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</si>
  <si>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</si>
  <si>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</si>
  <si>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</si>
  <si>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ЕСЛИ(AK24="";"";СУММЕСЛИМН('&lt;zallcab&gt;EXPORT'!$M$6:$M$700000;'&lt;zallcab&gt;EXPORT'!$E$6:$E$700000;AK24))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</si>
  <si>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</si>
  <si>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</si>
  <si>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</si>
  <si>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</si>
  <si>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</si>
  <si>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</si>
  <si>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</si>
  <si>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</si>
  <si>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</si>
  <si>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</si>
  <si>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</si>
  <si>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</si>
  <si>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</si>
  <si>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</si>
  <si>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</si>
  <si>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</si>
  <si>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</si>
  <si>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</si>
  <si>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</si>
  <si>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</si>
  <si>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</si>
  <si>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</si>
  <si>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</si>
  <si>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</si>
  <si>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</si>
  <si>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</si>
  <si>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</si>
  <si>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</si>
  <si>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</si>
  <si>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</si>
  <si>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</si>
  <si>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</si>
  <si>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</si>
  <si>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</si>
  <si>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</si>
  <si>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</si>
  <si>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</si>
  <si>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</si>
  <si>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</si>
  <si>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</si>
  <si>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</si>
  <si>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</si>
  <si>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</si>
  <si>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</si>
  <si>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</si>
  <si>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</si>
  <si>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</si>
  <si>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</si>
  <si>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</si>
  <si>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</si>
  <si>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</si>
  <si>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</si>
  <si>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</si>
  <si>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</si>
  <si>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</si>
  <si>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</si>
  <si>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</si>
  <si>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</si>
  <si>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</si>
  <si>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</si>
  <si>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</si>
  <si>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</si>
  <si>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</si>
  <si>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</si>
  <si>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</si>
  <si>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</si>
  <si>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</si>
  <si>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</si>
  <si>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</si>
  <si>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</si>
  <si>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</si>
  <si>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</si>
  <si>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</si>
  <si>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</si>
  <si>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</si>
  <si>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</si>
  <si>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</si>
  <si>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</si>
  <si>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</si>
  <si>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</si>
  <si>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</si>
  <si>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</si>
  <si>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</si>
  <si>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</si>
  <si>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</si>
  <si>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</si>
  <si>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</si>
  <si>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</si>
  <si>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</si>
  <si>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</si>
  <si>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</si>
  <si>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Я УУ 0ур подомной есть УУ 1ур</t>
  </si>
  <si>
    <t>Сколько групп объеден. автомат. 1-го уровня</t>
  </si>
  <si>
    <t>Указание для схемы какое значение принять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</si>
  <si>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</si>
  <si>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</si>
  <si>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</si>
  <si>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</si>
  <si>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</si>
  <si>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</si>
  <si>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</si>
  <si>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</si>
  <si>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</si>
  <si>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</si>
  <si>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</si>
  <si>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</si>
  <si>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ALL222333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</si>
  <si>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</si>
  <si>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</si>
  <si>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</si>
  <si>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</si>
  <si>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</si>
  <si>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</si>
  <si>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</si>
  <si>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</si>
  <si>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</si>
  <si>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</si>
  <si>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</si>
  <si>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</si>
  <si>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</si>
  <si>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</si>
  <si>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</si>
  <si>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</si>
  <si>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</si>
  <si>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</si>
  <si>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</si>
  <si>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</si>
  <si>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</si>
  <si>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</si>
  <si>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</si>
  <si>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</si>
  <si>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</si>
  <si>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</si>
  <si>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</si>
  <si>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</si>
  <si>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</si>
  <si>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&lt;zcopyrow targetsheet=[&lt;zalldev&gt;EXPORT] targetcodename=[zalldevimport] keynumcol=[48]&gt;</t>
  </si>
  <si>
    <t>&lt;zcopyrow targetsheet=[&lt;zalldev&gt;EXPORT] targetcodename=[zalldevimport] keynumcol=[49]&gt;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</si>
  <si>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</si>
  <si>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</si>
  <si>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</si>
  <si>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</si>
  <si>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</si>
  <si>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</si>
  <si>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</si>
  <si>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</si>
  <si>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</si>
  <si>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</si>
  <si>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</si>
  <si>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</si>
  <si>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</si>
  <si>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</si>
  <si>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</si>
  <si>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</si>
  <si>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</si>
  <si>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</si>
  <si>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</si>
  <si>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</si>
  <si>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</si>
  <si>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</si>
  <si>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</si>
  <si>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</si>
  <si>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</si>
  <si>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</si>
  <si>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</si>
  <si>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</si>
  <si>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</si>
  <si>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</si>
  <si>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</si>
  <si>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</si>
  <si>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</si>
  <si>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</si>
  <si>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</si>
  <si>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</si>
  <si>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</si>
  <si>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</si>
  <si>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</si>
  <si>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</si>
  <si>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</si>
  <si>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Сист. повед селект</t>
  </si>
  <si>
    <t>Подбор 1-го уровня схемы</t>
  </si>
  <si>
    <t>Сист. видим. сгрупп</t>
  </si>
  <si>
    <t>Селект с уч. 2ур</t>
  </si>
  <si>
    <t>Доб. кол-во полюсов</t>
  </si>
  <si>
    <t>ПРОТОКОЛ</t>
  </si>
  <si>
    <t>Подбор 2-й уровень схемы</t>
  </si>
  <si>
    <t>Ток</t>
  </si>
  <si>
    <t>Расчет уставка по току, А</t>
  </si>
  <si>
    <t>Макс уставка на 2 ур</t>
  </si>
  <si>
    <t>Селект с уч. 1 ур</t>
  </si>
  <si>
    <t>Подкл. к 1 ур схемы</t>
  </si>
  <si>
    <t>С какой строки начат обвод</t>
  </si>
  <si>
    <t>Сколько строк длится обвод</t>
  </si>
  <si>
    <t>Обвод делаем. 1 - да, 0 - нет</t>
  </si>
  <si>
    <t>1ур. шлейф верх. Внутри есть УУ</t>
  </si>
  <si>
    <t>VSCHEMACircuitBreaker1</t>
  </si>
  <si>
    <t>VSCHEMACircuitBreaker2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</si>
</sst>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</fonts>
  <fills count="5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40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2" xfId="1" applyFont="1" applyFill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3" xfId="2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/>
      <protection hidden="1"/>
    </xf>
    <xf numFmtId="0" fontId="3" fillId="7" borderId="44" xfId="1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44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0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52" xfId="0" applyFill="1" applyBorder="1" applyAlignment="1">
      <alignment horizontal="left" vertical="center"/>
    </xf>
    <xf numFmtId="0" fontId="0" fillId="22" borderId="52" xfId="0" applyFill="1" applyBorder="1" applyAlignment="1">
      <alignment horizontal="center" vertical="center"/>
    </xf>
    <xf numFmtId="0" fontId="0" fillId="24" borderId="52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52" xfId="0" applyFill="1" applyBorder="1" applyAlignment="1">
      <alignment horizontal="center" vertical="center" wrapText="1"/>
    </xf>
    <xf numFmtId="0" fontId="0" fillId="25" borderId="52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19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0" fillId="30" borderId="52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52" xfId="0" applyFill="1" applyBorder="1" applyAlignment="1">
      <alignment horizontal="center" vertical="center" wrapText="1"/>
    </xf>
    <xf numFmtId="0" fontId="21" fillId="33" borderId="52" xfId="0" applyFont="1" applyFill="1" applyBorder="1" applyAlignment="1" applyProtection="1">
      <alignment horizontal="center" vertical="center" wrapText="1"/>
      <protection hidden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0" fillId="4" borderId="0" xfId="0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52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14" fillId="33" borderId="52" xfId="0" applyFont="1" applyFill="1" applyBorder="1" applyAlignment="1" applyProtection="1">
      <alignment horizontal="center" vertical="center" wrapText="1"/>
      <protection hidden="1"/>
    </xf>
    <xf numFmtId="0" fontId="19" fillId="36" borderId="39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3" fillId="7" borderId="27" xfId="0" applyFont="1" applyFill="1" applyBorder="1" applyAlignment="1" applyProtection="1">
      <alignment horizontal="center" vertical="center" textRotation="90" wrapText="1"/>
      <protection hidden="1"/>
    </xf>
    <xf numFmtId="0" fontId="26" fillId="37" borderId="55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14" fillId="39" borderId="52" xfId="0" applyFont="1" applyFill="1" applyBorder="1" applyAlignment="1" applyProtection="1">
      <alignment horizontal="center" vertical="center" wrapText="1"/>
      <protection hidden="1"/>
    </xf>
    <xf numFmtId="0" fontId="20" fillId="38" borderId="39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57" xfId="0" applyFont="1" applyFill="1" applyBorder="1" applyAlignment="1">
      <alignment horizontal="center" vertical="center" wrapText="1"/>
    </xf>
    <xf numFmtId="0" fontId="0" fillId="42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14" fillId="39" borderId="52" xfId="0" applyFont="1" applyFill="1" applyBorder="1" applyAlignment="1" applyProtection="1">
      <alignment horizontal="center" wrapText="1"/>
      <protection hidden="1"/>
    </xf>
    <xf numFmtId="0" fontId="20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11" borderId="0" xfId="2" applyFont="1" applyFill="1" applyBorder="1" applyAlignment="1" applyProtection="1">
      <alignment horizontal="center" vertical="center" wrapText="1"/>
      <protection hidden="1"/>
    </xf>
    <xf numFmtId="0" fontId="21" fillId="39" borderId="58" xfId="0" applyFont="1" applyFill="1" applyBorder="1" applyAlignment="1" applyProtection="1">
      <alignment horizontal="center" vertical="center" wrapText="1"/>
      <protection hidden="1"/>
    </xf>
    <xf numFmtId="0" fontId="21" fillId="45" borderId="1" xfId="0" applyFont="1" applyFill="1" applyBorder="1" applyAlignment="1" applyProtection="1">
      <alignment horizontal="center" vertical="center" wrapText="1"/>
      <protection hidden="1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3" fillId="34" borderId="59" xfId="0" applyFont="1" applyFill="1" applyBorder="1" applyAlignment="1" applyProtection="1">
      <alignment horizontal="center" vertical="center" wrapText="1"/>
      <protection hidden="1"/>
    </xf>
    <xf numFmtId="0" fontId="21" fillId="45" borderId="0" xfId="0" applyFont="1" applyFill="1" applyBorder="1" applyAlignment="1" applyProtection="1">
      <alignment horizontal="center" vertical="center" wrapText="1"/>
      <protection hidden="1"/>
    </xf>
    <xf numFmtId="0" fontId="20" fillId="46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3" borderId="60" xfId="0" applyFont="1" applyFill="1" applyBorder="1" applyAlignment="1" applyProtection="1">
      <alignment horizontal="center" vertical="center" wrapText="1"/>
      <protection hidden="1"/>
    </xf>
    <xf numFmtId="0" fontId="3" fillId="53" borderId="61" xfId="0" applyFont="1" applyFill="1" applyBorder="1" applyAlignment="1" applyProtection="1">
      <alignment horizontal="center" vertical="center" wrapText="1"/>
      <protection hidden="1"/>
    </xf>
    <xf numFmtId="49" fontId="3" fillId="44" borderId="9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60" xfId="0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7" borderId="42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3" fillId="58" borderId="61" xfId="0" applyFont="1" applyFill="1" applyBorder="1" applyAlignment="1" applyProtection="1">
      <alignment horizontal="center" vertical="center" wrapText="1"/>
      <protection hidden="1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29" fillId="56" borderId="52" xfId="0" applyFont="1" applyFill="1" applyBorder="1" applyAlignment="1" applyProtection="1">
      <alignment horizontal="center" vertical="center"/>
      <protection hidden="1"/>
    </xf>
    <xf numFmtId="0" fontId="3" fillId="16" borderId="41" xfId="1" applyFont="1" applyFill="1" applyBorder="1" applyAlignment="1" applyProtection="1">
      <alignment horizontal="center" vertical="center" wrapText="1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3" fillId="17" borderId="6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23" fillId="34" borderId="59" xfId="0" applyFont="1" applyFill="1" applyBorder="1" applyAlignment="1" applyProtection="1">
      <alignment horizontal="center" vertical="center" wrapText="1"/>
      <protection hidden="1"/>
    </xf>
    <xf numFmtId="0" fontId="14" fillId="39" borderId="0" xfId="0" applyFont="1" applyFill="1" applyBorder="1" applyAlignment="1" applyProtection="1">
      <alignment horizontal="center" wrapText="1"/>
      <protection hidden="1"/>
    </xf>
    <xf numFmtId="0" fontId="20" fillId="38" borderId="0" xfId="0" applyFont="1" applyFill="1" applyBorder="1" applyAlignment="1">
      <alignment horizontal="center" vertical="center"/>
    </xf>
    <xf numFmtId="0" fontId="20" fillId="57" borderId="0" xfId="0" applyFont="1" applyFill="1" applyBorder="1" applyAlignment="1">
      <alignment horizontal="center" vertical="center"/>
    </xf>
    <xf numFmtId="0" fontId="14" fillId="29" borderId="0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62" xfId="0" applyFont="1" applyFill="1" applyBorder="1" applyAlignment="1">
      <alignment horizontal="center" vertical="center" wrapText="1"/>
    </xf>
    <xf numFmtId="0" fontId="27" fillId="43" borderId="6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4" xfId="0" applyFont="1" applyFill="1" applyBorder="1" applyAlignment="1">
      <alignment horizontal="center" vertical="center"/>
    </xf>
    <xf numFmtId="0" fontId="27" fillId="43" borderId="5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3" fillId="27" borderId="52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6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30" fillId="42" borderId="2" xfId="2" applyFont="1" applyFill="1" applyBorder="1" applyAlignment="1" applyProtection="1">
      <alignment horizontal="center" vertical="center" wrapText="1"/>
      <protection hidden="1"/>
    </xf>
    <xf numFmtId="0" fontId="30" fillId="42" borderId="3" xfId="2" applyFont="1" applyFill="1" applyBorder="1" applyAlignment="1" applyProtection="1">
      <alignment horizontal="center" vertical="center" wrapText="1"/>
      <protection hidden="1"/>
    </xf>
    <xf numFmtId="0" fontId="30" fillId="42" borderId="4" xfId="2" applyFont="1" applyFill="1" applyBorder="1" applyAlignment="1" applyProtection="1">
      <alignment horizontal="center" vertical="center" wrapText="1"/>
      <protection hidden="1"/>
    </xf>
    <xf numFmtId="0" fontId="14" fillId="11" borderId="67" xfId="2" applyFont="1" applyFill="1" applyBorder="1" applyAlignment="1" applyProtection="1">
      <alignment horizontal="center" vertical="center" wrapText="1"/>
      <protection hidden="1"/>
    </xf>
    <xf numFmtId="0" fontId="14" fillId="11" borderId="68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43" xfId="0" applyFill="1" applyBorder="1" applyAlignment="1">
      <alignment horizontal="center"/>
    </xf>
    <xf numFmtId="49" fontId="3" fillId="44" borderId="64" xfId="0" applyNumberFormat="1" applyFont="1" applyFill="1" applyBorder="1" applyAlignment="1" applyProtection="1">
      <alignment horizontal="center" vertical="center" wrapText="1"/>
      <protection hidden="1"/>
    </xf>
    <xf numFmtId="49" fontId="3" fillId="44" borderId="3" xfId="0" applyNumberFormat="1" applyFont="1" applyFill="1" applyBorder="1" applyAlignment="1" applyProtection="1">
      <alignment horizontal="center" vertical="center" wrapText="1"/>
      <protection hidden="1"/>
    </xf>
    <xf numFmtId="49" fontId="3" fillId="44" borderId="65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horizontal="center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23" fillId="34" borderId="53" xfId="0" applyFont="1" applyFill="1" applyBorder="1" applyAlignment="1" applyProtection="1">
      <alignment horizontal="center" vertical="center" wrapText="1"/>
      <protection hidden="1"/>
    </xf>
    <xf numFmtId="0" fontId="23" fillId="34" borderId="54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50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A16" workbookViewId="0">
      <selection activeCell="L48" sqref="L48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223" t="s">
        <v>4</v>
      </c>
      <c r="B3" s="224"/>
      <c r="C3" s="225"/>
      <c r="F3" s="220" t="s">
        <v>19</v>
      </c>
      <c r="G3" s="221"/>
      <c r="H3" s="222"/>
      <c r="K3" s="218" t="s">
        <v>74</v>
      </c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75</v>
      </c>
      <c r="L4" s="43" t="s">
        <v>76</v>
      </c>
      <c r="M4" s="43" t="s">
        <v>77</v>
      </c>
      <c r="N4" s="43" t="s">
        <v>99</v>
      </c>
      <c r="O4" s="43" t="s">
        <v>100</v>
      </c>
      <c r="P4" s="43" t="s">
        <v>101</v>
      </c>
      <c r="Q4" s="43" t="s">
        <v>137</v>
      </c>
      <c r="R4" s="43" t="s">
        <v>148</v>
      </c>
      <c r="S4" s="43" t="s">
        <v>149</v>
      </c>
      <c r="T4" s="43" t="s">
        <v>150</v>
      </c>
      <c r="U4" s="43" t="s">
        <v>78</v>
      </c>
      <c r="V4" s="43" t="s">
        <v>79</v>
      </c>
      <c r="W4" s="43" t="s">
        <v>80</v>
      </c>
      <c r="X4" s="43" t="s">
        <v>107</v>
      </c>
      <c r="Y4" s="43" t="s">
        <v>108</v>
      </c>
      <c r="Z4" s="43" t="s">
        <v>109</v>
      </c>
      <c r="AA4" s="43" t="s">
        <v>138</v>
      </c>
      <c r="AB4" s="43" t="s">
        <v>155</v>
      </c>
      <c r="AC4" s="43" t="s">
        <v>156</v>
      </c>
      <c r="AD4" s="43" t="s">
        <v>157</v>
      </c>
      <c r="AE4" s="43" t="s">
        <v>81</v>
      </c>
      <c r="AF4" s="43" t="s">
        <v>82</v>
      </c>
      <c r="AG4" s="43" t="s">
        <v>83</v>
      </c>
      <c r="AH4" s="43" t="s">
        <v>103</v>
      </c>
      <c r="AI4" s="43" t="s">
        <v>104</v>
      </c>
      <c r="AJ4" s="43" t="s">
        <v>105</v>
      </c>
      <c r="AK4" s="43" t="s">
        <v>139</v>
      </c>
      <c r="AL4" s="43" t="s">
        <v>151</v>
      </c>
      <c r="AM4" s="43" t="s">
        <v>152</v>
      </c>
      <c r="AN4" s="43" t="s">
        <v>153</v>
      </c>
      <c r="AO4" s="43" t="s">
        <v>84</v>
      </c>
      <c r="AP4" s="43" t="s">
        <v>85</v>
      </c>
      <c r="AQ4" s="43" t="s">
        <v>86</v>
      </c>
      <c r="AR4" s="43" t="s">
        <v>110</v>
      </c>
      <c r="AS4" s="43" t="s">
        <v>111</v>
      </c>
      <c r="AT4" s="43" t="s">
        <v>112</v>
      </c>
      <c r="AU4" s="43" t="s">
        <v>140</v>
      </c>
      <c r="AV4" s="43" t="s">
        <v>87</v>
      </c>
      <c r="AW4" s="43" t="s">
        <v>88</v>
      </c>
      <c r="AX4" s="43" t="s">
        <v>89</v>
      </c>
      <c r="AY4" s="43" t="s">
        <v>113</v>
      </c>
      <c r="AZ4" s="43" t="s">
        <v>114</v>
      </c>
      <c r="BA4" s="43" t="s">
        <v>115</v>
      </c>
      <c r="BB4" s="43" t="s">
        <v>141</v>
      </c>
      <c r="BC4" s="43" t="s">
        <v>90</v>
      </c>
      <c r="BD4" s="43" t="s">
        <v>91</v>
      </c>
      <c r="BE4" s="43" t="s">
        <v>92</v>
      </c>
      <c r="BF4" s="43" t="s">
        <v>116</v>
      </c>
      <c r="BG4" s="43" t="s">
        <v>117</v>
      </c>
      <c r="BH4" s="43" t="s">
        <v>118</v>
      </c>
      <c r="BI4" s="43" t="s">
        <v>142</v>
      </c>
      <c r="BJ4" s="43" t="s">
        <v>93</v>
      </c>
      <c r="BK4" s="43" t="s">
        <v>94</v>
      </c>
      <c r="BL4" s="43" t="s">
        <v>95</v>
      </c>
      <c r="BM4" s="43" t="s">
        <v>119</v>
      </c>
      <c r="BN4" s="43" t="s">
        <v>120</v>
      </c>
      <c r="BO4" s="43" t="s">
        <v>121</v>
      </c>
      <c r="BP4" s="43" t="s">
        <v>143</v>
      </c>
      <c r="BQ4" s="43" t="s">
        <v>96</v>
      </c>
      <c r="BR4" s="43" t="s">
        <v>97</v>
      </c>
      <c r="BS4" s="43" t="s">
        <v>98</v>
      </c>
      <c r="BT4" s="43" t="s">
        <v>122</v>
      </c>
      <c r="BU4" s="43" t="s">
        <v>123</v>
      </c>
      <c r="BV4" s="43" t="s">
        <v>124</v>
      </c>
      <c r="BW4" s="43" t="s">
        <v>144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102</v>
      </c>
      <c r="O6" s="2"/>
      <c r="P6" s="2"/>
      <c r="Q6" s="2">
        <v>2</v>
      </c>
      <c r="R6" s="49" t="s">
        <v>147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125</v>
      </c>
      <c r="Y6" s="2" t="s">
        <v>73</v>
      </c>
      <c r="Z6" s="2"/>
      <c r="AA6" s="2">
        <v>1</v>
      </c>
      <c r="AB6" s="50" t="s">
        <v>158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130</v>
      </c>
      <c r="AI6" s="2" t="s">
        <v>106</v>
      </c>
      <c r="AJ6" s="2">
        <v>0</v>
      </c>
      <c r="AK6" s="2">
        <v>3</v>
      </c>
      <c r="AL6" s="50" t="s">
        <v>154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131</v>
      </c>
      <c r="AS6" s="2" t="s">
        <v>129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132</v>
      </c>
      <c r="AZ6" s="2" t="s">
        <v>126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133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134</v>
      </c>
      <c r="BN6" s="2" t="s">
        <v>128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135</v>
      </c>
      <c r="BU6" s="2" t="s">
        <v>136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102</v>
      </c>
      <c r="O7" s="2"/>
      <c r="P7" s="2"/>
      <c r="Q7" s="2">
        <v>2</v>
      </c>
      <c r="R7" s="49" t="s">
        <v>147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125</v>
      </c>
      <c r="Y7" s="2" t="s">
        <v>73</v>
      </c>
      <c r="Z7" s="2"/>
      <c r="AA7" s="2">
        <v>1</v>
      </c>
      <c r="AB7" s="50" t="s">
        <v>158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130</v>
      </c>
      <c r="AI7" s="2" t="s">
        <v>106</v>
      </c>
      <c r="AJ7" s="2">
        <v>0</v>
      </c>
      <c r="AK7" s="2">
        <v>3</v>
      </c>
      <c r="AL7" s="50" t="s">
        <v>154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131</v>
      </c>
      <c r="AS7" s="2" t="s">
        <v>129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132</v>
      </c>
      <c r="AZ7" s="2" t="s">
        <v>126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133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134</v>
      </c>
      <c r="BN7" s="2" t="s">
        <v>127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135</v>
      </c>
      <c r="BU7" s="2" t="s">
        <v>136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102</v>
      </c>
      <c r="O8" s="2"/>
      <c r="P8" s="2"/>
      <c r="Q8" s="2">
        <v>2</v>
      </c>
      <c r="R8" s="49" t="s">
        <v>147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125</v>
      </c>
      <c r="Y8" s="2" t="s">
        <v>73</v>
      </c>
      <c r="Z8" s="2"/>
      <c r="AA8" s="2">
        <v>1</v>
      </c>
      <c r="AB8" s="50" t="s">
        <v>158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130</v>
      </c>
      <c r="AI8" s="2" t="s">
        <v>106</v>
      </c>
      <c r="AJ8" s="2">
        <v>0</v>
      </c>
      <c r="AK8" s="2">
        <v>3</v>
      </c>
      <c r="AL8" s="50" t="s">
        <v>154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131</v>
      </c>
      <c r="AS8" s="2" t="s">
        <v>129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132</v>
      </c>
      <c r="AZ8" s="2" t="s">
        <v>126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133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135</v>
      </c>
      <c r="BU8" s="2" t="s">
        <v>136</v>
      </c>
      <c r="BV8" s="2"/>
      <c r="BW8" s="2">
        <v>8</v>
      </c>
      <c r="BX8" s="2"/>
    </row>
    <row r="9" spans="1:76" ht="15.75" thickBot="1" x14ac:dyDescent="0.3">
      <c r="A9" s="226" t="s">
        <v>3</v>
      </c>
      <c r="B9" s="227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102</v>
      </c>
      <c r="O9" s="2"/>
      <c r="P9" s="2"/>
      <c r="Q9" s="2">
        <v>2</v>
      </c>
      <c r="R9" s="49" t="s">
        <v>147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125</v>
      </c>
      <c r="Y9" s="2" t="s">
        <v>73</v>
      </c>
      <c r="Z9" s="2"/>
      <c r="AA9" s="2">
        <v>1</v>
      </c>
      <c r="AB9" s="50" t="s">
        <v>158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130</v>
      </c>
      <c r="AI9" s="2" t="s">
        <v>106</v>
      </c>
      <c r="AJ9" s="2">
        <v>0</v>
      </c>
      <c r="AK9" s="2">
        <v>3</v>
      </c>
      <c r="AL9" s="50" t="s">
        <v>154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131</v>
      </c>
      <c r="AS9" s="2" t="s">
        <v>129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132</v>
      </c>
      <c r="AZ9" s="2" t="s">
        <v>126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133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135</v>
      </c>
      <c r="BU9" s="2" t="s">
        <v>136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102</v>
      </c>
      <c r="O10" s="2"/>
      <c r="P10" s="2"/>
      <c r="Q10" s="2">
        <v>2</v>
      </c>
      <c r="R10" s="49" t="s">
        <v>147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125</v>
      </c>
      <c r="Y10" s="2" t="s">
        <v>73</v>
      </c>
      <c r="Z10" s="2"/>
      <c r="AA10" s="2">
        <v>1</v>
      </c>
      <c r="AB10" s="50" t="s">
        <v>158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130</v>
      </c>
      <c r="AI10" s="2" t="s">
        <v>106</v>
      </c>
      <c r="AJ10" s="2">
        <v>0</v>
      </c>
      <c r="AK10" s="2">
        <v>3</v>
      </c>
      <c r="AL10" s="50" t="s">
        <v>154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131</v>
      </c>
      <c r="AS10" s="2" t="s">
        <v>129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132</v>
      </c>
      <c r="AZ10" s="2" t="s">
        <v>126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133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135</v>
      </c>
      <c r="BU10" s="2" t="s">
        <v>136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102</v>
      </c>
      <c r="O11" s="2"/>
      <c r="P11" s="2"/>
      <c r="Q11" s="2">
        <v>2</v>
      </c>
      <c r="R11" s="49" t="s">
        <v>147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125</v>
      </c>
      <c r="Y11" s="2" t="s">
        <v>73</v>
      </c>
      <c r="Z11" s="2"/>
      <c r="AA11" s="2">
        <v>1</v>
      </c>
      <c r="AB11" s="50" t="s">
        <v>158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130</v>
      </c>
      <c r="AI11" s="2" t="s">
        <v>106</v>
      </c>
      <c r="AJ11" s="2">
        <v>0</v>
      </c>
      <c r="AK11" s="2">
        <v>3</v>
      </c>
      <c r="AL11" s="50" t="s">
        <v>154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131</v>
      </c>
      <c r="AS11" s="2" t="s">
        <v>129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132</v>
      </c>
      <c r="AZ11" s="48" t="s">
        <v>126</v>
      </c>
      <c r="BA11" s="2"/>
      <c r="BB11" s="2"/>
      <c r="BC11" s="2">
        <v>1500</v>
      </c>
      <c r="BD11" s="2">
        <v>0</v>
      </c>
      <c r="BE11" s="2">
        <v>0</v>
      </c>
      <c r="BF11" s="2" t="s">
        <v>133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135</v>
      </c>
      <c r="BU11" s="2" t="s">
        <v>136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102</v>
      </c>
      <c r="O12" s="2"/>
      <c r="P12" s="2"/>
      <c r="Q12" s="2">
        <v>2</v>
      </c>
      <c r="R12" s="49" t="s">
        <v>147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125</v>
      </c>
      <c r="Y12" s="2" t="s">
        <v>73</v>
      </c>
      <c r="Z12" s="2"/>
      <c r="AA12" s="2">
        <v>1</v>
      </c>
      <c r="AB12" s="50" t="s">
        <v>158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130</v>
      </c>
      <c r="AI12" s="2" t="s">
        <v>106</v>
      </c>
      <c r="AJ12" s="2">
        <v>0</v>
      </c>
      <c r="AK12" s="2">
        <v>3</v>
      </c>
      <c r="AL12" s="50" t="s">
        <v>154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131</v>
      </c>
      <c r="AS12" s="2" t="s">
        <v>129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132</v>
      </c>
      <c r="AZ12" s="48" t="s">
        <v>126</v>
      </c>
      <c r="BA12" s="2"/>
      <c r="BB12" s="2"/>
      <c r="BC12" s="2">
        <v>1250</v>
      </c>
      <c r="BD12" s="2">
        <v>0</v>
      </c>
      <c r="BE12" s="2">
        <v>0</v>
      </c>
      <c r="BF12" s="2" t="s">
        <v>133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135</v>
      </c>
      <c r="BU12" s="2" t="s">
        <v>136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102</v>
      </c>
      <c r="O13" s="2"/>
      <c r="P13" s="2"/>
      <c r="Q13" s="2">
        <v>2</v>
      </c>
      <c r="R13" s="49" t="s">
        <v>147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158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130</v>
      </c>
      <c r="AI13" s="2" t="s">
        <v>106</v>
      </c>
      <c r="AJ13" s="2">
        <v>0</v>
      </c>
      <c r="AK13" s="2">
        <v>3</v>
      </c>
      <c r="AL13" s="50" t="s">
        <v>154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131</v>
      </c>
      <c r="AS13" s="2" t="s">
        <v>129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133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135</v>
      </c>
      <c r="BU13" s="2" t="s">
        <v>136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102</v>
      </c>
      <c r="O14" s="2"/>
      <c r="P14" s="2"/>
      <c r="Q14" s="2">
        <v>2</v>
      </c>
      <c r="R14" s="49" t="s">
        <v>147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158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130</v>
      </c>
      <c r="AI14" s="2" t="s">
        <v>106</v>
      </c>
      <c r="AJ14" s="2">
        <v>0</v>
      </c>
      <c r="AK14" s="2">
        <v>3</v>
      </c>
      <c r="AL14" s="50" t="s">
        <v>154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133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135</v>
      </c>
      <c r="BU14" s="2" t="s">
        <v>136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102</v>
      </c>
      <c r="O15" s="2"/>
      <c r="P15" s="2"/>
      <c r="Q15" s="2">
        <v>2</v>
      </c>
      <c r="R15" s="49" t="s">
        <v>147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158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130</v>
      </c>
      <c r="AI15" s="2" t="s">
        <v>106</v>
      </c>
      <c r="AJ15" s="2">
        <v>0</v>
      </c>
      <c r="AK15" s="2">
        <v>3</v>
      </c>
      <c r="AL15" s="50" t="s">
        <v>154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133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135</v>
      </c>
      <c r="BU15" s="2" t="s">
        <v>136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102</v>
      </c>
      <c r="O16" s="2"/>
      <c r="P16" s="2"/>
      <c r="Q16" s="2">
        <v>2</v>
      </c>
      <c r="R16" s="49" t="s">
        <v>147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158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154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133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135</v>
      </c>
      <c r="BU16" s="2" t="s">
        <v>136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102</v>
      </c>
      <c r="O17" s="2"/>
      <c r="P17" s="2"/>
      <c r="Q17" s="2">
        <v>2</v>
      </c>
      <c r="R17" s="49" t="s">
        <v>147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158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154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133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135</v>
      </c>
      <c r="BU17" s="2" t="s">
        <v>136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102</v>
      </c>
      <c r="O18" s="2"/>
      <c r="P18" s="2"/>
      <c r="Q18" s="2">
        <v>2</v>
      </c>
      <c r="R18" s="49" t="s">
        <v>147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158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154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133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135</v>
      </c>
      <c r="BU18" s="2" t="s">
        <v>136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102</v>
      </c>
      <c r="O19" s="2"/>
      <c r="P19" s="2"/>
      <c r="Q19" s="2">
        <v>2</v>
      </c>
      <c r="R19" s="49" t="s">
        <v>147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158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154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133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135</v>
      </c>
      <c r="BU19" s="2" t="s">
        <v>136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102</v>
      </c>
      <c r="O20" s="2"/>
      <c r="P20" s="2"/>
      <c r="Q20" s="2">
        <v>2</v>
      </c>
      <c r="R20" s="49" t="s">
        <v>147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158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154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133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135</v>
      </c>
      <c r="BU20" s="2" t="s">
        <v>136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102</v>
      </c>
      <c r="O21" s="2"/>
      <c r="P21" s="2"/>
      <c r="Q21" s="2">
        <v>2</v>
      </c>
      <c r="R21" s="49" t="s">
        <v>147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158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154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133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135</v>
      </c>
      <c r="BU21" s="2" t="s">
        <v>136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102</v>
      </c>
      <c r="O22" s="2"/>
      <c r="P22" s="2"/>
      <c r="Q22" s="2">
        <v>2</v>
      </c>
      <c r="R22" s="49" t="s">
        <v>147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158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154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133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102</v>
      </c>
      <c r="O23" s="2"/>
      <c r="P23" s="2"/>
      <c r="Q23" s="2">
        <v>2</v>
      </c>
      <c r="R23" s="49" t="s">
        <v>147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158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154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133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102</v>
      </c>
      <c r="O24" s="2" t="s">
        <v>71</v>
      </c>
      <c r="P24" s="2"/>
      <c r="Q24" s="2">
        <v>2</v>
      </c>
      <c r="R24" s="49" t="s">
        <v>147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158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154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133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102</v>
      </c>
      <c r="O25" s="2" t="s">
        <v>71</v>
      </c>
      <c r="P25" s="2"/>
      <c r="Q25" s="2">
        <v>2</v>
      </c>
      <c r="R25" s="49" t="s">
        <v>147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158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154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133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102</v>
      </c>
      <c r="O26" s="2" t="s">
        <v>71</v>
      </c>
      <c r="P26" s="2"/>
      <c r="Q26" s="2">
        <v>2</v>
      </c>
      <c r="R26" s="49" t="s">
        <v>147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158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154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133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102</v>
      </c>
      <c r="O27" s="2" t="s">
        <v>71</v>
      </c>
      <c r="P27" s="2"/>
      <c r="Q27" s="2">
        <v>2</v>
      </c>
      <c r="R27" s="49" t="s">
        <v>147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158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154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133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102</v>
      </c>
      <c r="O28" s="2" t="s">
        <v>71</v>
      </c>
      <c r="P28" s="2"/>
      <c r="Q28" s="2">
        <v>2</v>
      </c>
      <c r="R28" s="49" t="s">
        <v>147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158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154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133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102</v>
      </c>
      <c r="O29" s="2" t="s">
        <v>71</v>
      </c>
      <c r="P29" s="2"/>
      <c r="Q29" s="2">
        <v>2</v>
      </c>
      <c r="R29" s="49" t="s">
        <v>147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158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154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133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102</v>
      </c>
      <c r="O30" s="2" t="s">
        <v>71</v>
      </c>
      <c r="P30" s="2"/>
      <c r="Q30" s="2">
        <v>2</v>
      </c>
      <c r="R30" s="49" t="s">
        <v>147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158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154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133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102</v>
      </c>
      <c r="O31" s="2" t="s">
        <v>71</v>
      </c>
      <c r="P31" s="2"/>
      <c r="Q31" s="2">
        <v>2</v>
      </c>
      <c r="R31" s="49" t="s">
        <v>147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158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154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133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102</v>
      </c>
      <c r="O32" s="2" t="s">
        <v>71</v>
      </c>
      <c r="P32" s="2"/>
      <c r="Q32" s="2">
        <v>2</v>
      </c>
      <c r="R32" s="49" t="s">
        <v>147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158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154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133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102</v>
      </c>
      <c r="O33" s="2" t="s">
        <v>71</v>
      </c>
      <c r="P33" s="2"/>
      <c r="Q33" s="2">
        <v>2</v>
      </c>
      <c r="R33" s="49" t="s">
        <v>147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158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154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133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102</v>
      </c>
      <c r="O34" s="2" t="s">
        <v>71</v>
      </c>
      <c r="P34" s="2"/>
      <c r="Q34" s="2">
        <v>2</v>
      </c>
      <c r="R34" s="49" t="s">
        <v>147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158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154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133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102</v>
      </c>
      <c r="O35" s="2" t="s">
        <v>71</v>
      </c>
      <c r="P35" s="2"/>
      <c r="Q35" s="2">
        <v>2</v>
      </c>
      <c r="R35" s="49" t="s">
        <v>147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158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154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133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102</v>
      </c>
      <c r="O36" s="2" t="s">
        <v>71</v>
      </c>
      <c r="P36" s="2"/>
      <c r="Q36" s="2">
        <v>2</v>
      </c>
      <c r="R36" s="49" t="s">
        <v>147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158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154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133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102</v>
      </c>
      <c r="O37" s="2" t="s">
        <v>71</v>
      </c>
      <c r="P37" s="2"/>
      <c r="Q37" s="2">
        <v>2</v>
      </c>
      <c r="R37" s="49" t="s">
        <v>147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158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154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133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220" t="s">
        <v>72</v>
      </c>
      <c r="G42" s="221"/>
      <c r="H42" s="222"/>
      <c r="K42" s="228" t="s">
        <v>519</v>
      </c>
      <c r="L42" s="229"/>
    </row>
    <row r="43" spans="6:76" ht="31.5" x14ac:dyDescent="0.25">
      <c r="F43" s="36" t="s">
        <v>20</v>
      </c>
      <c r="G43" s="37" t="s">
        <v>21</v>
      </c>
      <c r="H43" s="38" t="s">
        <v>22</v>
      </c>
      <c r="K43" s="190" t="s">
        <v>520</v>
      </c>
      <c r="L43" s="190">
        <v>1</v>
      </c>
    </row>
    <row r="44" spans="6:76" x14ac:dyDescent="0.25">
      <c r="F44" s="27">
        <v>125</v>
      </c>
      <c r="G44" s="28"/>
      <c r="H44" s="29"/>
      <c r="K44" s="190" t="s">
        <v>523</v>
      </c>
      <c r="L44" s="190">
        <v>0</v>
      </c>
    </row>
    <row r="45" spans="6:76" x14ac:dyDescent="0.25">
      <c r="F45" s="27">
        <v>100</v>
      </c>
      <c r="G45" s="28"/>
      <c r="H45" s="29"/>
      <c r="K45" s="190" t="s">
        <v>521</v>
      </c>
      <c r="L45" s="190">
        <v>1</v>
      </c>
    </row>
    <row r="46" spans="6:76" x14ac:dyDescent="0.25">
      <c r="F46" s="27">
        <v>63</v>
      </c>
      <c r="G46" s="28"/>
      <c r="H46" s="29"/>
      <c r="K46" s="190" t="s">
        <v>522</v>
      </c>
      <c r="L46" s="190">
        <v>0</v>
      </c>
    </row>
    <row r="47" spans="6:76" x14ac:dyDescent="0.25">
      <c r="F47" s="27">
        <v>40</v>
      </c>
      <c r="G47" s="28"/>
      <c r="H47" s="29"/>
      <c r="K47" s="190" t="s">
        <v>524</v>
      </c>
      <c r="L47" s="190">
        <v>0</v>
      </c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20" t="s">
        <v>426</v>
      </c>
      <c r="D56" s="221"/>
      <c r="E56" s="222"/>
    </row>
  </sheetData>
  <mergeCells count="7">
    <mergeCell ref="K3:BX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topLeftCell="A10" workbookViewId="0">
      <selection activeCell="N31" sqref="N3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333</v>
      </c>
    </row>
    <row r="2" spans="1:2" x14ac:dyDescent="0.25">
      <c r="A2" t="s">
        <v>174</v>
      </c>
      <c r="B2" t="s">
        <v>379</v>
      </c>
    </row>
    <row r="3" spans="1:2" x14ac:dyDescent="0.25">
      <c r="A3" t="s">
        <v>173</v>
      </c>
      <c r="B3" t="s">
        <v>349</v>
      </c>
    </row>
    <row r="4" spans="1:2" x14ac:dyDescent="0.25">
      <c r="A4" t="s">
        <v>174</v>
      </c>
      <c r="B4" t="s">
        <v>379</v>
      </c>
    </row>
    <row r="5" spans="1:2" x14ac:dyDescent="0.25">
      <c r="A5" t="s">
        <v>173</v>
      </c>
      <c r="B5" t="s">
        <v>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93">
        <f t="shared" si="0"/>
        <v>17</v>
      </c>
    </row>
    <row r="3" spans="1:19" ht="90" x14ac:dyDescent="0.25">
      <c r="C3" s="77"/>
      <c r="D3" s="239" t="s">
        <v>334</v>
      </c>
      <c r="E3" s="239"/>
      <c r="F3" s="239"/>
      <c r="G3" s="239" t="s">
        <v>335</v>
      </c>
      <c r="H3" s="239"/>
      <c r="I3" s="239"/>
      <c r="J3" s="87" t="s">
        <v>338</v>
      </c>
      <c r="K3" s="87" t="s">
        <v>336</v>
      </c>
      <c r="L3" s="239" t="s">
        <v>337</v>
      </c>
      <c r="M3" s="239"/>
      <c r="N3" s="239"/>
      <c r="O3" s="240" t="s">
        <v>346</v>
      </c>
      <c r="P3" s="240"/>
      <c r="Q3" s="240"/>
      <c r="R3" s="94" t="s">
        <v>347</v>
      </c>
    </row>
    <row r="4" spans="1:19" x14ac:dyDescent="0.25">
      <c r="C4" s="77"/>
      <c r="D4" s="51" t="s">
        <v>167</v>
      </c>
      <c r="E4" s="52" t="s">
        <v>165</v>
      </c>
      <c r="F4" s="53" t="s">
        <v>166</v>
      </c>
      <c r="G4" s="51" t="s">
        <v>167</v>
      </c>
      <c r="H4" s="52" t="s">
        <v>165</v>
      </c>
      <c r="I4" s="53" t="s">
        <v>166</v>
      </c>
      <c r="J4" s="52" t="s">
        <v>165</v>
      </c>
      <c r="K4" s="52" t="s">
        <v>165</v>
      </c>
      <c r="L4" s="51" t="s">
        <v>167</v>
      </c>
      <c r="M4" s="52" t="s">
        <v>165</v>
      </c>
      <c r="N4" s="53" t="s">
        <v>166</v>
      </c>
      <c r="O4" s="89" t="s">
        <v>167</v>
      </c>
      <c r="P4" s="90" t="s">
        <v>165</v>
      </c>
      <c r="Q4" s="91" t="s">
        <v>166</v>
      </c>
      <c r="R4" s="94"/>
    </row>
    <row r="5" spans="1:19" ht="45" x14ac:dyDescent="0.25">
      <c r="C5" s="86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89"/>
      <c r="P5" s="90"/>
      <c r="Q5" s="91"/>
      <c r="R5" s="94"/>
    </row>
    <row r="6" spans="1:19" x14ac:dyDescent="0.25">
      <c r="C6" s="74" t="s">
        <v>145</v>
      </c>
      <c r="D6" s="54" t="s">
        <v>341</v>
      </c>
      <c r="E6" s="52"/>
      <c r="F6" s="53"/>
      <c r="G6" s="54" t="s">
        <v>342</v>
      </c>
      <c r="H6" s="52"/>
      <c r="I6" s="53"/>
      <c r="J6" s="52" t="s">
        <v>339</v>
      </c>
      <c r="K6" s="52" t="s">
        <v>340</v>
      </c>
      <c r="L6" s="54" t="s">
        <v>343</v>
      </c>
      <c r="M6" s="52"/>
      <c r="N6" s="53"/>
      <c r="O6" s="54" t="s">
        <v>348</v>
      </c>
      <c r="P6" s="52"/>
      <c r="Q6" s="53"/>
      <c r="R6" s="94">
        <v>1</v>
      </c>
      <c r="S6" t="s">
        <v>146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93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75"/>
      <c r="C5" s="75"/>
      <c r="D5" s="162" t="s">
        <v>334</v>
      </c>
      <c r="E5" s="162" t="s">
        <v>335</v>
      </c>
      <c r="F5" s="162" t="s">
        <v>336</v>
      </c>
      <c r="G5" s="162" t="s">
        <v>346</v>
      </c>
      <c r="H5" s="162" t="s">
        <v>337</v>
      </c>
      <c r="I5" s="162" t="s">
        <v>351</v>
      </c>
      <c r="J5" s="162" t="s">
        <v>352</v>
      </c>
      <c r="K5" s="162" t="s">
        <v>353</v>
      </c>
      <c r="L5" s="162" t="s">
        <v>354</v>
      </c>
      <c r="M5" s="162" t="s">
        <v>355</v>
      </c>
      <c r="N5" s="162" t="s">
        <v>356</v>
      </c>
      <c r="O5" s="162" t="s">
        <v>357</v>
      </c>
      <c r="P5" s="162" t="s">
        <v>358</v>
      </c>
      <c r="Q5" s="94" t="s">
        <v>359</v>
      </c>
      <c r="R5" s="162" t="s">
        <v>360</v>
      </c>
      <c r="S5" s="162" t="s">
        <v>361</v>
      </c>
      <c r="T5" s="162" t="s">
        <v>362</v>
      </c>
      <c r="U5" s="162" t="s">
        <v>363</v>
      </c>
      <c r="V5" s="162" t="s">
        <v>346</v>
      </c>
      <c r="W5" s="162" t="s">
        <v>364</v>
      </c>
      <c r="X5" s="163" t="s">
        <v>382</v>
      </c>
      <c r="Y5" s="164" t="s">
        <v>501</v>
      </c>
      <c r="Z5" s="164" t="s">
        <v>502</v>
      </c>
      <c r="AA5" s="165" t="s">
        <v>503</v>
      </c>
      <c r="AB5" s="165" t="s">
        <v>504</v>
      </c>
      <c r="AC5" s="75"/>
    </row>
    <row r="6" spans="1:29" ht="60" x14ac:dyDescent="0.25">
      <c r="B6" s="166" t="s">
        <v>2</v>
      </c>
      <c r="C6" s="166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167"/>
      <c r="R6" s="75"/>
      <c r="S6" s="75"/>
      <c r="T6" s="75"/>
      <c r="U6" s="75"/>
      <c r="V6" s="75"/>
      <c r="W6" s="75"/>
      <c r="X6" s="168"/>
      <c r="Y6" s="169"/>
      <c r="Z6" s="169"/>
      <c r="AA6" s="165"/>
      <c r="AB6" s="165"/>
      <c r="AC6" s="75"/>
    </row>
    <row r="7" spans="1:29" x14ac:dyDescent="0.25">
      <c r="B7" s="75" t="s">
        <v>381</v>
      </c>
      <c r="C7" s="75" t="str">
        <f>IF(COUNTIF($B$7:B7,B7)=1,"&lt;zzzimport&gt;",1)</f>
        <v>&lt;zzzimport&gt;</v>
      </c>
      <c r="D7" s="159">
        <f>'&lt;zallcab&gt;EXPORT'!E6</f>
        <v>0</v>
      </c>
      <c r="E7" s="159">
        <f>'&lt;zallcab&gt;EXPORT'!H6</f>
        <v>0</v>
      </c>
      <c r="F7" s="159" t="str">
        <f>'&lt;zallcab&gt;EXPORT'!K6</f>
        <v>&lt;zcabdevfinish&gt;</v>
      </c>
      <c r="G7" s="159">
        <f>'&lt;zallcab&gt;EXPORT'!P6</f>
        <v>0</v>
      </c>
      <c r="H7" s="159">
        <f>'&lt;zallcab&gt;EXPORT'!M6</f>
        <v>0</v>
      </c>
      <c r="I7" s="159">
        <v>1</v>
      </c>
      <c r="J7" s="159" t="e">
        <f>INDEX(BDzallcab!$C$4:$C$9,MATCH(G7,BDzallcab!$B$4:$B$9))</f>
        <v>#N/A</v>
      </c>
      <c r="K7" s="159">
        <f>SUMIFS(I7:$I$700000,D7:$D$700000,D7,G7:$G$700000,G7)</f>
        <v>1</v>
      </c>
      <c r="L7" s="159">
        <f>MATCH(D7,$D$7:D7,0)</f>
        <v>1</v>
      </c>
      <c r="M7" s="159">
        <f>SUMIFS(I7:$I$700000,D7:$D$700000,D7)</f>
        <v>1</v>
      </c>
      <c r="N7" s="159" t="str">
        <f>INDEX($F$7:$F$700000,L7+M7-1)</f>
        <v>&lt;zcabdevfinish&gt;</v>
      </c>
      <c r="O7" s="159" t="str">
        <f>INDEX($N$7:$N$700000,MATCH(D7,$D$7:D7,0))</f>
        <v>&lt;zcabdevfinish&gt;</v>
      </c>
      <c r="P7" s="159">
        <f>SUMIFS($H$7:H7,$D$7:D7,D7,$G$7:G7,G7)</f>
        <v>0</v>
      </c>
      <c r="Q7" s="170">
        <f t="shared" ref="Q7" si="1">IF(K7=1,1,0)</f>
        <v>1</v>
      </c>
      <c r="R7" s="159">
        <f>IF(SUMIFS($Q$7:Q7,$D$7:D7,D7)=1,1,0)</f>
        <v>1</v>
      </c>
      <c r="S7" s="159">
        <f t="shared" ref="S7" si="2">IF(R7=1,D7," ")</f>
        <v>0</v>
      </c>
      <c r="T7" s="159">
        <f t="shared" ref="T7" si="3">IF(R7=1,E7," ")</f>
        <v>0</v>
      </c>
      <c r="U7" s="159" t="str">
        <f t="shared" ref="U7" si="4">IF(R7=1,O7," ")</f>
        <v>&lt;zcabdevfinish&gt;</v>
      </c>
      <c r="V7" s="159">
        <f>IF(Q7=1,G7," ")</f>
        <v>0</v>
      </c>
      <c r="W7" s="159">
        <f t="shared" ref="W7" si="5">IF(Q7=1,P7," ")</f>
        <v>0</v>
      </c>
      <c r="X7" s="53">
        <f>SUMIFS($H$7:$H$700000,$D$7:$D$700000,D7)</f>
        <v>0</v>
      </c>
      <c r="Y7" s="171"/>
      <c r="Z7" s="171"/>
      <c r="AA7" s="165">
        <f>INDEX($Y$7:Y7,MATCH(D7,$D$7:D7,0))</f>
        <v>0</v>
      </c>
      <c r="AB7" s="165">
        <f>INDEX($Z$7:Z7,MATCH(D7,$D$7:D7,0))</f>
        <v>0</v>
      </c>
      <c r="AC7" s="75" t="s">
        <v>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42" t="s">
        <v>444</v>
      </c>
      <c r="D1" s="242"/>
      <c r="L1" s="241" t="s">
        <v>485</v>
      </c>
      <c r="M1" s="241"/>
      <c r="N1" s="241"/>
      <c r="O1" s="241"/>
      <c r="P1" s="241"/>
      <c r="Q1" s="241"/>
      <c r="R1" s="241"/>
      <c r="S1" s="241"/>
    </row>
    <row r="2" spans="2:45" x14ac:dyDescent="0.25">
      <c r="C2" s="131" t="s">
        <v>429</v>
      </c>
      <c r="D2" s="131">
        <v>1</v>
      </c>
    </row>
    <row r="3" spans="2:45" x14ac:dyDescent="0.25">
      <c r="C3" s="131" t="s">
        <v>430</v>
      </c>
      <c r="D3" s="131">
        <f>D2</f>
        <v>1</v>
      </c>
      <c r="N3" t="s">
        <v>486</v>
      </c>
      <c r="O3" t="s">
        <v>487</v>
      </c>
      <c r="P3" t="s">
        <v>488</v>
      </c>
      <c r="Q3" t="s">
        <v>489</v>
      </c>
      <c r="R3" t="s">
        <v>490</v>
      </c>
    </row>
    <row r="4" spans="2:45" x14ac:dyDescent="0.25">
      <c r="L4" t="s">
        <v>212</v>
      </c>
      <c r="M4" s="1" t="s">
        <v>491</v>
      </c>
      <c r="N4" s="172">
        <v>0</v>
      </c>
      <c r="O4" s="172">
        <v>0</v>
      </c>
      <c r="P4" s="173">
        <f>D2</f>
        <v>1</v>
      </c>
      <c r="Q4" s="173">
        <f>D3</f>
        <v>1</v>
      </c>
      <c r="R4" s="174">
        <v>0</v>
      </c>
      <c r="S4" t="s">
        <v>194</v>
      </c>
    </row>
    <row r="6" spans="2:45" x14ac:dyDescent="0.25">
      <c r="C6" s="1" t="s">
        <v>377</v>
      </c>
      <c r="D6" s="1" t="s">
        <v>168</v>
      </c>
      <c r="E6" s="1" t="s">
        <v>378</v>
      </c>
      <c r="F6" s="1" t="s">
        <v>346</v>
      </c>
      <c r="G6" s="1" t="s">
        <v>234</v>
      </c>
      <c r="H6" s="1" t="s">
        <v>505</v>
      </c>
      <c r="I6" s="1" t="s">
        <v>337</v>
      </c>
      <c r="K6" s="138" t="s">
        <v>506</v>
      </c>
      <c r="N6" s="175"/>
      <c r="O6" s="172">
        <f>-24*D3</f>
        <v>-24</v>
      </c>
      <c r="P6" s="173"/>
      <c r="Q6" s="173"/>
      <c r="R6" s="174"/>
    </row>
    <row r="7" spans="2:45" x14ac:dyDescent="0.25">
      <c r="B7" t="s">
        <v>380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38">
        <v>1</v>
      </c>
      <c r="L7" t="s">
        <v>212</v>
      </c>
      <c r="M7" s="1" t="s">
        <v>492</v>
      </c>
      <c r="N7" s="175">
        <v>0</v>
      </c>
      <c r="O7" s="172">
        <f>INDEX($O$6:O6,SUM($K$7:K7))-(8*Q7)</f>
        <v>-32</v>
      </c>
      <c r="P7" s="173">
        <f>$D$2</f>
        <v>1</v>
      </c>
      <c r="Q7" s="173">
        <f>$D$3</f>
        <v>1</v>
      </c>
      <c r="R7" s="174">
        <v>0</v>
      </c>
      <c r="S7" s="176" t="s">
        <v>493</v>
      </c>
      <c r="T7" s="160" t="str">
        <f>IF(C7=0,"",C7)</f>
        <v/>
      </c>
      <c r="U7" s="177" t="s">
        <v>494</v>
      </c>
      <c r="V7" s="177" t="str">
        <f>IF(C7=0,"",D7)</f>
        <v/>
      </c>
      <c r="W7" s="178" t="s">
        <v>495</v>
      </c>
      <c r="X7" s="179" t="str">
        <f>IF(C7=0,"",E7)</f>
        <v/>
      </c>
      <c r="Y7" s="178" t="s">
        <v>496</v>
      </c>
      <c r="Z7" s="177" t="str">
        <f>IF(C7=0,"",F7)</f>
        <v/>
      </c>
      <c r="AA7" s="180" t="s">
        <v>497</v>
      </c>
      <c r="AB7" s="181" t="str">
        <f>IF(C7=0,"",G7)</f>
        <v/>
      </c>
      <c r="AC7" s="182" t="s">
        <v>498</v>
      </c>
      <c r="AD7" s="181" t="str">
        <f>IF(C7=0,"",H7)</f>
        <v/>
      </c>
      <c r="AE7" s="182" t="s">
        <v>499</v>
      </c>
      <c r="AF7" s="183" t="str">
        <f>IF(C7=0,"",I7)</f>
        <v/>
      </c>
      <c r="AG7" t="s">
        <v>194</v>
      </c>
      <c r="AI7" s="184"/>
      <c r="AO7" t="s">
        <v>192</v>
      </c>
      <c r="AS7" s="184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E8" sqref="E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174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477</v>
      </c>
    </row>
    <row r="3" spans="1:2" x14ac:dyDescent="0.25">
      <c r="A3" t="s">
        <v>173</v>
      </c>
      <c r="B3" t="s">
        <v>400</v>
      </c>
    </row>
    <row r="4" spans="1:2" x14ac:dyDescent="0.25">
      <c r="A4" t="s">
        <v>173</v>
      </c>
      <c r="B4" t="s">
        <v>0</v>
      </c>
    </row>
    <row r="5" spans="1:2" x14ac:dyDescent="0.25">
      <c r="A5" t="s">
        <v>477</v>
      </c>
    </row>
    <row r="6" spans="1:2" x14ac:dyDescent="0.25">
      <c r="A6" t="s">
        <v>478</v>
      </c>
      <c r="B6" t="s">
        <v>0</v>
      </c>
    </row>
    <row r="7" spans="1:2" x14ac:dyDescent="0.25">
      <c r="A7" t="s">
        <v>175</v>
      </c>
      <c r="B7" t="s">
        <v>317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174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173</v>
      </c>
      <c r="B2" t="s">
        <v>0</v>
      </c>
    </row>
    <row r="3" spans="1:2" x14ac:dyDescent="0.25">
      <c r="A3" t="s">
        <v>175</v>
      </c>
      <c r="B3" t="s">
        <v>317</v>
      </c>
    </row>
    <row r="4" spans="1:2" x14ac:dyDescent="0.25">
      <c r="A4" t="s">
        <v>174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173</v>
      </c>
      <c r="B5" t="s">
        <v>0</v>
      </c>
    </row>
    <row r="6" spans="1:2" x14ac:dyDescent="0.25">
      <c r="A6" t="s">
        <v>175</v>
      </c>
      <c r="B6" t="s">
        <v>317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D5" sqref="D5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87" t="s">
        <v>1</v>
      </c>
      <c r="E5" s="87" t="s">
        <v>326</v>
      </c>
      <c r="F5" s="87" t="s">
        <v>168</v>
      </c>
      <c r="G5" s="87" t="s">
        <v>181</v>
      </c>
      <c r="H5" s="87" t="s">
        <v>7</v>
      </c>
      <c r="I5" s="87" t="s">
        <v>401</v>
      </c>
      <c r="J5" s="87" t="s">
        <v>402</v>
      </c>
      <c r="K5" s="87" t="s">
        <v>403</v>
      </c>
      <c r="L5" s="92"/>
      <c r="M5" s="92"/>
    </row>
    <row r="6" spans="1:14" x14ac:dyDescent="0.25">
      <c r="B6" t="s">
        <v>483</v>
      </c>
      <c r="C6" t="s">
        <v>321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'&lt;zalldev&gt;EXPORT'!AZ11</f>
        <v>0</v>
      </c>
      <c r="J6" s="52">
        <f>'&lt;zalldev&gt;EXPORT'!AY11</f>
        <v>0</v>
      </c>
      <c r="K6" s="52">
        <v>1</v>
      </c>
      <c r="L6" t="s">
        <v>322</v>
      </c>
      <c r="M6" t="s">
        <v>192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HK28"/>
  <sheetViews>
    <sheetView tabSelected="1" topLeftCell="A10" workbookViewId="0">
      <selection activeCell="G29" sqref="G29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8" width="28.7109375" customWidth="1"/>
    <col min="9" max="10" width="29.42578125" customWidth="1"/>
    <col min="11" max="13" width="7.7109375" customWidth="1"/>
    <col min="14" max="14" width="25.7109375" customWidth="1"/>
    <col min="16" max="17" width="10.28515625" bestFit="1" customWidth="1"/>
    <col min="34" max="36" width="5.7109375" customWidth="1"/>
    <col min="42" max="44" width="5.7109375" customWidth="1"/>
    <col min="54" max="54" width="5.140625" customWidth="1"/>
    <col min="55" max="63" width="5.7109375" customWidth="1"/>
    <col min="64" max="77" width="6.7109375" customWidth="1"/>
    <col min="78" max="78" width="10.7109375" customWidth="1"/>
    <col min="79" max="79" width="15.7109375" customWidth="1"/>
    <col min="80" max="83" width="5.28515625" customWidth="1"/>
    <col min="84" max="95" width="6.7109375" customWidth="1"/>
    <col min="96" max="96" width="10.7109375" customWidth="1"/>
    <col min="97" max="97" width="15.7109375" customWidth="1"/>
    <col min="100" max="100" width="10.28515625" bestFit="1" customWidth="1"/>
    <col min="101" max="106" width="10.28515625" customWidth="1"/>
    <col min="107" max="108" width="12.7109375" customWidth="1"/>
    <col min="110" max="110" width="12.85546875" customWidth="1"/>
    <col min="111" max="111" width="11.28515625" customWidth="1"/>
    <col min="112" max="115" width="7.7109375" customWidth="1"/>
    <col min="116" max="120" width="11.28515625" customWidth="1"/>
    <col min="129" max="131" width="9" customWidth="1"/>
    <col min="154" max="154" width="11" customWidth="1"/>
  </cols>
  <sheetData>
    <row r="1" spans="4:55" x14ac:dyDescent="0.25">
      <c r="D1" s="1">
        <f>'&lt;zlight&gt;'!F20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55" ht="18" customHeight="1" x14ac:dyDescent="0.25">
      <c r="D4" s="290" t="s">
        <v>316</v>
      </c>
      <c r="E4" s="290"/>
      <c r="F4" s="290"/>
      <c r="G4" s="290"/>
      <c r="H4" s="290"/>
      <c r="I4" s="78" t="s">
        <v>315</v>
      </c>
      <c r="J4" s="115"/>
      <c r="O4" s="78"/>
      <c r="P4" s="290" t="s">
        <v>314</v>
      </c>
      <c r="Q4" s="290"/>
      <c r="R4" s="290"/>
      <c r="S4" s="290"/>
      <c r="T4" s="290"/>
      <c r="U4" s="290"/>
      <c r="Y4" s="242" t="s">
        <v>444</v>
      </c>
      <c r="Z4" s="242"/>
      <c r="AT4" s="122" t="s">
        <v>407</v>
      </c>
      <c r="AU4" s="122" t="s">
        <v>408</v>
      </c>
      <c r="AV4" s="122"/>
      <c r="AW4" s="122" t="s">
        <v>168</v>
      </c>
      <c r="AX4" s="122" t="s">
        <v>406</v>
      </c>
      <c r="AY4" s="122" t="s">
        <v>411</v>
      </c>
      <c r="AZ4" s="122" t="s">
        <v>405</v>
      </c>
      <c r="BA4" s="122" t="s">
        <v>409</v>
      </c>
      <c r="BB4" s="122" t="s">
        <v>412</v>
      </c>
    </row>
    <row r="5" spans="4:55" x14ac:dyDescent="0.25">
      <c r="D5" s="291" t="s">
        <v>313</v>
      </c>
      <c r="E5" s="291"/>
      <c r="F5" s="291"/>
      <c r="G5" s="291"/>
      <c r="H5" s="134">
        <f>AT5</f>
        <v>0</v>
      </c>
      <c r="I5" s="77" t="s">
        <v>312</v>
      </c>
      <c r="J5" s="116"/>
      <c r="O5" s="77" t="s">
        <v>311</v>
      </c>
      <c r="P5" s="285" t="s">
        <v>310</v>
      </c>
      <c r="Q5" s="285"/>
      <c r="R5" s="285"/>
      <c r="S5" s="285"/>
      <c r="T5" s="285">
        <f ca="1">SUM($AB$26:$AB$900000)</f>
        <v>0</v>
      </c>
      <c r="U5" s="285"/>
      <c r="Y5" s="131" t="s">
        <v>429</v>
      </c>
      <c r="Z5" s="131">
        <v>1</v>
      </c>
      <c r="AS5" t="s">
        <v>404</v>
      </c>
      <c r="AT5" s="52">
        <f>'&lt;zlight&gt;TEMPGU'!D6</f>
        <v>0</v>
      </c>
      <c r="AU5" s="52">
        <f>'&lt;zlight&gt;TEMPGU'!E6</f>
        <v>0</v>
      </c>
      <c r="AV5" s="52"/>
      <c r="AW5" s="52">
        <f>'&lt;zlight&gt;TEMPGU'!F6</f>
        <v>0</v>
      </c>
      <c r="AX5" s="52">
        <f>'&lt;zlight&gt;TEMPGU'!G6</f>
        <v>0</v>
      </c>
      <c r="AY5" s="52">
        <f>'&lt;zlight&gt;TEMPGU'!H6</f>
        <v>0</v>
      </c>
      <c r="AZ5" s="52" t="str">
        <f>'&lt;zlight&gt;TEMPGU'!I6</f>
        <v>0</v>
      </c>
      <c r="BA5" s="52">
        <f>'&lt;zlight&gt;TEMPGU'!J6</f>
        <v>0</v>
      </c>
      <c r="BB5" s="123">
        <f>IF(BA5=0,0,1)</f>
        <v>0</v>
      </c>
      <c r="BC5" t="s">
        <v>192</v>
      </c>
    </row>
    <row r="6" spans="4:55" x14ac:dyDescent="0.25">
      <c r="D6" s="289" t="s">
        <v>309</v>
      </c>
      <c r="E6" s="289"/>
      <c r="F6" s="289"/>
      <c r="G6" s="289"/>
      <c r="H6" s="114" t="s">
        <v>451</v>
      </c>
      <c r="I6" s="77" t="s">
        <v>308</v>
      </c>
      <c r="J6" s="116"/>
      <c r="O6" s="77">
        <v>63</v>
      </c>
      <c r="P6" s="285" t="s">
        <v>307</v>
      </c>
      <c r="Q6" s="285"/>
      <c r="R6" s="285"/>
      <c r="S6" s="285"/>
      <c r="T6" s="285">
        <f ca="1">T5*T11</f>
        <v>0</v>
      </c>
      <c r="U6" s="285"/>
      <c r="Y6" s="131" t="s">
        <v>430</v>
      </c>
      <c r="Z6" s="131">
        <v>1</v>
      </c>
    </row>
    <row r="7" spans="4:55" x14ac:dyDescent="0.25">
      <c r="D7" s="267" t="s">
        <v>306</v>
      </c>
      <c r="E7" s="267"/>
      <c r="F7" s="267"/>
      <c r="G7" s="267"/>
      <c r="H7" s="74">
        <v>45399</v>
      </c>
      <c r="I7" s="77" t="s">
        <v>305</v>
      </c>
      <c r="J7" s="116"/>
      <c r="O7" s="77">
        <v>32</v>
      </c>
      <c r="P7" s="285" t="s">
        <v>304</v>
      </c>
      <c r="Q7" s="285"/>
      <c r="R7" s="285"/>
      <c r="S7" s="285"/>
      <c r="T7" s="285">
        <f ca="1">ROUNDUP((T6*1000)/(VLOOKUP(H11,BD!$B$4:$C$5,2,FALSE)*T8),2)</f>
        <v>0</v>
      </c>
      <c r="U7" s="285"/>
    </row>
    <row r="8" spans="4:55" x14ac:dyDescent="0.25">
      <c r="D8" s="267" t="s">
        <v>303</v>
      </c>
      <c r="E8" s="267"/>
      <c r="F8" s="267"/>
      <c r="G8" s="267"/>
      <c r="H8" s="74" t="s">
        <v>302</v>
      </c>
      <c r="I8" s="77" t="s">
        <v>301</v>
      </c>
      <c r="J8" s="116"/>
      <c r="O8" s="77">
        <v>6</v>
      </c>
      <c r="P8" s="286" t="s">
        <v>300</v>
      </c>
      <c r="Q8" s="287"/>
      <c r="R8" s="287"/>
      <c r="S8" s="288"/>
      <c r="T8" s="270">
        <v>0.92</v>
      </c>
      <c r="U8" s="270"/>
    </row>
    <row r="9" spans="4:55" x14ac:dyDescent="0.25">
      <c r="D9" s="267" t="s">
        <v>299</v>
      </c>
      <c r="E9" s="267"/>
      <c r="F9" s="267"/>
      <c r="G9" s="267"/>
      <c r="H9" s="74" t="s">
        <v>298</v>
      </c>
      <c r="I9" s="77" t="s">
        <v>297</v>
      </c>
      <c r="J9" s="116"/>
      <c r="O9" s="77" t="s">
        <v>296</v>
      </c>
      <c r="P9" s="278" t="s">
        <v>295</v>
      </c>
      <c r="Q9" s="278"/>
      <c r="R9" s="278"/>
      <c r="S9" s="278"/>
      <c r="T9" s="279"/>
      <c r="U9" s="279"/>
    </row>
    <row r="10" spans="4:55" x14ac:dyDescent="0.25">
      <c r="D10" s="267" t="s">
        <v>294</v>
      </c>
      <c r="E10" s="267"/>
      <c r="F10" s="267"/>
      <c r="G10" s="267"/>
      <c r="I10" s="77" t="s">
        <v>293</v>
      </c>
      <c r="J10" s="116"/>
      <c r="O10" s="77">
        <v>4</v>
      </c>
      <c r="P10" s="278"/>
      <c r="Q10" s="278"/>
      <c r="R10" s="278"/>
      <c r="S10" s="278"/>
      <c r="T10" s="279"/>
      <c r="U10" s="279"/>
    </row>
    <row r="11" spans="4:55" x14ac:dyDescent="0.25">
      <c r="D11" s="267" t="s">
        <v>292</v>
      </c>
      <c r="E11" s="267"/>
      <c r="F11" s="267"/>
      <c r="G11" s="267"/>
      <c r="H11" s="131">
        <v>380</v>
      </c>
      <c r="I11" s="77" t="s">
        <v>291</v>
      </c>
      <c r="J11" s="116"/>
      <c r="O11" s="77" t="s">
        <v>290</v>
      </c>
      <c r="P11" s="280" t="s">
        <v>289</v>
      </c>
      <c r="Q11" s="281"/>
      <c r="R11" s="281"/>
      <c r="S11" s="282"/>
      <c r="T11" s="283">
        <v>1</v>
      </c>
      <c r="U11" s="284"/>
    </row>
    <row r="12" spans="4:55" x14ac:dyDescent="0.25">
      <c r="D12" s="267" t="s">
        <v>288</v>
      </c>
      <c r="E12" s="267"/>
      <c r="F12" s="267"/>
      <c r="G12" s="267"/>
      <c r="H12" s="74" t="s">
        <v>287</v>
      </c>
      <c r="I12" s="77" t="s">
        <v>217</v>
      </c>
      <c r="J12" s="116"/>
      <c r="O12" s="77" t="s">
        <v>286</v>
      </c>
      <c r="P12" s="268" t="s">
        <v>285</v>
      </c>
      <c r="Q12" s="268"/>
      <c r="R12" s="268"/>
      <c r="S12" s="268"/>
      <c r="T12" s="268">
        <v>44.5</v>
      </c>
      <c r="U12" s="268"/>
    </row>
    <row r="13" spans="4:55" x14ac:dyDescent="0.25">
      <c r="D13" s="267" t="s">
        <v>284</v>
      </c>
      <c r="E13" s="267"/>
      <c r="F13" s="267"/>
      <c r="G13" s="267"/>
      <c r="H13" s="74" t="s">
        <v>283</v>
      </c>
      <c r="I13" s="75"/>
      <c r="J13" s="117"/>
      <c r="O13" s="75"/>
      <c r="P13" s="268" t="s">
        <v>282</v>
      </c>
      <c r="Q13" s="268"/>
      <c r="R13" s="268"/>
      <c r="S13" s="268"/>
      <c r="T13" s="268">
        <v>44.5</v>
      </c>
      <c r="U13" s="268"/>
    </row>
    <row r="14" spans="4:55" x14ac:dyDescent="0.25">
      <c r="D14" s="267" t="s">
        <v>281</v>
      </c>
      <c r="E14" s="267"/>
      <c r="F14" s="267"/>
      <c r="G14" s="267"/>
      <c r="H14" s="76" t="str">
        <f>'&lt;zlight&gt;'!G20&amp;"."&amp;'&lt;zlight&gt;'!H20</f>
        <v>.</v>
      </c>
      <c r="I14" s="75"/>
      <c r="J14" s="117"/>
      <c r="O14" s="75"/>
      <c r="P14" s="268" t="s">
        <v>280</v>
      </c>
      <c r="Q14" s="268"/>
      <c r="R14" s="268"/>
      <c r="S14" s="268"/>
      <c r="T14" s="268">
        <v>44.5</v>
      </c>
      <c r="U14" s="268"/>
    </row>
    <row r="15" spans="4:55" x14ac:dyDescent="0.25">
      <c r="D15" s="267" t="s">
        <v>279</v>
      </c>
      <c r="E15" s="267"/>
      <c r="F15" s="267"/>
      <c r="G15" s="267"/>
      <c r="H15" s="74">
        <v>77</v>
      </c>
      <c r="O15" s="75"/>
      <c r="P15" s="269" t="s">
        <v>278</v>
      </c>
      <c r="Q15" s="269"/>
      <c r="R15" s="269"/>
      <c r="S15" s="269"/>
      <c r="T15" s="270">
        <f ca="1">ROUNDUP((T6*1000)/(INDEX(BD!$C$4:$C$5,MATCH(H11,BD!$B$4:$B$5,0))*T8),2)</f>
        <v>0</v>
      </c>
      <c r="U15" s="270"/>
    </row>
    <row r="16" spans="4:55" x14ac:dyDescent="0.25">
      <c r="P16" s="277" t="s">
        <v>410</v>
      </c>
      <c r="Q16" s="277"/>
      <c r="R16" s="277"/>
      <c r="S16" s="277"/>
      <c r="T16" s="277" t="e">
        <f>INDEX(AZ5:AZ9,MATCH(1,BB5:BB9,0))</f>
        <v>#N/A</v>
      </c>
      <c r="U16" s="277"/>
    </row>
    <row r="22" spans="1:219" x14ac:dyDescent="0.25">
      <c r="K22" s="188" t="s">
        <v>507</v>
      </c>
    </row>
    <row r="23" spans="1:219" x14ac:dyDescent="0.25">
      <c r="K23" s="189">
        <v>1</v>
      </c>
    </row>
    <row r="24" spans="1:219" s="1" customFormat="1" ht="15.75" thickBot="1" x14ac:dyDescent="0.3">
      <c r="A24" s="95">
        <f>COLUMN(A24)</f>
        <v>1</v>
      </c>
      <c r="B24" s="95">
        <f t="shared" ref="B24:BZ24" si="0">COLUMN(B24)</f>
        <v>2</v>
      </c>
      <c r="C24" s="95">
        <f t="shared" si="0"/>
        <v>3</v>
      </c>
      <c r="D24" s="95">
        <f t="shared" si="0"/>
        <v>4</v>
      </c>
      <c r="E24" s="95">
        <f t="shared" si="0"/>
        <v>5</v>
      </c>
      <c r="F24" s="95">
        <f t="shared" si="0"/>
        <v>6</v>
      </c>
      <c r="G24" s="95">
        <f t="shared" si="0"/>
        <v>7</v>
      </c>
      <c r="H24" s="95">
        <f t="shared" si="0"/>
        <v>8</v>
      </c>
      <c r="I24" s="95">
        <f t="shared" si="0"/>
        <v>9</v>
      </c>
      <c r="J24" s="95"/>
      <c r="K24" s="95">
        <f t="shared" si="0"/>
        <v>11</v>
      </c>
      <c r="L24" s="95">
        <f t="shared" si="0"/>
        <v>12</v>
      </c>
      <c r="M24" s="95">
        <f t="shared" si="0"/>
        <v>13</v>
      </c>
      <c r="N24" s="95">
        <f t="shared" si="0"/>
        <v>14</v>
      </c>
      <c r="O24" s="95">
        <f t="shared" si="0"/>
        <v>15</v>
      </c>
      <c r="P24" s="95">
        <f t="shared" si="0"/>
        <v>16</v>
      </c>
      <c r="Q24" s="95">
        <f t="shared" si="0"/>
        <v>17</v>
      </c>
      <c r="R24" s="95">
        <f t="shared" si="0"/>
        <v>18</v>
      </c>
      <c r="S24" s="95">
        <f t="shared" si="0"/>
        <v>19</v>
      </c>
      <c r="T24" s="95">
        <f t="shared" si="0"/>
        <v>20</v>
      </c>
      <c r="U24" s="95">
        <f t="shared" si="0"/>
        <v>21</v>
      </c>
      <c r="V24" s="95">
        <f t="shared" si="0"/>
        <v>22</v>
      </c>
      <c r="W24" s="95">
        <f t="shared" si="0"/>
        <v>23</v>
      </c>
      <c r="X24" s="95">
        <f t="shared" si="0"/>
        <v>24</v>
      </c>
      <c r="Y24" s="95">
        <f t="shared" si="0"/>
        <v>25</v>
      </c>
      <c r="Z24" s="95">
        <f t="shared" si="0"/>
        <v>26</v>
      </c>
      <c r="AA24" s="95">
        <f t="shared" si="0"/>
        <v>27</v>
      </c>
      <c r="AB24" s="95"/>
      <c r="AC24" s="95">
        <f t="shared" si="0"/>
        <v>29</v>
      </c>
      <c r="AD24" s="95"/>
      <c r="AE24" s="95"/>
      <c r="AF24" s="95">
        <f t="shared" si="0"/>
        <v>32</v>
      </c>
      <c r="AG24" s="95">
        <f t="shared" si="0"/>
        <v>33</v>
      </c>
      <c r="AH24" s="95"/>
      <c r="AI24" s="95"/>
      <c r="AJ24" s="95"/>
      <c r="AK24" s="95">
        <f t="shared" si="0"/>
        <v>37</v>
      </c>
      <c r="AL24" s="95">
        <f t="shared" si="0"/>
        <v>38</v>
      </c>
      <c r="AM24" s="95">
        <f t="shared" si="0"/>
        <v>39</v>
      </c>
      <c r="AN24" s="95">
        <f t="shared" si="0"/>
        <v>40</v>
      </c>
      <c r="AO24" s="95">
        <f t="shared" si="0"/>
        <v>41</v>
      </c>
      <c r="AP24" s="95">
        <f t="shared" si="0"/>
        <v>42</v>
      </c>
      <c r="AQ24" s="95">
        <f t="shared" si="0"/>
        <v>43</v>
      </c>
      <c r="AR24" s="95">
        <f t="shared" si="0"/>
        <v>44</v>
      </c>
      <c r="AS24" s="95">
        <f t="shared" si="0"/>
        <v>45</v>
      </c>
      <c r="AT24" s="95">
        <f t="shared" si="0"/>
        <v>46</v>
      </c>
      <c r="AU24" s="95">
        <f t="shared" si="0"/>
        <v>47</v>
      </c>
      <c r="AV24" s="159"/>
      <c r="AW24" s="95">
        <f t="shared" si="0"/>
        <v>49</v>
      </c>
      <c r="AX24" s="95">
        <f t="shared" si="0"/>
        <v>50</v>
      </c>
      <c r="AY24" s="95">
        <f t="shared" si="0"/>
        <v>51</v>
      </c>
      <c r="AZ24" s="95">
        <f t="shared" si="0"/>
        <v>52</v>
      </c>
      <c r="BA24" s="95">
        <f t="shared" si="0"/>
        <v>53</v>
      </c>
      <c r="BB24" s="95">
        <f t="shared" si="0"/>
        <v>54</v>
      </c>
      <c r="BC24" s="95">
        <f t="shared" si="0"/>
        <v>55</v>
      </c>
      <c r="BD24" s="95">
        <f t="shared" si="0"/>
        <v>56</v>
      </c>
      <c r="BE24" s="95">
        <f t="shared" si="0"/>
        <v>57</v>
      </c>
      <c r="BF24" s="196"/>
      <c r="BG24" s="95">
        <f t="shared" si="0"/>
        <v>59</v>
      </c>
      <c r="BH24" s="161"/>
      <c r="BI24" s="161"/>
      <c r="BJ24" s="161"/>
      <c r="BK24" s="95">
        <f t="shared" si="0"/>
        <v>63</v>
      </c>
      <c r="BL24" s="95">
        <f t="shared" si="0"/>
        <v>64</v>
      </c>
      <c r="BM24" s="196"/>
      <c r="BN24" s="196"/>
      <c r="BO24" s="196"/>
      <c r="BP24" s="95">
        <f t="shared" si="0"/>
        <v>68</v>
      </c>
      <c r="BQ24" s="95">
        <f t="shared" si="0"/>
        <v>69</v>
      </c>
      <c r="BR24" s="95">
        <f t="shared" si="0"/>
        <v>70</v>
      </c>
      <c r="BS24" s="95">
        <f t="shared" si="0"/>
        <v>71</v>
      </c>
      <c r="BT24" s="161"/>
      <c r="BU24" s="95">
        <f t="shared" si="0"/>
        <v>73</v>
      </c>
      <c r="BV24" s="196"/>
      <c r="BW24" s="95">
        <f t="shared" si="0"/>
        <v>75</v>
      </c>
      <c r="BX24" s="95">
        <f t="shared" si="0"/>
        <v>76</v>
      </c>
      <c r="BY24" s="95">
        <f t="shared" si="0"/>
        <v>77</v>
      </c>
      <c r="BZ24" s="95">
        <f t="shared" si="0"/>
        <v>78</v>
      </c>
      <c r="CA24" s="95">
        <f t="shared" ref="CA24:FS24" si="1">COLUMN(CA24)</f>
        <v>79</v>
      </c>
      <c r="CB24" s="190"/>
      <c r="CC24" s="190"/>
      <c r="CD24" s="196"/>
      <c r="CE24" s="196"/>
      <c r="CF24" s="196"/>
      <c r="CG24" s="95">
        <f t="shared" si="1"/>
        <v>85</v>
      </c>
      <c r="CH24" s="198"/>
      <c r="CI24" s="196"/>
      <c r="CJ24" s="196"/>
      <c r="CK24" s="196"/>
      <c r="CL24" s="196"/>
      <c r="CM24" s="95">
        <f t="shared" si="1"/>
        <v>91</v>
      </c>
      <c r="CN24" s="196"/>
      <c r="CO24" s="95">
        <f t="shared" si="1"/>
        <v>93</v>
      </c>
      <c r="CP24" s="95">
        <f t="shared" si="1"/>
        <v>94</v>
      </c>
      <c r="CQ24" s="95">
        <f t="shared" si="1"/>
        <v>95</v>
      </c>
      <c r="CR24" s="95">
        <f t="shared" si="1"/>
        <v>96</v>
      </c>
      <c r="CS24" s="95">
        <f t="shared" si="1"/>
        <v>97</v>
      </c>
      <c r="CT24" s="95">
        <f t="shared" si="1"/>
        <v>98</v>
      </c>
      <c r="CU24" s="95">
        <f t="shared" si="1"/>
        <v>99</v>
      </c>
      <c r="CV24" s="95">
        <f t="shared" si="1"/>
        <v>100</v>
      </c>
      <c r="CW24" s="95">
        <f t="shared" si="1"/>
        <v>101</v>
      </c>
      <c r="CX24" s="95"/>
      <c r="CY24" s="95"/>
      <c r="CZ24" s="95"/>
      <c r="DA24" s="159"/>
      <c r="DB24" s="95"/>
      <c r="DC24" s="95">
        <f t="shared" si="1"/>
        <v>107</v>
      </c>
      <c r="DD24" s="130"/>
      <c r="DE24" s="95">
        <f t="shared" si="1"/>
        <v>109</v>
      </c>
      <c r="DF24" s="95">
        <f t="shared" si="1"/>
        <v>110</v>
      </c>
      <c r="DG24" s="95">
        <f t="shared" si="1"/>
        <v>111</v>
      </c>
      <c r="DH24" s="198"/>
      <c r="DI24" s="198"/>
      <c r="DJ24" s="198"/>
      <c r="DK24" s="198"/>
      <c r="DL24" s="198"/>
      <c r="DM24" s="198"/>
      <c r="DN24" s="198"/>
      <c r="DO24" s="198"/>
      <c r="DP24" s="198"/>
      <c r="DQ24" s="95">
        <f t="shared" si="1"/>
        <v>121</v>
      </c>
      <c r="DR24" s="95">
        <f t="shared" si="1"/>
        <v>122</v>
      </c>
      <c r="DS24" s="95">
        <f t="shared" si="1"/>
        <v>123</v>
      </c>
      <c r="DT24" s="95">
        <f t="shared" si="1"/>
        <v>124</v>
      </c>
      <c r="DU24" s="95">
        <f t="shared" si="1"/>
        <v>125</v>
      </c>
      <c r="DV24" s="95">
        <f t="shared" si="1"/>
        <v>126</v>
      </c>
      <c r="DW24" s="95">
        <f t="shared" si="1"/>
        <v>127</v>
      </c>
      <c r="DX24" s="95">
        <f t="shared" si="1"/>
        <v>128</v>
      </c>
      <c r="DY24" s="95">
        <f t="shared" si="1"/>
        <v>129</v>
      </c>
      <c r="DZ24" s="154"/>
      <c r="EA24" s="159"/>
      <c r="EB24" s="95">
        <f t="shared" si="1"/>
        <v>132</v>
      </c>
      <c r="EC24" s="95">
        <f t="shared" si="1"/>
        <v>133</v>
      </c>
      <c r="ED24" s="95">
        <f t="shared" si="1"/>
        <v>134</v>
      </c>
      <c r="EE24" s="95">
        <f t="shared" si="1"/>
        <v>135</v>
      </c>
      <c r="EF24" s="95">
        <f t="shared" si="1"/>
        <v>136</v>
      </c>
      <c r="EG24" s="95">
        <f t="shared" si="1"/>
        <v>137</v>
      </c>
      <c r="EH24" s="130">
        <f t="shared" si="1"/>
        <v>138</v>
      </c>
      <c r="EI24" s="95">
        <f t="shared" si="1"/>
        <v>139</v>
      </c>
      <c r="EJ24" s="95">
        <f t="shared" si="1"/>
        <v>140</v>
      </c>
      <c r="EK24" s="212"/>
      <c r="EL24" s="212"/>
      <c r="EM24" s="212"/>
      <c r="EN24" s="212"/>
      <c r="EO24" s="95">
        <f t="shared" si="1"/>
        <v>145</v>
      </c>
      <c r="EP24" s="95">
        <f t="shared" si="1"/>
        <v>146</v>
      </c>
      <c r="EQ24" s="95">
        <f t="shared" si="1"/>
        <v>147</v>
      </c>
      <c r="ER24" s="95">
        <f t="shared" si="1"/>
        <v>148</v>
      </c>
      <c r="ES24" s="95">
        <f t="shared" si="1"/>
        <v>149</v>
      </c>
      <c r="ET24" s="95">
        <f t="shared" si="1"/>
        <v>150</v>
      </c>
      <c r="EU24" s="95">
        <f t="shared" si="1"/>
        <v>151</v>
      </c>
      <c r="EV24" s="95">
        <f t="shared" si="1"/>
        <v>152</v>
      </c>
      <c r="EW24" s="95">
        <f t="shared" si="1"/>
        <v>153</v>
      </c>
      <c r="EX24" s="95">
        <f t="shared" si="1"/>
        <v>154</v>
      </c>
      <c r="EY24" s="95">
        <f t="shared" si="1"/>
        <v>155</v>
      </c>
      <c r="EZ24" s="95">
        <f t="shared" si="1"/>
        <v>156</v>
      </c>
      <c r="FA24" s="95">
        <f t="shared" si="1"/>
        <v>157</v>
      </c>
      <c r="FB24" s="95">
        <f t="shared" si="1"/>
        <v>158</v>
      </c>
      <c r="FC24" s="95">
        <f t="shared" si="1"/>
        <v>159</v>
      </c>
      <c r="FD24" s="95">
        <f t="shared" si="1"/>
        <v>160</v>
      </c>
      <c r="FE24" s="95">
        <f t="shared" si="1"/>
        <v>161</v>
      </c>
      <c r="FF24" s="95">
        <f t="shared" si="1"/>
        <v>162</v>
      </c>
      <c r="FG24" s="95">
        <f t="shared" si="1"/>
        <v>163</v>
      </c>
      <c r="FH24" s="95">
        <f t="shared" si="1"/>
        <v>164</v>
      </c>
      <c r="FI24" s="95">
        <f t="shared" si="1"/>
        <v>165</v>
      </c>
      <c r="FJ24" s="1">
        <f t="shared" si="1"/>
        <v>166</v>
      </c>
      <c r="FK24" s="1">
        <f t="shared" si="1"/>
        <v>167</v>
      </c>
      <c r="FL24" s="1">
        <f t="shared" si="1"/>
        <v>168</v>
      </c>
      <c r="FM24" s="1">
        <f t="shared" si="1"/>
        <v>169</v>
      </c>
      <c r="FN24" s="1">
        <f t="shared" si="1"/>
        <v>170</v>
      </c>
      <c r="FO24" s="1">
        <f t="shared" si="1"/>
        <v>171</v>
      </c>
      <c r="FP24" s="1">
        <f t="shared" si="1"/>
        <v>172</v>
      </c>
      <c r="FQ24" s="1">
        <f t="shared" si="1"/>
        <v>173</v>
      </c>
      <c r="FR24" s="1">
        <f t="shared" si="1"/>
        <v>174</v>
      </c>
      <c r="FS24" s="1">
        <f t="shared" si="1"/>
        <v>175</v>
      </c>
      <c r="FT24" s="1">
        <f t="shared" ref="FT24:GM24" si="2">COLUMN(FT24)</f>
        <v>176</v>
      </c>
      <c r="FU24" s="1">
        <f t="shared" si="2"/>
        <v>177</v>
      </c>
      <c r="GD24" s="1">
        <f t="shared" si="2"/>
        <v>186</v>
      </c>
      <c r="GE24" s="1">
        <f t="shared" si="2"/>
        <v>187</v>
      </c>
      <c r="GF24" s="1">
        <f t="shared" si="2"/>
        <v>188</v>
      </c>
      <c r="GG24" s="1">
        <f t="shared" si="2"/>
        <v>189</v>
      </c>
      <c r="GH24" s="1">
        <f t="shared" si="2"/>
        <v>190</v>
      </c>
      <c r="GI24" s="1">
        <f t="shared" si="2"/>
        <v>191</v>
      </c>
      <c r="GK24" s="1">
        <f t="shared" si="2"/>
        <v>193</v>
      </c>
      <c r="GL24" s="1">
        <f t="shared" si="2"/>
        <v>194</v>
      </c>
      <c r="GM24" s="1">
        <f t="shared" si="2"/>
        <v>195</v>
      </c>
      <c r="GN24" s="1">
        <f>COLUMN(GN24)</f>
        <v>196</v>
      </c>
      <c r="GO24" s="1">
        <f t="shared" ref="GO24:HK24" si="3">COLUMN(GO24)</f>
        <v>197</v>
      </c>
      <c r="GP24" s="1">
        <f t="shared" si="3"/>
        <v>198</v>
      </c>
      <c r="GQ24" s="1">
        <f t="shared" si="3"/>
        <v>199</v>
      </c>
      <c r="GR24" s="1">
        <f t="shared" si="3"/>
        <v>200</v>
      </c>
      <c r="GS24" s="1">
        <f t="shared" si="3"/>
        <v>201</v>
      </c>
      <c r="GU24" s="1">
        <f t="shared" si="3"/>
        <v>203</v>
      </c>
      <c r="GV24" s="1">
        <f t="shared" si="3"/>
        <v>204</v>
      </c>
      <c r="GW24" s="1">
        <f t="shared" si="3"/>
        <v>205</v>
      </c>
      <c r="GX24" s="1">
        <f t="shared" si="3"/>
        <v>206</v>
      </c>
      <c r="GY24" s="1">
        <f t="shared" si="3"/>
        <v>207</v>
      </c>
      <c r="GZ24" s="1">
        <f t="shared" si="3"/>
        <v>208</v>
      </c>
      <c r="HA24" s="1">
        <f t="shared" si="3"/>
        <v>209</v>
      </c>
      <c r="HB24" s="1">
        <f t="shared" si="3"/>
        <v>210</v>
      </c>
      <c r="HC24" s="1">
        <f t="shared" si="3"/>
        <v>211</v>
      </c>
      <c r="HD24" s="1">
        <f t="shared" si="3"/>
        <v>212</v>
      </c>
      <c r="HE24" s="1">
        <f t="shared" si="3"/>
        <v>213</v>
      </c>
      <c r="HF24" s="1">
        <f t="shared" si="3"/>
        <v>214</v>
      </c>
      <c r="HG24" s="1">
        <f t="shared" si="3"/>
        <v>215</v>
      </c>
      <c r="HH24" s="1">
        <f t="shared" si="3"/>
        <v>216</v>
      </c>
      <c r="HI24" s="1">
        <f t="shared" si="3"/>
        <v>217</v>
      </c>
      <c r="HJ24" s="1">
        <f t="shared" si="3"/>
        <v>218</v>
      </c>
      <c r="HK24" s="1">
        <f t="shared" si="3"/>
        <v>219</v>
      </c>
    </row>
    <row r="25" spans="1:219" ht="15.75" customHeight="1" thickBot="1" x14ac:dyDescent="0.3">
      <c r="AO25" t="s">
        <v>345</v>
      </c>
      <c r="BB25" s="253" t="s">
        <v>526</v>
      </c>
      <c r="BC25" s="254"/>
      <c r="BD25" s="254"/>
      <c r="BE25" s="254"/>
      <c r="BF25" s="254"/>
      <c r="BG25" s="254"/>
      <c r="BH25" s="254"/>
      <c r="BI25" s="254"/>
      <c r="BJ25" s="254"/>
      <c r="BK25" s="254"/>
      <c r="BL25" s="254"/>
      <c r="BM25" s="254"/>
      <c r="BN25" s="254"/>
      <c r="BO25" s="254"/>
      <c r="BP25" s="254"/>
      <c r="BQ25" s="254"/>
      <c r="BR25" s="254"/>
      <c r="BS25" s="254"/>
      <c r="BT25" s="254"/>
      <c r="BU25" s="254"/>
      <c r="BV25" s="254"/>
      <c r="BW25" s="254"/>
      <c r="BX25" s="254"/>
      <c r="BY25" s="254"/>
      <c r="BZ25" s="254"/>
      <c r="CA25" s="255"/>
      <c r="CB25" s="253" t="s">
        <v>531</v>
      </c>
      <c r="CC25" s="254"/>
      <c r="CD25" s="254"/>
      <c r="CE25" s="254"/>
      <c r="CF25" s="254"/>
      <c r="CG25" s="254"/>
      <c r="CH25" s="254"/>
      <c r="CI25" s="254"/>
      <c r="CJ25" s="254"/>
      <c r="CK25" s="254"/>
      <c r="CL25" s="254"/>
      <c r="CM25" s="254"/>
      <c r="CN25" s="254"/>
      <c r="CO25" s="254"/>
      <c r="CP25" s="254"/>
      <c r="CQ25" s="254"/>
      <c r="CR25" s="254"/>
      <c r="CS25" s="254"/>
      <c r="CT25" s="256" t="s">
        <v>269</v>
      </c>
      <c r="CU25" s="257"/>
      <c r="CV25" s="257"/>
      <c r="CW25" s="257"/>
      <c r="CX25" s="257"/>
      <c r="CY25" s="257"/>
      <c r="CZ25" s="257"/>
      <c r="DA25" s="257"/>
      <c r="DB25" s="257"/>
      <c r="DC25" s="257"/>
      <c r="DD25" s="257"/>
      <c r="DE25" s="257"/>
      <c r="DF25" s="257"/>
      <c r="DG25" s="257"/>
      <c r="DH25" s="257"/>
      <c r="DI25" s="257"/>
      <c r="DJ25" s="257"/>
      <c r="DK25" s="257"/>
      <c r="DL25" s="257"/>
      <c r="DM25" s="257"/>
      <c r="DN25" s="257"/>
      <c r="DO25" s="257"/>
      <c r="DP25" s="257"/>
      <c r="DQ25" s="257"/>
      <c r="DR25" s="257"/>
      <c r="DS25" s="257"/>
      <c r="DT25" s="257"/>
      <c r="DU25" s="257"/>
      <c r="DV25" s="257"/>
      <c r="DW25" s="257"/>
      <c r="DX25" s="257"/>
      <c r="DY25" s="258"/>
    </row>
    <row r="26" spans="1:219" ht="15.75" customHeight="1" thickBot="1" x14ac:dyDescent="0.3">
      <c r="D26" s="271" t="s">
        <v>277</v>
      </c>
      <c r="E26" s="273" t="s">
        <v>228</v>
      </c>
      <c r="F26" s="265" t="s">
        <v>227</v>
      </c>
      <c r="G26" s="273" t="s">
        <v>276</v>
      </c>
      <c r="H26" s="265" t="s">
        <v>275</v>
      </c>
      <c r="I26" s="265" t="s">
        <v>274</v>
      </c>
      <c r="J26" s="275" t="s">
        <v>394</v>
      </c>
      <c r="K26" s="245" t="s">
        <v>395</v>
      </c>
      <c r="L26" s="245"/>
      <c r="M26" s="245"/>
      <c r="N26" s="246" t="s">
        <v>273</v>
      </c>
      <c r="O26" s="248" t="s">
        <v>272</v>
      </c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50" t="s">
        <v>271</v>
      </c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2"/>
      <c r="AM26" s="250" t="s">
        <v>270</v>
      </c>
      <c r="AN26" s="251"/>
      <c r="AO26" s="251"/>
      <c r="AP26" s="251"/>
      <c r="AQ26" s="251"/>
      <c r="AR26" s="251"/>
      <c r="AS26" s="251"/>
      <c r="AT26" s="251"/>
      <c r="AU26" s="251"/>
      <c r="AV26" s="251"/>
      <c r="AW26" s="251"/>
      <c r="AX26" s="251"/>
      <c r="AY26" s="251"/>
      <c r="AZ26" s="251"/>
      <c r="BA26" s="252"/>
      <c r="BJ26" s="260" t="s">
        <v>514</v>
      </c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W26" s="261" t="s">
        <v>530</v>
      </c>
      <c r="BX26" s="262"/>
      <c r="BY26" s="262"/>
      <c r="BZ26" s="262"/>
      <c r="CA26" s="263"/>
      <c r="DH26" s="264" t="s">
        <v>540</v>
      </c>
      <c r="DI26" s="264"/>
      <c r="DJ26" s="264"/>
      <c r="DK26" s="264"/>
      <c r="DZ26" s="155"/>
      <c r="EA26" s="155"/>
      <c r="EB26" t="s">
        <v>212</v>
      </c>
      <c r="EC26" s="1" t="s">
        <v>268</v>
      </c>
      <c r="ED26" s="147">
        <f>60*$Z$5</f>
        <v>60</v>
      </c>
      <c r="EE26" s="147">
        <f>0*$Z$6</f>
        <v>0</v>
      </c>
      <c r="EF26" s="142">
        <f>$Z$5</f>
        <v>1</v>
      </c>
      <c r="EG26" s="142">
        <f>$Z$6</f>
        <v>1</v>
      </c>
      <c r="EH26" s="149">
        <v>0</v>
      </c>
      <c r="EI26" t="s">
        <v>267</v>
      </c>
      <c r="EJ26">
        <f>H5</f>
        <v>0</v>
      </c>
      <c r="EK26" t="s">
        <v>266</v>
      </c>
      <c r="EL26" t="str">
        <f>H6</f>
        <v>??????</v>
      </c>
      <c r="EM26" t="s">
        <v>265</v>
      </c>
      <c r="EN26" t="str">
        <f ca="1">"Установленная полная мощность, Ру = "&amp;T5&amp;"кВт"</f>
        <v>Установленная полная мощность, Ру = 0кВт</v>
      </c>
      <c r="EO26" t="s">
        <v>264</v>
      </c>
      <c r="EP26" t="str">
        <f>"Коэффициент спроса, Кс = "&amp;T11</f>
        <v>Коэффициент спроса, Кс = 1</v>
      </c>
      <c r="EQ26" t="s">
        <v>263</v>
      </c>
      <c r="ER26" t="str">
        <f ca="1">"Расчетная мощность, Рр = "&amp;T6</f>
        <v>Расчетная мощность, Рр = 0</v>
      </c>
      <c r="ES26" t="s">
        <v>262</v>
      </c>
      <c r="ET26" t="str">
        <f>"Коэффициент мощности, cosf = "&amp;T8</f>
        <v>Коэффициент мощности, cosf = 0,92</v>
      </c>
      <c r="EU26" t="s">
        <v>261</v>
      </c>
      <c r="EV26" t="str">
        <f ca="1">"Расчетный ток, Iр = "&amp;T15&amp;"А"</f>
        <v>Расчетный ток, Iр = 0А</v>
      </c>
      <c r="FU26" t="s">
        <v>194</v>
      </c>
    </row>
    <row r="27" spans="1:219" ht="57" thickBot="1" x14ac:dyDescent="0.3">
      <c r="D27" s="272"/>
      <c r="E27" s="274"/>
      <c r="F27" s="266"/>
      <c r="G27" s="274"/>
      <c r="H27" s="266"/>
      <c r="I27" s="266"/>
      <c r="J27" s="276"/>
      <c r="K27" s="119" t="s">
        <v>260</v>
      </c>
      <c r="L27" s="119" t="s">
        <v>259</v>
      </c>
      <c r="M27" s="127" t="s">
        <v>258</v>
      </c>
      <c r="N27" s="247"/>
      <c r="O27" s="73" t="s">
        <v>332</v>
      </c>
      <c r="P27" s="73" t="s">
        <v>257</v>
      </c>
      <c r="Q27" s="73" t="s">
        <v>3</v>
      </c>
      <c r="R27" s="72" t="s">
        <v>256</v>
      </c>
      <c r="S27" s="70" t="s">
        <v>255</v>
      </c>
      <c r="T27" s="72" t="s">
        <v>254</v>
      </c>
      <c r="U27" s="71" t="s">
        <v>253</v>
      </c>
      <c r="V27" s="71" t="s">
        <v>252</v>
      </c>
      <c r="W27" s="70" t="s">
        <v>251</v>
      </c>
      <c r="X27" s="69" t="s">
        <v>250</v>
      </c>
      <c r="Y27" s="68" t="s">
        <v>249</v>
      </c>
      <c r="Z27" s="67" t="s">
        <v>248</v>
      </c>
      <c r="AA27" s="64" t="s">
        <v>247</v>
      </c>
      <c r="AB27" s="64" t="s">
        <v>416</v>
      </c>
      <c r="AC27" s="64" t="s">
        <v>245</v>
      </c>
      <c r="AD27" s="64" t="s">
        <v>417</v>
      </c>
      <c r="AE27" s="64" t="s">
        <v>244</v>
      </c>
      <c r="AF27" s="64" t="s">
        <v>243</v>
      </c>
      <c r="AG27" s="64" t="s">
        <v>246</v>
      </c>
      <c r="AH27" s="64" t="s">
        <v>413</v>
      </c>
      <c r="AI27" s="64" t="s">
        <v>414</v>
      </c>
      <c r="AJ27" s="64" t="s">
        <v>415</v>
      </c>
      <c r="AK27" s="63" t="s">
        <v>224</v>
      </c>
      <c r="AL27" s="62" t="s">
        <v>242</v>
      </c>
      <c r="AM27" s="64" t="s">
        <v>241</v>
      </c>
      <c r="AN27" s="64" t="s">
        <v>240</v>
      </c>
      <c r="AO27" s="64" t="s">
        <v>239</v>
      </c>
      <c r="AP27" s="64" t="s">
        <v>238</v>
      </c>
      <c r="AQ27" s="64" t="s">
        <v>237</v>
      </c>
      <c r="AR27" s="64" t="s">
        <v>236</v>
      </c>
      <c r="AS27" s="64" t="s">
        <v>235</v>
      </c>
      <c r="AT27" s="64" t="s">
        <v>35</v>
      </c>
      <c r="AU27" s="64" t="s">
        <v>234</v>
      </c>
      <c r="AV27" s="185" t="s">
        <v>500</v>
      </c>
      <c r="AW27" s="64" t="s">
        <v>233</v>
      </c>
      <c r="AX27" s="64" t="s">
        <v>232</v>
      </c>
      <c r="AY27" s="64" t="s">
        <v>231</v>
      </c>
      <c r="AZ27" s="64" t="s">
        <v>230</v>
      </c>
      <c r="BA27" s="64" t="s">
        <v>229</v>
      </c>
      <c r="BB27" s="191" t="s">
        <v>508</v>
      </c>
      <c r="BC27" s="191" t="s">
        <v>509</v>
      </c>
      <c r="BD27" s="192" t="s">
        <v>510</v>
      </c>
      <c r="BE27" s="66" t="s">
        <v>225</v>
      </c>
      <c r="BF27" s="199" t="s">
        <v>527</v>
      </c>
      <c r="BG27" s="197" t="s">
        <v>511</v>
      </c>
      <c r="BH27" s="65" t="s">
        <v>513</v>
      </c>
      <c r="BI27" s="193" t="s">
        <v>512</v>
      </c>
      <c r="BJ27" s="64" t="s">
        <v>226</v>
      </c>
      <c r="BK27" s="65" t="s">
        <v>224</v>
      </c>
      <c r="BL27" s="63" t="s">
        <v>223</v>
      </c>
      <c r="BM27" s="197" t="s">
        <v>525</v>
      </c>
      <c r="BN27" s="194" t="s">
        <v>534</v>
      </c>
      <c r="BO27" s="63" t="s">
        <v>528</v>
      </c>
      <c r="BP27" s="63" t="s">
        <v>222</v>
      </c>
      <c r="BQ27" s="194" t="s">
        <v>221</v>
      </c>
      <c r="BR27" s="194" t="s">
        <v>515</v>
      </c>
      <c r="BS27" s="64" t="s">
        <v>516</v>
      </c>
      <c r="BT27" s="64" t="s">
        <v>517</v>
      </c>
      <c r="BU27" s="65" t="s">
        <v>220</v>
      </c>
      <c r="BV27" s="207" t="s">
        <v>529</v>
      </c>
      <c r="BW27" s="193" t="s">
        <v>219</v>
      </c>
      <c r="BX27" s="193" t="s">
        <v>218</v>
      </c>
      <c r="BY27" s="193" t="s">
        <v>217</v>
      </c>
      <c r="BZ27" s="193" t="s">
        <v>216</v>
      </c>
      <c r="CA27" s="193" t="s">
        <v>215</v>
      </c>
      <c r="CB27" s="191" t="s">
        <v>518</v>
      </c>
      <c r="CC27" s="66" t="s">
        <v>225</v>
      </c>
      <c r="CD27" s="211" t="s">
        <v>532</v>
      </c>
      <c r="CE27" s="65" t="s">
        <v>224</v>
      </c>
      <c r="CF27" s="63" t="s">
        <v>223</v>
      </c>
      <c r="CG27" s="64" t="s">
        <v>533</v>
      </c>
      <c r="CH27" s="213" t="s">
        <v>535</v>
      </c>
      <c r="CI27" s="194" t="s">
        <v>221</v>
      </c>
      <c r="CJ27" s="194" t="s">
        <v>515</v>
      </c>
      <c r="CK27" s="64" t="s">
        <v>516</v>
      </c>
      <c r="CL27" s="64" t="s">
        <v>517</v>
      </c>
      <c r="CM27" s="65" t="s">
        <v>220</v>
      </c>
      <c r="CN27" s="207" t="s">
        <v>529</v>
      </c>
      <c r="CO27" s="193" t="s">
        <v>219</v>
      </c>
      <c r="CP27" s="193" t="s">
        <v>218</v>
      </c>
      <c r="CQ27" s="193" t="s">
        <v>217</v>
      </c>
      <c r="CR27" s="193" t="s">
        <v>216</v>
      </c>
      <c r="CS27" s="193" t="s">
        <v>215</v>
      </c>
      <c r="CT27" s="101" t="s">
        <v>387</v>
      </c>
      <c r="CU27" s="101" t="s">
        <v>386</v>
      </c>
      <c r="CV27" s="101" t="s">
        <v>388</v>
      </c>
      <c r="CW27" s="112" t="s">
        <v>393</v>
      </c>
      <c r="CX27" s="124" t="s">
        <v>418</v>
      </c>
      <c r="CY27" s="124" t="s">
        <v>419</v>
      </c>
      <c r="CZ27" s="124" t="s">
        <v>420</v>
      </c>
      <c r="DA27" s="124" t="s">
        <v>484</v>
      </c>
      <c r="DB27" s="124" t="s">
        <v>421</v>
      </c>
      <c r="DC27" s="132" t="s">
        <v>422</v>
      </c>
      <c r="DD27" s="132" t="s">
        <v>437</v>
      </c>
      <c r="DE27" s="102"/>
      <c r="DF27" s="151" t="s">
        <v>438</v>
      </c>
      <c r="DG27" s="151" t="s">
        <v>439</v>
      </c>
      <c r="DH27" s="217" t="s">
        <v>536</v>
      </c>
      <c r="DI27" s="217" t="s">
        <v>537</v>
      </c>
      <c r="DJ27" s="217" t="s">
        <v>538</v>
      </c>
      <c r="DK27" s="217" t="s">
        <v>539</v>
      </c>
      <c r="DL27" s="214"/>
      <c r="DM27" s="214"/>
      <c r="DN27" s="214"/>
      <c r="DO27" s="214"/>
      <c r="DP27" s="214"/>
      <c r="DQ27" s="102"/>
      <c r="DR27" s="102"/>
      <c r="DS27" s="102"/>
      <c r="DT27" s="102"/>
      <c r="DU27" s="101"/>
      <c r="DV27" s="101"/>
      <c r="DW27" s="101"/>
      <c r="DX27" s="101"/>
      <c r="DY27" s="156" t="s">
        <v>440</v>
      </c>
      <c r="DZ27" s="157"/>
      <c r="EA27" s="186"/>
      <c r="ED27" s="153">
        <f>35*$Z$5</f>
        <v>35</v>
      </c>
      <c r="EE27" s="148">
        <f>$Z$6</f>
        <v>1</v>
      </c>
      <c r="EF27" s="143"/>
      <c r="EG27" s="143"/>
      <c r="EH27" s="150"/>
      <c r="EO27" s="136"/>
      <c r="EP27" s="136"/>
      <c r="EQ27" s="138"/>
      <c r="ER27" s="139"/>
      <c r="ES27" s="138"/>
      <c r="ET27" s="139"/>
      <c r="EU27" s="138"/>
      <c r="EV27" s="139"/>
      <c r="EW27" s="140"/>
      <c r="EX27" s="140"/>
      <c r="EY27" s="140"/>
      <c r="EZ27" s="140"/>
      <c r="FA27" s="140"/>
      <c r="FB27" s="140"/>
      <c r="FV27" s="259" t="s">
        <v>425</v>
      </c>
      <c r="FW27" s="259"/>
      <c r="FX27" s="259"/>
      <c r="FY27" s="259"/>
      <c r="FZ27" s="259"/>
      <c r="GA27" s="259"/>
      <c r="GB27" s="259"/>
      <c r="GC27" s="259"/>
      <c r="GD27" s="243" t="s">
        <v>214</v>
      </c>
      <c r="GE27" s="243"/>
      <c r="GF27" s="243"/>
      <c r="GG27" s="243"/>
      <c r="GH27" s="243"/>
      <c r="GI27" s="243"/>
      <c r="GJ27" s="243"/>
      <c r="GK27" s="243"/>
      <c r="GL27" s="243"/>
      <c r="GM27" s="243"/>
      <c r="GN27" s="244" t="s">
        <v>213</v>
      </c>
      <c r="GO27" s="244"/>
      <c r="GP27" s="244"/>
      <c r="GQ27" s="244"/>
      <c r="GR27" s="244"/>
      <c r="GS27" s="244"/>
      <c r="GT27" s="244"/>
      <c r="GU27" s="244"/>
      <c r="GV27" s="244"/>
      <c r="GW27" s="244"/>
    </row>
    <row r="28" spans="1:219" s="1" customFormat="1" x14ac:dyDescent="0.25">
      <c r="C28" s="1" t="s">
        <v>482</v>
      </c>
      <c r="D28" s="61">
        <f>IF(COUNT($CU$28:CU28)=MATCH(CT28,$CT$28:CT28,0),CT28,"")</f>
        <v>-1</v>
      </c>
      <c r="E28" s="200" t="str">
        <f>IF(D28="","","АВ")</f>
        <v>АВ</v>
      </c>
      <c r="F28" s="200">
        <f>IF(D28="","",1)</f>
        <v>1</v>
      </c>
      <c r="G28" s="200" t="s">
        <v>520</v>
      </c>
      <c r="H28" s="61" t="e">
        <f ca="1">IF(E28="","",IF(F28="",BY28&amp;", "&amp;BZ28&amp;", "&amp;CA28,IF(MATCH(F28,$F$28:F28,0)=MATCH(F28,$F$28:F28,1),BY28&amp;", "&amp;BZ28&amp;", "&amp;CA28,"")))</f>
        <v>#N/A</v>
      </c>
      <c r="I28" s="61" t="e">
        <f ca="1">IF(G28="","",CQ28&amp;", "&amp;CR28&amp;", "&amp;CS28)</f>
        <v>#N/A</v>
      </c>
      <c r="J28" s="118" t="e">
        <f ca="1">IF(D28="","",AB28&amp;"кВт; "&amp;P28&amp;"В; "&amp;AC28&amp;"A; "&amp;AD28)</f>
        <v>#N/A</v>
      </c>
      <c r="K28" s="128" t="e">
        <f>IF(CX28=0,IF($K$23=1,AM28,O28),"")</f>
        <v>#N/A</v>
      </c>
      <c r="L28" s="128" t="e">
        <f>IF(CX28=1,IF($K$23=1,AM28,O28),"")</f>
        <v>#N/A</v>
      </c>
      <c r="M28" s="128" t="e">
        <f>IF(CX28=2,IF($K$23=1,AM28,O28),"")</f>
        <v>#N/A</v>
      </c>
      <c r="N28" s="126" t="e">
        <f>AN28</f>
        <v>#N/A</v>
      </c>
      <c r="O28" s="53">
        <f>'&lt;zalldev&gt;EXPORT'!D11</f>
        <v>0</v>
      </c>
      <c r="P28" s="60" t="e">
        <f ca="1">IF(IFERROR(CV28,1)=1,INDEX(BD!$B$4:$B$5,MATCH('&lt;zalldev&gt;EXPORT'!AB11,BD!$A$4:$A$5,0)),INDIRECT("'"&amp;O28&amp;"'!"&amp;"G1"))</f>
        <v>#N/A</v>
      </c>
      <c r="Q28" s="60" t="e">
        <f ca="1">IF(IFERROR(CV28,1)=1,INDEX(BD!$B$10:$B$13,MATCH('&lt;zalldev&gt;EXPORT'!AE11,BD!$A$10:$A$13,0)),INDIRECT("'"&amp;O28&amp;"'!"&amp;"H1"))</f>
        <v>#N/A</v>
      </c>
      <c r="R28" s="60">
        <f ca="1">IF(IFERROR(CV28,1)=1,W28*V28,INDIRECT("'"&amp;O28&amp;"'!"&amp;"E1"))</f>
        <v>0</v>
      </c>
      <c r="S28" s="60">
        <f ca="1">IF(IFERROR(CV28,1)=1,'&lt;zalldev&gt;EXPORT'!Y11,INDIRECT("'"&amp;O28&amp;"'!"&amp;"F1"))</f>
        <v>0</v>
      </c>
      <c r="T28" s="52" t="e">
        <f ca="1">ROUNDUP((R28*1000)/(INDEX(BD!$C$4:$C$5,MATCH(P28,BD!$B$4:$B$5,0))*S28),2)</f>
        <v>#N/A</v>
      </c>
      <c r="U28" s="53">
        <f ca="1">ROUNDUP(R28*ROUNDUP(TAN(ACOS(S28)),2),2)</f>
        <v>0</v>
      </c>
      <c r="V28" s="53">
        <f>'&lt;zalldev&gt;EXPORT'!V11</f>
        <v>0</v>
      </c>
      <c r="W28" s="53">
        <f>'&lt;zalldev&gt;EXPORT'!AT11</f>
        <v>1</v>
      </c>
      <c r="X28" s="53">
        <v>1</v>
      </c>
      <c r="Y28" s="1" t="s">
        <v>318</v>
      </c>
      <c r="Z28" s="53">
        <f>'&lt;zalldev&gt;EXPORT'!P11</f>
        <v>0</v>
      </c>
      <c r="AA28" s="58">
        <v>1</v>
      </c>
      <c r="AB28" s="58">
        <f ca="1">IF(D28="","",AA28*SUMIFS($R$28:$R$700000,$CT$28:$CT$700000,CT28))</f>
        <v>0</v>
      </c>
      <c r="AC28" s="58" t="e">
        <f ca="1">IF(D28="","",ROUNDUP((AB28*1000)/(INDEX(BD!$C$4:$C$5,MATCH(P28,BD!$B$4:$B$5,0))*AD28),2))</f>
        <v>#N/A</v>
      </c>
      <c r="AD28" s="58" t="e">
        <f ca="1">IF(D28="","",ROUNDUP(COS(ATAN(ROUNDUP(AE28/AB28,2))),2))</f>
        <v>#DIV/0!</v>
      </c>
      <c r="AE28" s="58">
        <f ca="1">IF(D28="","",AA28*SUMIFS($U$28:$U$12004,$CT$28:$CT$12004,CT28))</f>
        <v>0</v>
      </c>
      <c r="AF28" s="58">
        <f ca="1">IF(D28="","",ROUNDUP(SQRT(AB28*AB28+AE28*AE28),2))</f>
        <v>0</v>
      </c>
      <c r="AG28" s="58" t="e">
        <f ca="1">IF(D28="","",ROUNDUP((1/1000)*(100/P28)*IF(P28&lt;380,2,SQRT(3))*AC28*AO28*(INDEX(INDIRECT("BDКаб!"&amp;INDEX(BDКаб!$C$4:$AH$4,1,MATCH(AP28&amp;AQ28&amp;AR28&amp;"R",BDКаб!$C$3:$AH$3,0))),MATCH(AT28,BDКаб!$B$5:$B$12,0))*AD28 + INDEX(INDIRECT("BDКаб!"&amp;INDEX(BDКаб!$C$4:$AH$4,1,MATCH(AP28&amp;AQ28&amp;AR28&amp;"X",BDКаб!$C$3:$AH$3,0))),MATCH(AT28,BDКаб!$B$5:$B$12,0))*SQRT(1-AD28*AD28)),2))</f>
        <v>#N/A</v>
      </c>
      <c r="AH28" s="129" t="e">
        <f>IF(CX28=0,IF(DB28=0,R28,R28+SUMIF(CY28:$CY$700000,O28,AI28:$AI$700000)),"")</f>
        <v>#N/A</v>
      </c>
      <c r="AI28" s="129" t="e">
        <f>IF(CX28=1,IF(DB28=0,R28,R28+SUMIF(CY28:$CY$700000,O28,AJ28:$AJ$700000)),"")</f>
        <v>#N/A</v>
      </c>
      <c r="AJ28" s="129" t="e">
        <f>IF(CX28=2,R28,"")</f>
        <v>#N/A</v>
      </c>
      <c r="AK28" s="57">
        <f>IF(D28="","",1.3)</f>
        <v>1.3</v>
      </c>
      <c r="AL28" s="57" t="e">
        <f>IF(AM28="","",3)</f>
        <v>#N/A</v>
      </c>
      <c r="AM28" s="58" t="e">
        <f>IF(COUNT($CT$28:CT28)=MATCH('&lt;zalldev&gt;EXPORT'!J11&amp;"."&amp;'&lt;zalldev&gt;EXPORT'!M11,$DA$28:DA28,0),'&lt;zalldev&gt;EXPORT'!J11&amp;"."&amp;'&lt;zalldev&gt;EXPORT'!M11,"")</f>
        <v>#N/A</v>
      </c>
      <c r="AN28" s="58" t="e">
        <f>IF(AM28="","",AU28&amp;"-"&amp;AS28&amp;"х"&amp;AT28&amp;"мм²")</f>
        <v>#N/A</v>
      </c>
      <c r="AO28" s="113" t="e">
        <f>IF(AM28="","",INDEX('&lt;zallcab&gt;CALC'!$X$7:$X$700000,MATCH(AM28,'&lt;zallcab&gt;CALC'!$D$7:$D$700000,0)))</f>
        <v>#N/A</v>
      </c>
      <c r="AP28" s="57" t="e">
        <f>IF(AM28="","","М")</f>
        <v>#N/A</v>
      </c>
      <c r="AQ28" s="57" t="e">
        <f>IF(AM28="","","М")</f>
        <v>#N/A</v>
      </c>
      <c r="AR28" s="57" t="e">
        <f>IF(AM28="","","В")</f>
        <v>#N/A</v>
      </c>
      <c r="AS28" s="59" t="e">
        <f>IF(AM28="","",IF(P28=380,5,3))</f>
        <v>#N/A</v>
      </c>
      <c r="AT28" s="59" t="e">
        <f>IF(AM28="","",IF(AX28&gt;IF(AZ28&gt;BA28,AZ28,BA28),AX28,IF(AZ28&gt;BA28,AZ28,BA28)))</f>
        <v>#N/A</v>
      </c>
      <c r="AU28" s="59" t="e">
        <f>IF(AM28="","","ВВГнг(А)-LS")</f>
        <v>#N/A</v>
      </c>
      <c r="AV28" s="59" t="e">
        <f>IF(AS28="","",AS28&amp;"x"&amp;AT28)</f>
        <v>#N/A</v>
      </c>
      <c r="AW28" s="59" t="e">
        <f>IF(AM28="","",(AL28*380*1000)/(SQRT(3)*IF(AM28="","",IF(D28="",ROUNDUP((SUM(AH28:AJ28)*1000)/(INDEX(BD!$C$4:$C$5,MATCH(P28,BD!$B$4:$B$5,0))*S28),2),AC28))*AO28*100))</f>
        <v>#N/A</v>
      </c>
      <c r="AX28" s="57"/>
      <c r="AY28" s="57"/>
      <c r="AZ28" s="1" t="e">
        <f ca="1">IF(AM28="","",INDEX(BDКаб!$B$5:$B$12,MATCH(AW28,INDIRECT("BDКаб!"&amp;INDEX(BDКаб!$B$4:$AH$4,MATCH(AP28&amp;AQ28&amp;AR28&amp;"Z",BDКаб!$B$3:$AH$3,0))),-1)+1))</f>
        <v>#N/A</v>
      </c>
      <c r="BA28" s="1" t="e">
        <f ca="1">IF(AM28="","",INDEX(BDКаб!$B$5:$B$12,MATCH(IF(AM28="","",IF(E28="",T28,AC28)),INDIRECT("BDКаб!"&amp;INDEX(BDКаб!$B$4:$AH$4,MATCH(AP28&amp;AQ28&amp;AR28&amp;"I",BDКаб!$B$3:$AH$3,0))),1)+1))</f>
        <v>#N/A</v>
      </c>
      <c r="BB28" s="201" t="str">
        <f>IF(E28="","",E28)</f>
        <v>АВ</v>
      </c>
      <c r="BC28" s="201">
        <f>IF(F28="","",F28)</f>
        <v>1</v>
      </c>
      <c r="BD28" s="201" t="e">
        <f ca="1">IF(AC28="","",AC28)</f>
        <v>#N/A</v>
      </c>
      <c r="BE28" s="201" t="e">
        <f ca="1">IF(BB28="","",IF(P28&lt;380,1,3))</f>
        <v>#N/A</v>
      </c>
      <c r="BF28" s="202">
        <f>IF(BB28="","",IF(F28="",1,IF(MATCH(F28,$F$28:F28,0)=MATCH(F28,$F$28:F28,1),1,"")))</f>
        <v>1</v>
      </c>
      <c r="BG28" s="202">
        <f ca="1">IF(BF28=1,IF(BB28="","",IF(BC28="",BE28,IF(COUNTIFS($BC$28:$BC$700000,BC28,$BE$28:$BE$700000,3)&gt;0,3,1))),"")</f>
        <v>1</v>
      </c>
      <c r="BH28" s="203"/>
      <c r="BI28" s="204">
        <f ca="1">IF(BF28=1,IF(BH28="",BG28,BH28),"")</f>
        <v>1</v>
      </c>
      <c r="BJ28" s="205" t="e">
        <f ca="1">IF(BF28=1,IF(BB28="","",IF(BC28="",BD28,SUMIFS($BD$28:$BD$500004,$BC$28:$BC$500004,BC28))),"")</f>
        <v>#N/A</v>
      </c>
      <c r="BK28" s="203">
        <f>IF(BF28=1,IF(BB28="","",1.3),"")</f>
        <v>1.3</v>
      </c>
      <c r="BL28" s="205" t="e">
        <f ca="1">IF(BF28=1,IF(BB28="","",IF(BK28="",BJ28*1.3,BK28*BJ28)),"")</f>
        <v>#N/A</v>
      </c>
      <c r="BM28" s="202">
        <f>IF(BF28=1,IF(BB28="","",INDEX(BD!$L$43:$L$47,MATCH(CB28,BD!$K$43:$K$47,0))),"")</f>
        <v>1</v>
      </c>
      <c r="BN28" s="203" t="str">
        <f>IF(BF28=1,"??????","")</f>
        <v>??????</v>
      </c>
      <c r="BO28" s="205" t="e">
        <f ca="1">IF(BF28=1,IF(BB28="","",INDEX(INDIRECT("BD!"&amp;INDEX(BD!$K$5:$BX$5,1,MATCH(BB28&amp;"I",BD!$K$4:$BY$4,0))),MATCH(CG28+0.1,INDIRECT("BD!"&amp;INDEX(BD!$K$5:$BX$5,1,MATCH(BB28&amp;"I",BD!$K$4:$BY$4,0))),-1))),"")</f>
        <v>#N/A</v>
      </c>
      <c r="BP28" s="205" t="e">
        <f ca="1">IF(BF28=1,IF(BB28="","",INDEX(INDIRECT("BD!"&amp;INDEX(BD!$K$5:$BX$5,1,MATCH(BB28&amp;"I",BD!$K$4:$BY$4,0))),MATCH(BL28,INDIRECT("BD!"&amp;INDEX(BD!$K$5:$BX$5,1,MATCH(BB28&amp;"I",BD!$K$4:$BY$4,0))),-1))),"")</f>
        <v>#N/A</v>
      </c>
      <c r="BQ28" s="203">
        <f>IF(BF28=1,IF(BB28="","",10),"")</f>
        <v>10</v>
      </c>
      <c r="BR28" s="203"/>
      <c r="BS28" s="205" t="e">
        <f ca="1">IF(BB28="","",IF(BR28="",IF(BM28=0,IF(BP28&gt;=BQ28,BP28,BQ28),IF(BO28&gt;=BP28,IF(BO28&gt;=BQ28,BO28,BQ28),IF(BP28&gt;=BQ28,BP28,BQ28))),BR28))</f>
        <v>#N/A</v>
      </c>
      <c r="BT28" s="205"/>
      <c r="BU28" s="203" t="str">
        <f>IF(BF28="","","C")</f>
        <v>C</v>
      </c>
      <c r="BV28" s="203">
        <f>IF(BF28="","",0)</f>
        <v>0</v>
      </c>
      <c r="BW28" s="204">
        <f ca="1">IF(BF28="","",BI28+BV28)</f>
        <v>1</v>
      </c>
      <c r="BX28" s="204" t="str">
        <f>IF(BF28="","",IF(BB28="АВДТ","30мА",IF(BB28="УЗО","30мА","")))</f>
        <v/>
      </c>
      <c r="BY28" s="204" t="e">
        <f ca="1">IF(BF28="","",INDEX(INDIRECT("BD!"&amp;INDEX(BD!$K$5:$BX$5,1,MATCH(E28&amp;"О",BD!$K$4:$BY$4,0))),MATCH(BP28,INDIRECT("BD!"&amp;INDEX(BD!$K$5:$BX$5,1,MATCH(E28&amp;"I",BD!$K$4:$BY$4,0))),0))&amp;D28)</f>
        <v>#N/A</v>
      </c>
      <c r="BZ28" s="210" t="e">
        <f ca="1">IF(BF28="","",INDEX(INDIRECT("BD!"&amp;INDEX(BD!$K$5:$BX$5,1,MATCH(E28&amp;"М",BD!$K$4:$BY$4,0))),MATCH(BP28,INDIRECT("BD!"&amp;INDEX(BD!$K$5:$BX$5,1,MATCH(E28&amp;"I",BD!$K$4:$BY$4,0))),0)))</f>
        <v>#N/A</v>
      </c>
      <c r="CA28" s="209" t="e">
        <f ca="1">IF(BF28="","",BW28&amp;"P,"&amp;BS28&amp;"А,"&amp;BU28&amp;IF(BX28="","",","&amp;BX28))</f>
        <v>#N/A</v>
      </c>
      <c r="CB28" s="206" t="str">
        <f>G28</f>
        <v>АВ</v>
      </c>
      <c r="CC28" s="201" t="e">
        <f ca="1">IF(CB28="","",IF(P28&lt;380,1,3))</f>
        <v>#N/A</v>
      </c>
      <c r="CD28" s="201" t="e">
        <f ca="1">IF(CB28="","",AC28)</f>
        <v>#N/A</v>
      </c>
      <c r="CE28" s="203">
        <f>IF(CB28="","",1.3)</f>
        <v>1.3</v>
      </c>
      <c r="CF28" s="205" t="e">
        <f ca="1">IF(CB28="","",CD28*CE28)</f>
        <v>#N/A</v>
      </c>
      <c r="CG28" s="205" t="e">
        <f ca="1">IF(CB28="","",INDEX(INDIRECT("BD!"&amp;INDEX(BD!$K$5:$CA$5,1,MATCH(CB28&amp;"I",BD!$K$4:$CB$4,0))),MATCH(CF28,INDIRECT("BD!"&amp;INDEX(BD!$K$5:$CA$5,1,MATCH(CB28&amp;"I",BD!$K$4:$CB$4,0))),-1)))</f>
        <v>#N/A</v>
      </c>
      <c r="CH28" s="205"/>
      <c r="CI28" s="203">
        <f>IF(CB28="","",10)</f>
        <v>10</v>
      </c>
      <c r="CJ28" s="203"/>
      <c r="CK28" s="205" t="e">
        <f ca="1">IF(CB28="","",IF(CJ28="",IF(CG28&gt;=CI28,CG28,CI28),CJ28))</f>
        <v>#N/A</v>
      </c>
      <c r="CL28" s="205"/>
      <c r="CM28" s="203" t="str">
        <f>IF(CB28="","","C")</f>
        <v>C</v>
      </c>
      <c r="CN28" s="203">
        <f>IF(CB28="","",0)</f>
        <v>0</v>
      </c>
      <c r="CO28" s="204" t="e">
        <f ca="1">IF(CB28="","",CC28+CN28)</f>
        <v>#N/A</v>
      </c>
      <c r="CP28" s="204" t="str">
        <f>IF(CB28="","",IF(CB28="АВДТ","30мА",IF(CB28="УЗО","30мА","")))</f>
        <v/>
      </c>
      <c r="CQ28" s="204" t="e">
        <f ca="1">IF(CB28="","",INDEX(INDIRECT("BD!"&amp;INDEX(BD!$K$5:$CA$5,1,MATCH(G28&amp;"О",BD!$K$4:$CB$4,0))),MATCH(CG28,INDIRECT("BD!"&amp;INDEX(BD!$K$5:$CA$5,1,MATCH(G28&amp;"I",BD!$K$4:$CB$4,0))),0))&amp;D28)</f>
        <v>#N/A</v>
      </c>
      <c r="CR28" s="210" t="e">
        <f ca="1">IF(CB28="","",INDEX(INDIRECT("BD!"&amp;INDEX(BD!$K$5:$CA$5,1,MATCH(G28&amp;"М",BD!$K$4:$CB$4,0))),MATCH(CG28,INDIRECT("BD!"&amp;INDEX(BD!$K$5:$CA$5,1,MATCH(G28&amp;"I",BD!$K$4:$CB$4,0))),0)))</f>
        <v>#N/A</v>
      </c>
      <c r="CS28" s="209" t="e">
        <f ca="1">IF(CB28="","",CO28&amp;"P,"&amp;CK28&amp;"А,"&amp;CM28&amp;IF(CP28="","",","&amp;CP28&amp;"мА"))</f>
        <v>#N/A</v>
      </c>
      <c r="CT28" s="103">
        <f>'&lt;zalldev&gt;EXPORT'!AQ11</f>
        <v>-1</v>
      </c>
      <c r="CU28" s="103">
        <f>COUNT($CT$28:CT28)</f>
        <v>1</v>
      </c>
      <c r="CV28" s="103" t="e">
        <f ca="1">INDIRECT("'"&amp;O28&amp;"'!"&amp;"X14")</f>
        <v>#REF!</v>
      </c>
      <c r="CW28" s="103" t="str">
        <f>'&lt;zalldev&gt;EXPORT'!AR11</f>
        <v>-1</v>
      </c>
      <c r="CX28" s="125" t="e">
        <f>'&lt;zalldev&gt;EXPORT'!AZ11-$T$16-1</f>
        <v>#N/A</v>
      </c>
      <c r="CY28" s="125">
        <f>'&lt;zalldev&gt;EXPORT'!J11</f>
        <v>0</v>
      </c>
      <c r="CZ28" s="125">
        <f>'&lt;zalldev&gt;EXPORT'!M11*1</f>
        <v>0</v>
      </c>
      <c r="DA28" s="125" t="str">
        <f>CY28&amp;"."&amp;CZ28</f>
        <v>0.0</v>
      </c>
      <c r="DB28" s="125">
        <f>'&lt;zalldev&gt;EXPORT'!AY11*1</f>
        <v>0</v>
      </c>
      <c r="DC28" s="133">
        <f>IF(COUNT($CT$28:CT28)=1,1,IF(INDEX($CT$28:CT28,COUNT($CT$28:CT28)-1)=INDEX($CT$28:CT28,COUNT($CT$28:CT28)),0,COUNT($CT$28:CT28)))*1</f>
        <v>1</v>
      </c>
      <c r="DD28" s="133">
        <f>IF(DB28&gt;0,IF(CX28=0,SUMIFS(CW28:$CW$700000,CT28:$CT$700000,CT28,CX28:$CX$700000,1),0),0)*1</f>
        <v>0</v>
      </c>
      <c r="DE28" s="104">
        <f>IF('&lt;zalldev&gt;EXPORT'!W11=0,'&lt;zalldev&gt;EXPORT'!W11,1)</f>
        <v>0</v>
      </c>
      <c r="DF28" s="152">
        <f>IF(MATCH(CT28,$CT$28:CT28,0)=COUNT($CT$28:CT28),COUNTIFS(F28:$F$120004,F28),0)*1</f>
        <v>1</v>
      </c>
      <c r="DG28" s="133">
        <f>IF(INDEX($DF$28:DF28,MATCH(CT28,$CT$28:CT28,0))&gt;1,IF(DF28=0,2,1),IF(DF28=1,1,0))*1</f>
        <v>1</v>
      </c>
      <c r="DH28" s="216" t="e">
        <f>IF(CX28=1,CY28,IF(CX28=2,DH27,0))</f>
        <v>#N/A</v>
      </c>
      <c r="DI28" s="216" t="e">
        <f>IF(CX28=1,MATCH(DH28,$DH$28:DH28,0),IF(CX28=2,DI27,0))</f>
        <v>#N/A</v>
      </c>
      <c r="DJ28" s="216">
        <f>COUNTIF($DH$28:$DH$700000,DH28)</f>
        <v>1</v>
      </c>
      <c r="DK28" s="216" t="e">
        <f>IF(DH28=0,0,IF(CU28&gt;=DI28,IF(CU28&lt;=DI28+DJ28,1,0),0))</f>
        <v>#N/A</v>
      </c>
      <c r="DL28" s="215"/>
      <c r="DM28" s="215"/>
      <c r="DN28" s="215"/>
      <c r="DO28" s="215"/>
      <c r="DP28" s="215"/>
      <c r="DQ28" s="105">
        <f>INDEX($DE$28:DE28,COUNT($CT$28:CT28)-1)</f>
        <v>0</v>
      </c>
      <c r="DR28" s="105">
        <f>IF(INDEX($DE$28:$DE$120004,COUNT($CT$28:CT28))=1,IF(INDEX($DE$28:$DE$120004,COUNT($CT$28:CT28)+1)=1,1,0),0)</f>
        <v>0</v>
      </c>
      <c r="DS28" s="106">
        <f>IF(COUNT($CT$28:CT28)=1,1,IF(INDEX($CT$28:CT28,COUNT($CT$28:CT28)-1)=INDEX($CT$28:CT28,COUNT($CT$28:CT28)),0,COUNT($CT$28:CT28)))</f>
        <v>1</v>
      </c>
      <c r="DT28" s="106">
        <f>IF(DS28&gt;0,ROW(DT28),"-")</f>
        <v>28</v>
      </c>
      <c r="DU28" s="106" t="e">
        <f>IF(#REF!=0,0,SUMIFS(DE28:$DE$120004,#REF!,#REF!))</f>
        <v>#REF!</v>
      </c>
      <c r="DV28" s="106" t="e">
        <f ca="1">IF(COUNTIF(INDIRECT(ADDRESS(ROW(DV28),COLUMN(#REF!))&amp;":"&amp;ADDRESS(MIN(DT28:$DT$120004),COLUMN(#REF!))),0)&gt;1,1,0)</f>
        <v>#REF!</v>
      </c>
      <c r="DW28" s="105">
        <f>IF(DC28=1,0,IF(INDEX($CT$28:CT28,DC28-1)=CT28,IF(INDEX(#REF!,DC28-1)=#REF!,IF(INDEX(#REF!,DC28-1)=#REF!,1,0),0),0))</f>
        <v>0</v>
      </c>
      <c r="DX28" s="107" t="e">
        <f>MATCH(1,K28:M28,0)</f>
        <v>#N/A</v>
      </c>
      <c r="DY28" s="152">
        <f>IF(CU28=1,0,IF(DB28=0,IF(INDEX($DB$28:$DB$700000,CU28-1)&gt;0,1,0),0))</f>
        <v>0</v>
      </c>
      <c r="DZ28" s="158" t="e">
        <f>"&lt;zsetformulatocell toSheet=[zallcabCALC]  toCell=["&amp;ADDRESS(MATCH(AM28,'&lt;zallcab&gt;CALC'!$D$7:$D$700000,0)+ROW('&lt;zallcab&gt;CALC'!$D$7)-1,COLUMN('&lt;zallcab&gt;CALC'!Y7)) &amp; "] formula=[fromSheet!"&amp;ADDRESS(ROW(AU28),COLUMN(AU28))&amp;"]"</f>
        <v>#N/A</v>
      </c>
      <c r="EA28" s="187" t="e">
        <f>"&lt;zsetformulatocell toSheet=[zallcabCALC]  toCell=["&amp;ADDRESS(MATCH(AM28,'&lt;zallcab&gt;CALC'!$D$7:$D$700000,0)+ROW('&lt;zallcab&gt;CALC'!$D$7)-1,COLUMN('&lt;zallcab&gt;CALC'!Z7)) &amp; "] formula=[fromSheet!"&amp;ADDRESS(ROW(AV28),COLUMN(AV28))&amp;"]"</f>
        <v>#N/A</v>
      </c>
      <c r="EB28" s="1" t="s">
        <v>212</v>
      </c>
      <c r="EC28" s="1" t="s">
        <v>211</v>
      </c>
      <c r="ED28" s="153">
        <f>$ED$27+25*$Z$5*CU28-COUNTIF($DY$28:DY28,1)*25*$Z$5</f>
        <v>60</v>
      </c>
      <c r="EE28" s="147">
        <v>0</v>
      </c>
      <c r="EF28" s="195">
        <f>$Z$5</f>
        <v>1</v>
      </c>
      <c r="EG28" s="195">
        <f>$Z$6</f>
        <v>1</v>
      </c>
      <c r="EH28" s="149">
        <v>0</v>
      </c>
      <c r="EI28" s="1" t="s">
        <v>210</v>
      </c>
      <c r="EJ28" s="1" t="e">
        <f ca="1">IF(Q28="ABC","BOOLEAN_1","BOOLEAN_0")</f>
        <v>#N/A</v>
      </c>
      <c r="EK28" s="137" t="s">
        <v>209</v>
      </c>
      <c r="EL28" s="137" t="e">
        <f ca="1">IF(H28&lt;&gt;"","INTEGER_0",IF(DF28=0,IF(DG28=0,"INTEGER_3","INTEGER_"&amp;DG28),"INTEGER_"&amp;DG28))</f>
        <v>#N/A</v>
      </c>
      <c r="EM28" s="137" t="s">
        <v>541</v>
      </c>
      <c r="EN28" s="1" t="e">
        <f ca="1">IF(H28="",IF(EL28&lt;&gt;"INTEGER_0","INTEGER_2","INTEGER_0"),"INTEGER_1")</f>
        <v>#N/A</v>
      </c>
      <c r="EO28" s="137" t="s">
        <v>542</v>
      </c>
      <c r="EP28" s="1" t="e">
        <f ca="1">IF(I28="",IF(EL28&lt;&gt;"INTEGER_1","INTEGER_2","INTEGER_0"),"INTEGER_1")</f>
        <v>#N/A</v>
      </c>
      <c r="EQ28" s="138" t="s">
        <v>208</v>
      </c>
      <c r="ER28" s="208" t="str">
        <f ca="1">IFERROR(_xlfn.IFS(EL28="INTEGER_0","INTEGER_0",INDEX($DD$28:$DD$700000,CU28-1)&gt;0,"INTEGER_2"),"INTEGER_0")</f>
        <v>INTEGER_0</v>
      </c>
      <c r="ES28" s="138" t="s">
        <v>207</v>
      </c>
      <c r="ET28" s="138" t="str">
        <f t="shared" ref="ET28" si="4">"INTEGER_0"</f>
        <v>INTEGER_0</v>
      </c>
      <c r="EU28" s="138" t="s">
        <v>206</v>
      </c>
      <c r="EV28" s="153" t="str">
        <f ca="1">IFERROR(_xlfn.IFS(ER28="INTEGER_2","INTEGER_2",EL28="INTEGER_3","INTEGER_0",EL28="INTEGER_2","INTEGER_0",ER28="INTEGER_0","INTEGER_4"),"INTEGER_0")</f>
        <v>INTEGER_0</v>
      </c>
      <c r="EW28" s="141" t="s">
        <v>205</v>
      </c>
      <c r="EX28" s="153" t="str">
        <f>IFERROR(_xlfn.IFS(IF(DD28&gt;0,1,0),"INTEGER_0",INDEX($DD$28:$DD$700000,CU28-1)&gt;0,"INTEGER_0",IF(DC28=0,1,0),"INTEGER_3"),"INTEGER_0")</f>
        <v>INTEGER_0</v>
      </c>
      <c r="EY28" s="141" t="s">
        <v>204</v>
      </c>
      <c r="EZ28" s="141" t="str">
        <f t="shared" ref="EZ28" si="5">IF(DR28=0,"INTEGER_0","INTEGER_0")</f>
        <v>INTEGER_0</v>
      </c>
      <c r="FA28" s="141" t="s">
        <v>203</v>
      </c>
      <c r="FB28" s="153" t="str">
        <f ca="1">IFERROR(_xlfn.IFS(IF(DD28&gt;0,1,0),"INTEGER_0",EX28="INTEGER_3","INTEGER_3",ER28="INTEGER_0","INTEGER_5"),"INTEGER_0")</f>
        <v>INTEGER_5</v>
      </c>
      <c r="FC28" s="1" t="s">
        <v>202</v>
      </c>
      <c r="FD28" s="153">
        <f>IF(DB28&gt;0,"",IF(W28&gt;1,O28&amp;"("&amp;W28&amp;"шт.)",O28))</f>
        <v>0</v>
      </c>
      <c r="FE28" s="1" t="s">
        <v>201</v>
      </c>
      <c r="FF28" s="153">
        <f ca="1">IF(DB28&gt;0,"",R28)</f>
        <v>0</v>
      </c>
      <c r="FG28" s="1" t="s">
        <v>200</v>
      </c>
      <c r="FH28" s="153" t="e">
        <f ca="1">IF(DB28&gt;0,"",T28)</f>
        <v>#N/A</v>
      </c>
      <c r="FI28" s="1" t="s">
        <v>199</v>
      </c>
      <c r="FJ28" s="153" t="e">
        <f ca="1">IF(DB28&gt;0,"",Z28&amp;"\P~"&amp;P28&amp;"V")</f>
        <v>#N/A</v>
      </c>
      <c r="FK28" s="56" t="s">
        <v>198</v>
      </c>
      <c r="FL28" s="56" t="e">
        <f>AM28</f>
        <v>#N/A</v>
      </c>
      <c r="FM28" s="56" t="s">
        <v>197</v>
      </c>
      <c r="FN28" s="153" t="str">
        <f>IFERROR(_xlfn.IFS(IF(DD28&gt;0,1,0),AN28,IF(DB28&gt;0,IF(INDEX($DD$28:$DD$700000,CU28-1)&gt;0,1,0),0),AN28,IF(DD28=0,1,0),""),AN28)</f>
        <v/>
      </c>
      <c r="FO28" s="56" t="s">
        <v>196</v>
      </c>
      <c r="FP28" s="153" t="str">
        <f>IFERROR(_xlfn.IFS(IF(DD28&gt;0,1,0),IF(AO28&lt;&gt;"","L="&amp;AO28&amp;"м"," "),IF(DB28&gt;0,IF(INDEX($DD$28:$DD$700000,CU28-1)&gt;0,1,0),0),IF(AO28&lt;&gt;"","L="&amp;AO28&amp;"м"," "),IF(DD28=0,1,0),""),IF(AO28&lt;&gt;"","L="&amp;AO28&amp;"м"," "))</f>
        <v/>
      </c>
      <c r="FQ28" s="56" t="s">
        <v>195</v>
      </c>
      <c r="FR28" s="153" t="e">
        <f>IF(FN28="",AN28,"")</f>
        <v>#N/A</v>
      </c>
      <c r="FS28" s="56" t="str">
        <f>"VSCHEMACable22"</f>
        <v>VSCHEMACable22</v>
      </c>
      <c r="FT28" s="153" t="e">
        <f>IF(FP28="",IF(AO28&lt;&gt;"","L="&amp;AO28&amp;"м"," "),"")</f>
        <v>#N/A</v>
      </c>
      <c r="FU28" s="1" t="s">
        <v>194</v>
      </c>
      <c r="FV28" s="195" t="s">
        <v>212</v>
      </c>
      <c r="FW28" s="153" t="str">
        <f>'&lt;zalldev&gt;EXPORT'!AJ11</f>
        <v>&lt;zcadnameblock&gt;</v>
      </c>
      <c r="FX28" s="153" t="e">
        <f>ED28+12.5*$Z$5+INDEX(BDUGO!$D$4:$D$15,MATCH(IF(DB28&gt;0,"UU","")&amp;FW28,BDUGO!$C$4:$C$15,0))*$Z$5</f>
        <v>#N/A</v>
      </c>
      <c r="FY28" s="153" t="e">
        <f>EE28+42.5*$Z$6+INDEX(BDUGO!$E$4:$E$15,MATCH(IF(DB28&gt;0,"UU","")&amp;FW28,BDUGO!$C$4:$C$15,0))*$Z$6</f>
        <v>#N/A</v>
      </c>
      <c r="FZ28" s="153" t="e">
        <f>IF(INDEX(BDUGO!$F$4:$F$15,MATCH(IF(DB28&gt;0,"UU","")&amp;FW28,BDUGO!$C$4:$C$15,0))=0,1,INDEX(BDUGO!$F$4:$F$15,MATCH(IF(DB28&gt;0,"UU","")&amp;FW28,BDUGO!$C$4:$C$15,0)))*$Z$5</f>
        <v>#N/A</v>
      </c>
      <c r="GA28" s="153" t="e">
        <f>IF(INDEX(BDUGO!$G$4:$G$15,MATCH(IF(DB28&gt;0,"UU","")&amp;FW28,BDUGO!$C$4:$C$15,0))=0,1,INDEX(BDUGO!$G$4:$G$15,MATCH(IF(DB28&gt;0,"UU","")&amp;FW28,BDUGO!$C$4:$C$15,0)))*$Z$6</f>
        <v>#N/A</v>
      </c>
      <c r="GB28" s="153" t="e">
        <f>INDEX(BDUGO!$H$4:$H$15,MATCH(IF(DB28&gt;0,"UU","")&amp;FW28,BDUGO!$C$4:$C$15,0))</f>
        <v>#N/A</v>
      </c>
      <c r="GC28" s="195" t="s">
        <v>194</v>
      </c>
      <c r="GD28" s="1" t="e">
        <f ca="1">IF(H28&lt;&gt;"","&lt;zinsertblock&gt;","")</f>
        <v>#N/A</v>
      </c>
      <c r="GE28" s="1" t="e">
        <f ca="1">IF(GD28="","",INDEX(INDIRECT("BD!"&amp;INDEX(BD!$K$5:$BX$5,1,MATCH(E28&amp;"UGO",BD!$K$4:$BY$4,0))),MATCH(BP28,INDIRECT("BD!"&amp;INDEX(BD!$K$5:$BX$5,1,MATCH(E28&amp;"I",BD!$K$4:$BY$4,0))),0)))</f>
        <v>#N/A</v>
      </c>
      <c r="GF28" s="1" t="e">
        <f ca="1">IF(GD28="","",ED28+$Z$5*INDEX(INDIRECT("BD!"&amp;INDEX(BD!$K$5:$BX$5,1,MATCH(E28&amp;"MOVEX",BD!$K$4:$BY$4,0))),MATCH(BP28,INDIRECT("BD!"&amp;INDEX(BD!$K$5:$BX$5,1,MATCH(E28&amp;"I",BD!$K$4:$BY$4,0))),0)))</f>
        <v>#N/A</v>
      </c>
      <c r="GG28" s="1" t="e">
        <f ca="1">IF(GD28="","",EE28+$Z$6*INDEX(INDIRECT("BD!"&amp;INDEX(BD!$K$5:$BX$5,1,MATCH(E28&amp;"MOVEY",BD!$K$4:$BY$4,0))),MATCH(BP28,INDIRECT("BD!"&amp;INDEX(BD!$K$5:$BX$5,1,MATCH(E28&amp;"I",BD!$K$4:$BY$4,0))),0)))</f>
        <v>#N/A</v>
      </c>
      <c r="GH28" s="1">
        <f>$Z$5</f>
        <v>1</v>
      </c>
      <c r="GI28" s="1">
        <f>$Z$6</f>
        <v>1</v>
      </c>
      <c r="GJ28" s="1">
        <v>0</v>
      </c>
      <c r="GK28" s="1" t="s">
        <v>193</v>
      </c>
      <c r="GL28" s="1" t="e">
        <f ca="1">BY28&amp;"\P"&amp;BZ28&amp;"\P"&amp;CA28</f>
        <v>#N/A</v>
      </c>
      <c r="GM28" s="1" t="e">
        <f ca="1">IF(GD28="","","&lt;/zinsertblock&gt;")</f>
        <v>#N/A</v>
      </c>
      <c r="GN28" s="1" t="e">
        <f ca="1">IF(I28&lt;&gt;"","&lt;zinsertblock&gt;","")</f>
        <v>#N/A</v>
      </c>
      <c r="GO28" s="1" t="e">
        <f ca="1">IF(GN28="","",INDEX(INDIRECT("BD!"&amp;INDEX(BD!$K$5:$CA$5,1,MATCH(G28&amp;"UGO",BD!$K$4:$CB$4,0))),MATCH(CG28,INDIRECT("BD!"&amp;INDEX(BD!$K$5:$CA$5,1,MATCH(G28&amp;"I",BD!$K$4:$CB$4,0))),0)))</f>
        <v>#N/A</v>
      </c>
      <c r="GP28" s="1" t="e">
        <f ca="1">IF(GN28="","",ED28+$Z$5*INDEX(INDIRECT("BD!"&amp;INDEX(BD!$K$5:$CA$5,1,MATCH(G28&amp;"MOVEX",BD!$K$4:$CB$4,0))),MATCH(CG28,INDIRECT("BD!"&amp;INDEX(BD!$K$5:$CA$5,1,MATCH(G28&amp;"I",BD!$K$4:$CB$4,0))),0)))</f>
        <v>#N/A</v>
      </c>
      <c r="GQ28" s="1" t="e">
        <f ca="1">IF(GN28="","",EE28-20*$Z$6+$Z$6*INDEX(INDIRECT("BD!"&amp;INDEX(BD!$K$5:$CA$5,1,MATCH(G28&amp;"MOVEY",BD!$K$4:$CB$4,0))),MATCH(CG28,INDIRECT("BD!"&amp;INDEX(BD!$K$5:$CA$5,1,MATCH(G28&amp;"I",BD!$K$4:$CB$4,0))),0)))</f>
        <v>#N/A</v>
      </c>
      <c r="GR28" s="1">
        <f>$Z$5</f>
        <v>1</v>
      </c>
      <c r="GS28" s="1">
        <f>$Z$6</f>
        <v>1</v>
      </c>
      <c r="GT28" s="1">
        <v>0</v>
      </c>
      <c r="GU28" s="1" t="s">
        <v>193</v>
      </c>
      <c r="GV28" s="1" t="e">
        <f ca="1">CQ28&amp;"\P"&amp;CR28&amp;"\P"&amp;CS28</f>
        <v>#N/A</v>
      </c>
      <c r="GW28" s="1" t="e">
        <f ca="1">IF(GN28="","","&lt;/zinsertblock&gt;")</f>
        <v>#N/A</v>
      </c>
      <c r="GX28" s="1" t="s">
        <v>192</v>
      </c>
    </row>
  </sheetData>
  <mergeCells count="57">
    <mergeCell ref="D6:G6"/>
    <mergeCell ref="P6:S6"/>
    <mergeCell ref="T6:U6"/>
    <mergeCell ref="D4:H4"/>
    <mergeCell ref="P4:U4"/>
    <mergeCell ref="D5:G5"/>
    <mergeCell ref="P5:S5"/>
    <mergeCell ref="T5:U5"/>
    <mergeCell ref="D7:G7"/>
    <mergeCell ref="P7:S7"/>
    <mergeCell ref="T7:U7"/>
    <mergeCell ref="D8:G8"/>
    <mergeCell ref="P8:S8"/>
    <mergeCell ref="T8:U8"/>
    <mergeCell ref="D9:G9"/>
    <mergeCell ref="P9:S10"/>
    <mergeCell ref="T9:U10"/>
    <mergeCell ref="D10:G10"/>
    <mergeCell ref="D11:G11"/>
    <mergeCell ref="P11:S11"/>
    <mergeCell ref="T11:U11"/>
    <mergeCell ref="D12:G12"/>
    <mergeCell ref="P12:S12"/>
    <mergeCell ref="T12:U12"/>
    <mergeCell ref="D13:G13"/>
    <mergeCell ref="P13:S13"/>
    <mergeCell ref="T13:U13"/>
    <mergeCell ref="I26:I27"/>
    <mergeCell ref="D14:G14"/>
    <mergeCell ref="P14:S14"/>
    <mergeCell ref="T14:U14"/>
    <mergeCell ref="D15:G15"/>
    <mergeCell ref="P15:S15"/>
    <mergeCell ref="T15:U15"/>
    <mergeCell ref="D26:D27"/>
    <mergeCell ref="E26:E27"/>
    <mergeCell ref="F26:F27"/>
    <mergeCell ref="G26:G27"/>
    <mergeCell ref="H26:H27"/>
    <mergeCell ref="J26:J27"/>
    <mergeCell ref="P16:S16"/>
    <mergeCell ref="T16:U16"/>
    <mergeCell ref="Y4:Z4"/>
    <mergeCell ref="GD27:GM27"/>
    <mergeCell ref="GN27:GW27"/>
    <mergeCell ref="K26:M26"/>
    <mergeCell ref="N26:N27"/>
    <mergeCell ref="O26:Z26"/>
    <mergeCell ref="AA26:AL26"/>
    <mergeCell ref="AM26:BA26"/>
    <mergeCell ref="BB25:CA25"/>
    <mergeCell ref="CT25:DY25"/>
    <mergeCell ref="FV27:GC27"/>
    <mergeCell ref="BJ26:BT26"/>
    <mergeCell ref="CB25:CS25"/>
    <mergeCell ref="BW26:CA26"/>
    <mergeCell ref="DH26:DK26"/>
  </mergeCells>
  <phoneticPr fontId="7" type="noConversion"/>
  <conditionalFormatting sqref="P28">
    <cfRule type="expression" dxfId="54" priority="103">
      <formula>NOT(_xlfn.ISFORMULA(P28))</formula>
    </cfRule>
  </conditionalFormatting>
  <conditionalFormatting sqref="Q28">
    <cfRule type="expression" dxfId="53" priority="102">
      <formula>NOT(_xlfn.ISFORMULA(Q28))</formula>
    </cfRule>
  </conditionalFormatting>
  <conditionalFormatting sqref="R28">
    <cfRule type="expression" dxfId="52" priority="101">
      <formula>NOT(_xlfn.ISFORMULA(R28))</formula>
    </cfRule>
  </conditionalFormatting>
  <conditionalFormatting sqref="S28">
    <cfRule type="expression" dxfId="51" priority="100">
      <formula>NOT(_xlfn.ISFORMULA(S28))</formula>
    </cfRule>
  </conditionalFormatting>
  <conditionalFormatting sqref="AS28">
    <cfRule type="expression" dxfId="50" priority="98">
      <formula>NOT(_xlfn.ISFORMULA(AS28))</formula>
    </cfRule>
  </conditionalFormatting>
  <conditionalFormatting sqref="AW28">
    <cfRule type="expression" dxfId="49" priority="97">
      <formula>NOT(_xlfn.ISFORMULA(AW28))</formula>
    </cfRule>
  </conditionalFormatting>
  <conditionalFormatting sqref="AT28">
    <cfRule type="expression" dxfId="48" priority="95">
      <formula>NOT(_xlfn.ISFORMULA(AT28))</formula>
    </cfRule>
  </conditionalFormatting>
  <conditionalFormatting sqref="EO28:EP28 EL28">
    <cfRule type="cellIs" dxfId="47" priority="90" operator="equal">
      <formula>"INTEGER_0"</formula>
    </cfRule>
  </conditionalFormatting>
  <conditionalFormatting sqref="EO28:EP28 EL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ET28">
    <cfRule type="cellIs" dxfId="41" priority="66" operator="equal">
      <formula>"INTEGER_0"</formula>
    </cfRule>
  </conditionalFormatting>
  <conditionalFormatting sqref="ET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EW28">
    <cfRule type="cellIs" dxfId="35" priority="48" operator="equal">
      <formula>"INTEGER_0"</formula>
    </cfRule>
  </conditionalFormatting>
  <conditionalFormatting sqref="EW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EY28">
    <cfRule type="cellIs" dxfId="29" priority="42" operator="equal">
      <formula>"INTEGER_0"</formula>
    </cfRule>
  </conditionalFormatting>
  <conditionalFormatting sqref="EY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EZ28">
    <cfRule type="cellIs" dxfId="23" priority="36" operator="equal">
      <formula>"INTEGER_0"</formula>
    </cfRule>
  </conditionalFormatting>
  <conditionalFormatting sqref="EZ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FA28">
    <cfRule type="cellIs" dxfId="17" priority="24" operator="equal">
      <formula>"INTEGER_0"</formula>
    </cfRule>
  </conditionalFormatting>
  <conditionalFormatting sqref="FA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FC28">
    <cfRule type="cellIs" dxfId="11" priority="12" operator="equal">
      <formula>"INTEGER_0"</formula>
    </cfRule>
  </conditionalFormatting>
  <conditionalFormatting sqref="FC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FD28:FM28 FO28 FQ28:FT28">
    <cfRule type="cellIs" dxfId="5" priority="6" operator="equal">
      <formula>"INTEGER_0"</formula>
    </cfRule>
  </conditionalFormatting>
  <conditionalFormatting sqref="FD28:FM28 FO28 FQ28:FT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18" t="s">
        <v>36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30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31" t="s">
        <v>12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</row>
    <row r="2" spans="1:18" ht="35.25" customHeight="1" thickBot="1" x14ac:dyDescent="0.3">
      <c r="A2" s="24"/>
      <c r="B2" s="3" t="s">
        <v>13</v>
      </c>
      <c r="C2" s="232" t="s">
        <v>14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3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15"/>
  <sheetViews>
    <sheetView workbookViewId="0">
      <selection activeCell="G11" sqref="G11"/>
    </sheetView>
  </sheetViews>
  <sheetFormatPr defaultRowHeight="15" x14ac:dyDescent="0.25"/>
  <cols>
    <col min="3" max="8" width="10.7109375" customWidth="1"/>
  </cols>
  <sheetData>
    <row r="1" spans="3:8" ht="15.75" thickBot="1" x14ac:dyDescent="0.3"/>
    <row r="2" spans="3:8" ht="15.75" thickBot="1" x14ac:dyDescent="0.3">
      <c r="C2" s="234" t="s">
        <v>427</v>
      </c>
      <c r="D2" s="235"/>
      <c r="E2" s="235"/>
      <c r="F2" s="235"/>
      <c r="G2" s="235"/>
      <c r="H2" s="236"/>
    </row>
    <row r="3" spans="3:8" x14ac:dyDescent="0.25">
      <c r="C3" s="144" t="s">
        <v>428</v>
      </c>
      <c r="D3" s="144" t="s">
        <v>429</v>
      </c>
      <c r="E3" s="144" t="s">
        <v>430</v>
      </c>
      <c r="F3" s="144" t="s">
        <v>431</v>
      </c>
      <c r="G3" s="144" t="s">
        <v>432</v>
      </c>
      <c r="H3" s="144" t="s">
        <v>433</v>
      </c>
    </row>
    <row r="4" spans="3:8" x14ac:dyDescent="0.25">
      <c r="C4" s="145" t="s">
        <v>434</v>
      </c>
      <c r="D4" s="146">
        <v>0</v>
      </c>
      <c r="E4" s="146">
        <v>0</v>
      </c>
      <c r="F4" s="146">
        <v>1</v>
      </c>
      <c r="G4" s="146">
        <v>1</v>
      </c>
      <c r="H4" s="146">
        <v>0</v>
      </c>
    </row>
    <row r="5" spans="3:8" x14ac:dyDescent="0.25">
      <c r="C5" s="145" t="s">
        <v>441</v>
      </c>
      <c r="D5" s="146">
        <v>0</v>
      </c>
      <c r="E5" s="146">
        <v>35</v>
      </c>
      <c r="F5" s="146">
        <v>1</v>
      </c>
      <c r="G5" s="146">
        <v>1</v>
      </c>
      <c r="H5" s="146">
        <v>0</v>
      </c>
    </row>
    <row r="6" spans="3:8" x14ac:dyDescent="0.25">
      <c r="C6" s="145" t="s">
        <v>435</v>
      </c>
      <c r="D6" s="146">
        <v>0</v>
      </c>
      <c r="E6" s="146">
        <v>0</v>
      </c>
      <c r="F6" s="146">
        <v>0.67</v>
      </c>
      <c r="G6" s="146">
        <v>0.67</v>
      </c>
      <c r="H6" s="146">
        <v>0</v>
      </c>
    </row>
    <row r="7" spans="3:8" x14ac:dyDescent="0.25">
      <c r="C7" s="145" t="s">
        <v>442</v>
      </c>
      <c r="D7" s="146">
        <v>0</v>
      </c>
      <c r="E7" s="146">
        <v>35</v>
      </c>
      <c r="F7" s="146">
        <v>1</v>
      </c>
      <c r="G7" s="146">
        <v>1</v>
      </c>
      <c r="H7" s="146">
        <v>0</v>
      </c>
    </row>
    <row r="8" spans="3:8" x14ac:dyDescent="0.25">
      <c r="C8" s="145" t="s">
        <v>443</v>
      </c>
      <c r="D8" s="146">
        <v>0</v>
      </c>
      <c r="E8" s="146">
        <v>35</v>
      </c>
      <c r="F8" s="146">
        <v>1</v>
      </c>
      <c r="G8" s="146">
        <v>1</v>
      </c>
      <c r="H8" s="146">
        <v>0</v>
      </c>
    </row>
    <row r="9" spans="3:8" x14ac:dyDescent="0.25">
      <c r="C9" s="145" t="s">
        <v>445</v>
      </c>
      <c r="D9" s="146">
        <v>0</v>
      </c>
      <c r="E9" s="146">
        <v>0</v>
      </c>
      <c r="F9" s="146">
        <v>1</v>
      </c>
      <c r="G9" s="146">
        <v>1</v>
      </c>
      <c r="H9" s="146">
        <v>0</v>
      </c>
    </row>
    <row r="10" spans="3:8" x14ac:dyDescent="0.25">
      <c r="C10" s="145" t="s">
        <v>446</v>
      </c>
      <c r="D10" s="146">
        <v>0</v>
      </c>
      <c r="E10" s="146">
        <v>35</v>
      </c>
      <c r="F10" s="146">
        <v>1</v>
      </c>
      <c r="G10" s="146">
        <v>1</v>
      </c>
      <c r="H10" s="146">
        <v>0</v>
      </c>
    </row>
    <row r="11" spans="3:8" x14ac:dyDescent="0.25">
      <c r="C11" s="145" t="s">
        <v>447</v>
      </c>
      <c r="D11" s="146">
        <v>0</v>
      </c>
      <c r="E11" s="146">
        <v>0</v>
      </c>
      <c r="F11" s="146">
        <v>1</v>
      </c>
      <c r="G11" s="146">
        <v>1</v>
      </c>
      <c r="H11" s="146">
        <v>0</v>
      </c>
    </row>
    <row r="12" spans="3:8" x14ac:dyDescent="0.25">
      <c r="C12" s="145" t="s">
        <v>448</v>
      </c>
      <c r="D12" s="146">
        <v>0</v>
      </c>
      <c r="E12" s="146">
        <v>35</v>
      </c>
      <c r="F12" s="146">
        <v>1</v>
      </c>
      <c r="G12" s="146">
        <v>1</v>
      </c>
      <c r="H12" s="146">
        <v>0</v>
      </c>
    </row>
    <row r="13" spans="3:8" x14ac:dyDescent="0.25">
      <c r="C13" s="145" t="s">
        <v>449</v>
      </c>
      <c r="D13" s="146">
        <v>0</v>
      </c>
      <c r="E13" s="146">
        <v>0</v>
      </c>
      <c r="F13" s="146">
        <v>1</v>
      </c>
      <c r="G13" s="146">
        <v>1</v>
      </c>
      <c r="H13" s="146">
        <v>0</v>
      </c>
    </row>
    <row r="14" spans="3:8" x14ac:dyDescent="0.25">
      <c r="C14" s="145" t="s">
        <v>450</v>
      </c>
      <c r="D14" s="146">
        <v>0</v>
      </c>
      <c r="E14" s="146">
        <v>35</v>
      </c>
      <c r="F14" s="146">
        <v>1</v>
      </c>
      <c r="G14" s="146">
        <v>1</v>
      </c>
      <c r="H14" s="146">
        <v>0</v>
      </c>
    </row>
    <row r="15" spans="3:8" x14ac:dyDescent="0.25">
      <c r="C15" s="145" t="s">
        <v>436</v>
      </c>
      <c r="D15" s="146">
        <v>0</v>
      </c>
      <c r="E15" s="146">
        <v>0</v>
      </c>
      <c r="F15" s="146">
        <v>1</v>
      </c>
      <c r="G15" s="146">
        <v>1</v>
      </c>
      <c r="H15" s="146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365</v>
      </c>
      <c r="C4" s="1" t="s">
        <v>366</v>
      </c>
    </row>
    <row r="5" spans="2:3" x14ac:dyDescent="0.25">
      <c r="B5" s="1" t="s">
        <v>367</v>
      </c>
      <c r="C5" s="1" t="s">
        <v>368</v>
      </c>
    </row>
    <row r="6" spans="2:3" x14ac:dyDescent="0.25">
      <c r="B6" s="1" t="s">
        <v>369</v>
      </c>
      <c r="C6" s="1" t="s">
        <v>370</v>
      </c>
    </row>
    <row r="7" spans="2:3" x14ac:dyDescent="0.25">
      <c r="B7" s="1" t="s">
        <v>371</v>
      </c>
      <c r="C7" s="1" t="s">
        <v>372</v>
      </c>
    </row>
    <row r="8" spans="2:3" x14ac:dyDescent="0.25">
      <c r="B8" s="1" t="s">
        <v>373</v>
      </c>
      <c r="C8" s="1" t="s">
        <v>374</v>
      </c>
    </row>
    <row r="9" spans="2:3" x14ac:dyDescent="0.25">
      <c r="B9" s="1" t="s">
        <v>375</v>
      </c>
      <c r="C9" s="1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D8" sqref="D8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178</v>
      </c>
      <c r="B1" t="s">
        <v>452</v>
      </c>
    </row>
    <row r="2" spans="1:11" x14ac:dyDescent="0.25">
      <c r="A2" t="s">
        <v>179</v>
      </c>
      <c r="B2" t="s">
        <v>0</v>
      </c>
      <c r="I2" t="s">
        <v>159</v>
      </c>
    </row>
    <row r="3" spans="1:11" x14ac:dyDescent="0.25">
      <c r="A3" t="s">
        <v>179</v>
      </c>
      <c r="B3" t="s">
        <v>180</v>
      </c>
      <c r="I3" t="s">
        <v>160</v>
      </c>
    </row>
    <row r="4" spans="1:11" ht="15.75" customHeight="1" x14ac:dyDescent="0.25">
      <c r="A4" t="s">
        <v>179</v>
      </c>
      <c r="B4" t="s">
        <v>10</v>
      </c>
      <c r="J4" t="s">
        <v>8</v>
      </c>
      <c r="K4" t="s">
        <v>161</v>
      </c>
    </row>
    <row r="5" spans="1:11" ht="15.75" customHeight="1" x14ac:dyDescent="0.25">
      <c r="A5" t="s">
        <v>179</v>
      </c>
      <c r="B5" t="s">
        <v>11</v>
      </c>
      <c r="J5" t="s">
        <v>9</v>
      </c>
      <c r="K5" t="s">
        <v>162</v>
      </c>
    </row>
    <row r="6" spans="1:11" x14ac:dyDescent="0.25">
      <c r="A6" t="s">
        <v>179</v>
      </c>
      <c r="B6" t="s">
        <v>344</v>
      </c>
    </row>
    <row r="7" spans="1:11" x14ac:dyDescent="0.25">
      <c r="A7" t="s">
        <v>179</v>
      </c>
      <c r="B7" t="s">
        <v>331</v>
      </c>
      <c r="I7" t="s">
        <v>476</v>
      </c>
    </row>
    <row r="8" spans="1:11" x14ac:dyDescent="0.25">
      <c r="I8" t="s">
        <v>454</v>
      </c>
    </row>
    <row r="26" spans="9:11" x14ac:dyDescent="0.25">
      <c r="I26" t="s">
        <v>453</v>
      </c>
    </row>
    <row r="27" spans="9:11" x14ac:dyDescent="0.25">
      <c r="I27" t="s">
        <v>454</v>
      </c>
      <c r="K27" t="s">
        <v>455</v>
      </c>
    </row>
    <row r="28" spans="9:11" x14ac:dyDescent="0.25">
      <c r="J28" t="s">
        <v>456</v>
      </c>
      <c r="K28" t="s">
        <v>457</v>
      </c>
    </row>
    <row r="29" spans="9:11" x14ac:dyDescent="0.25">
      <c r="J29" t="s">
        <v>458</v>
      </c>
      <c r="K29" t="s">
        <v>459</v>
      </c>
    </row>
    <row r="30" spans="9:11" x14ac:dyDescent="0.25">
      <c r="I30" t="s">
        <v>460</v>
      </c>
      <c r="K30" t="s">
        <v>461</v>
      </c>
    </row>
    <row r="31" spans="9:11" x14ac:dyDescent="0.25">
      <c r="J31" t="s">
        <v>462</v>
      </c>
      <c r="K31" t="s">
        <v>463</v>
      </c>
    </row>
    <row r="32" spans="9:11" x14ac:dyDescent="0.25">
      <c r="J32" t="s">
        <v>464</v>
      </c>
      <c r="K32" t="s">
        <v>465</v>
      </c>
    </row>
    <row r="33" spans="9:11" x14ac:dyDescent="0.25">
      <c r="J33" t="s">
        <v>466</v>
      </c>
      <c r="K33" t="s">
        <v>467</v>
      </c>
    </row>
    <row r="34" spans="9:11" x14ac:dyDescent="0.25">
      <c r="J34" t="s">
        <v>468</v>
      </c>
      <c r="K34" t="s">
        <v>469</v>
      </c>
    </row>
    <row r="35" spans="9:11" x14ac:dyDescent="0.25">
      <c r="J35" t="s">
        <v>470</v>
      </c>
      <c r="K35" t="s">
        <v>471</v>
      </c>
    </row>
    <row r="36" spans="9:11" x14ac:dyDescent="0.25">
      <c r="I36" t="s">
        <v>472</v>
      </c>
      <c r="K36" t="s">
        <v>473</v>
      </c>
    </row>
    <row r="37" spans="9:11" x14ac:dyDescent="0.25">
      <c r="J37" t="s">
        <v>462</v>
      </c>
      <c r="K37" t="s">
        <v>463</v>
      </c>
    </row>
    <row r="38" spans="9:11" x14ac:dyDescent="0.25">
      <c r="J38" t="s">
        <v>464</v>
      </c>
      <c r="K38" t="s">
        <v>465</v>
      </c>
    </row>
    <row r="39" spans="9:11" x14ac:dyDescent="0.25">
      <c r="J39" t="s">
        <v>466</v>
      </c>
      <c r="K39" t="s">
        <v>467</v>
      </c>
    </row>
    <row r="40" spans="9:11" x14ac:dyDescent="0.25">
      <c r="J40" t="s">
        <v>468</v>
      </c>
      <c r="K40" t="s">
        <v>469</v>
      </c>
    </row>
    <row r="41" spans="9:11" x14ac:dyDescent="0.25">
      <c r="J41" t="s">
        <v>474</v>
      </c>
      <c r="K41" t="s">
        <v>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I11"/>
  <sheetViews>
    <sheetView topLeftCell="R4" workbookViewId="0">
      <selection activeCell="AO11" sqref="AO11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6" width="12.7109375" customWidth="1"/>
    <col min="37" max="44" width="14.140625" customWidth="1"/>
    <col min="45" max="46" width="16" customWidth="1"/>
    <col min="47" max="60" width="12.7109375" customWidth="1"/>
  </cols>
  <sheetData>
    <row r="3" spans="1:61" x14ac:dyDescent="0.25">
      <c r="D3" s="238" t="s">
        <v>319</v>
      </c>
      <c r="E3" s="238"/>
      <c r="F3" s="238"/>
    </row>
    <row r="4" spans="1:61" x14ac:dyDescent="0.25">
      <c r="D4" s="79" t="s">
        <v>320</v>
      </c>
      <c r="E4" s="80"/>
      <c r="F4" s="83" t="s">
        <v>37</v>
      </c>
    </row>
    <row r="7" spans="1:61" x14ac:dyDescent="0.25">
      <c r="A7">
        <f>COLUMN(A7)-1</f>
        <v>0</v>
      </c>
      <c r="B7">
        <f t="shared" ref="B7:BI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K7">
        <f t="shared" si="0"/>
        <v>36</v>
      </c>
      <c r="AO7">
        <f t="shared" si="0"/>
        <v>40</v>
      </c>
      <c r="AP7">
        <f t="shared" si="0"/>
        <v>41</v>
      </c>
      <c r="AQ7">
        <f t="shared" si="0"/>
        <v>42</v>
      </c>
      <c r="AR7">
        <f t="shared" si="0"/>
        <v>43</v>
      </c>
      <c r="AS7">
        <f t="shared" si="0"/>
        <v>44</v>
      </c>
      <c r="AT7">
        <f t="shared" si="0"/>
        <v>45</v>
      </c>
      <c r="AU7">
        <f t="shared" si="0"/>
        <v>46</v>
      </c>
      <c r="AV7">
        <f t="shared" si="0"/>
        <v>47</v>
      </c>
      <c r="AW7" s="97">
        <f t="shared" si="0"/>
        <v>48</v>
      </c>
      <c r="AX7" s="97">
        <f t="shared" si="0"/>
        <v>49</v>
      </c>
      <c r="AY7" s="97">
        <f t="shared" si="0"/>
        <v>50</v>
      </c>
      <c r="AZ7" s="9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I7">
        <f t="shared" si="0"/>
        <v>60</v>
      </c>
    </row>
    <row r="8" spans="1:61" ht="135" x14ac:dyDescent="0.25">
      <c r="B8" s="88"/>
      <c r="C8" s="237" t="s">
        <v>1</v>
      </c>
      <c r="D8" s="237"/>
      <c r="E8" s="237"/>
      <c r="F8" s="238" t="s">
        <v>326</v>
      </c>
      <c r="G8" s="238"/>
      <c r="H8" s="238"/>
      <c r="I8" s="237" t="s">
        <v>168</v>
      </c>
      <c r="J8" s="237"/>
      <c r="K8" s="237"/>
      <c r="L8" s="237" t="s">
        <v>181</v>
      </c>
      <c r="M8" s="237"/>
      <c r="N8" s="237"/>
      <c r="O8" s="237" t="s">
        <v>7</v>
      </c>
      <c r="P8" s="237"/>
      <c r="Q8" s="237"/>
      <c r="R8" s="237" t="s">
        <v>182</v>
      </c>
      <c r="S8" s="237"/>
      <c r="T8" s="237"/>
      <c r="U8" s="237" t="s">
        <v>169</v>
      </c>
      <c r="V8" s="237"/>
      <c r="W8" s="237"/>
      <c r="X8" s="237" t="s">
        <v>184</v>
      </c>
      <c r="Y8" s="237"/>
      <c r="Z8" s="237"/>
      <c r="AA8" s="237" t="s">
        <v>185</v>
      </c>
      <c r="AB8" s="237"/>
      <c r="AC8" s="237"/>
      <c r="AD8" s="237" t="s">
        <v>3</v>
      </c>
      <c r="AE8" s="237"/>
      <c r="AF8" s="237"/>
      <c r="AG8" s="237" t="s">
        <v>384</v>
      </c>
      <c r="AH8" s="237"/>
      <c r="AI8" s="237"/>
      <c r="AJ8" s="135" t="s">
        <v>423</v>
      </c>
      <c r="AK8" s="100" t="s">
        <v>328</v>
      </c>
      <c r="AL8" s="100" t="s">
        <v>479</v>
      </c>
      <c r="AM8" s="100" t="s">
        <v>480</v>
      </c>
      <c r="AN8" s="100" t="s">
        <v>481</v>
      </c>
      <c r="AO8" s="108" t="s">
        <v>389</v>
      </c>
      <c r="AP8" s="108" t="s">
        <v>390</v>
      </c>
      <c r="AQ8" s="108" t="s">
        <v>391</v>
      </c>
      <c r="AR8" s="111" t="s">
        <v>392</v>
      </c>
      <c r="AS8" s="100" t="s">
        <v>329</v>
      </c>
      <c r="AT8" s="100" t="s">
        <v>330</v>
      </c>
      <c r="AU8" s="98" t="s">
        <v>188</v>
      </c>
      <c r="AV8" s="99" t="s">
        <v>320</v>
      </c>
      <c r="AW8" s="121" t="s">
        <v>398</v>
      </c>
      <c r="AX8" s="121" t="s">
        <v>399</v>
      </c>
      <c r="AY8" s="111" t="s">
        <v>396</v>
      </c>
      <c r="AZ8" s="120" t="s">
        <v>397</v>
      </c>
      <c r="BA8" s="98" t="s">
        <v>189</v>
      </c>
      <c r="BB8" s="98" t="s">
        <v>190</v>
      </c>
      <c r="BC8" s="98" t="s">
        <v>191</v>
      </c>
      <c r="BD8" s="98" t="s">
        <v>385</v>
      </c>
      <c r="BE8" s="82"/>
      <c r="BF8" s="82"/>
      <c r="BG8" s="82"/>
      <c r="BH8" s="82"/>
    </row>
    <row r="9" spans="1:61" x14ac:dyDescent="0.25">
      <c r="B9" s="51"/>
      <c r="C9" s="51" t="s">
        <v>167</v>
      </c>
      <c r="D9" s="52" t="s">
        <v>165</v>
      </c>
      <c r="E9" s="114" t="s">
        <v>166</v>
      </c>
      <c r="F9" s="51" t="s">
        <v>167</v>
      </c>
      <c r="G9" s="52" t="s">
        <v>165</v>
      </c>
      <c r="H9" s="53" t="s">
        <v>166</v>
      </c>
      <c r="I9" s="51" t="s">
        <v>167</v>
      </c>
      <c r="J9" s="52" t="s">
        <v>165</v>
      </c>
      <c r="K9" s="114" t="s">
        <v>166</v>
      </c>
      <c r="L9" s="51" t="s">
        <v>167</v>
      </c>
      <c r="M9" s="52" t="s">
        <v>165</v>
      </c>
      <c r="N9" s="114" t="s">
        <v>166</v>
      </c>
      <c r="O9" s="51" t="s">
        <v>167</v>
      </c>
      <c r="P9" s="52" t="s">
        <v>165</v>
      </c>
      <c r="Q9" s="53" t="s">
        <v>166</v>
      </c>
      <c r="R9" s="51" t="s">
        <v>167</v>
      </c>
      <c r="S9" s="52" t="s">
        <v>165</v>
      </c>
      <c r="T9" s="114" t="s">
        <v>166</v>
      </c>
      <c r="U9" s="51" t="s">
        <v>167</v>
      </c>
      <c r="V9" s="52" t="s">
        <v>165</v>
      </c>
      <c r="W9" s="53" t="s">
        <v>166</v>
      </c>
      <c r="X9" s="51" t="s">
        <v>167</v>
      </c>
      <c r="Y9" s="52" t="s">
        <v>165</v>
      </c>
      <c r="Z9" s="53" t="s">
        <v>166</v>
      </c>
      <c r="AA9" s="51" t="s">
        <v>167</v>
      </c>
      <c r="AB9" s="52" t="s">
        <v>165</v>
      </c>
      <c r="AC9" s="53" t="s">
        <v>166</v>
      </c>
      <c r="AD9" s="51" t="s">
        <v>167</v>
      </c>
      <c r="AE9" s="52" t="s">
        <v>165</v>
      </c>
      <c r="AF9" s="53" t="s">
        <v>166</v>
      </c>
      <c r="AG9" s="51" t="s">
        <v>167</v>
      </c>
      <c r="AH9" s="52" t="s">
        <v>165</v>
      </c>
      <c r="AI9" s="114" t="s">
        <v>166</v>
      </c>
      <c r="AJ9" s="52" t="s">
        <v>165</v>
      </c>
      <c r="AK9" s="84"/>
      <c r="AL9" s="84"/>
      <c r="AM9" s="84"/>
      <c r="AN9" s="84"/>
      <c r="AO9" s="109"/>
      <c r="AP9" s="109"/>
      <c r="AQ9" s="109"/>
      <c r="AR9" s="109"/>
      <c r="AS9" s="84"/>
      <c r="AT9" s="84"/>
      <c r="AU9" s="55"/>
      <c r="AV9" s="81"/>
      <c r="AW9" s="96"/>
      <c r="AX9" s="96"/>
      <c r="AY9" s="109"/>
      <c r="AZ9" s="109"/>
      <c r="BA9" s="55"/>
      <c r="BB9" s="55"/>
      <c r="BC9" s="55"/>
      <c r="BD9" s="55"/>
      <c r="BE9" s="82"/>
      <c r="BF9" s="82"/>
      <c r="BG9" s="82"/>
      <c r="BH9" s="82"/>
    </row>
    <row r="10" spans="1:61" x14ac:dyDescent="0.25">
      <c r="B10" s="51" t="s">
        <v>2</v>
      </c>
      <c r="C10" s="51"/>
      <c r="D10" s="52"/>
      <c r="E10" s="114"/>
      <c r="F10" s="51"/>
      <c r="G10" s="52"/>
      <c r="H10" s="53"/>
      <c r="I10" s="51"/>
      <c r="J10" s="52"/>
      <c r="K10" s="114"/>
      <c r="L10" s="51"/>
      <c r="M10" s="52"/>
      <c r="N10" s="114"/>
      <c r="O10" s="51"/>
      <c r="P10" s="52"/>
      <c r="Q10" s="53"/>
      <c r="R10" s="51"/>
      <c r="S10" s="52"/>
      <c r="T10" s="114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114"/>
      <c r="AJ10" s="52"/>
      <c r="AK10" s="85"/>
      <c r="AL10" s="85"/>
      <c r="AM10" s="85"/>
      <c r="AN10" s="85"/>
      <c r="AO10" s="110"/>
      <c r="AP10" s="110"/>
      <c r="AQ10" s="110"/>
      <c r="AR10" s="110"/>
      <c r="AS10" s="85"/>
      <c r="AT10" s="85"/>
      <c r="AU10" s="55"/>
      <c r="AV10" s="81"/>
      <c r="AW10" s="96"/>
      <c r="AX10" s="96"/>
      <c r="AY10" s="110"/>
      <c r="AZ10" s="110"/>
      <c r="BA10" s="55"/>
      <c r="BB10" s="55"/>
      <c r="BC10" s="55"/>
      <c r="BD10" s="55"/>
      <c r="BE10" s="82"/>
      <c r="BF10" s="82"/>
      <c r="BG10" s="82"/>
      <c r="BH10" s="82"/>
    </row>
    <row r="11" spans="1:61" x14ac:dyDescent="0.25">
      <c r="B11" s="51" t="s">
        <v>163</v>
      </c>
      <c r="C11" s="54" t="s">
        <v>171</v>
      </c>
      <c r="D11" s="52"/>
      <c r="E11" s="114"/>
      <c r="F11" s="54" t="s">
        <v>323</v>
      </c>
      <c r="G11" s="52"/>
      <c r="H11" s="53"/>
      <c r="I11" s="54" t="s">
        <v>324</v>
      </c>
      <c r="J11" s="52"/>
      <c r="K11" s="114"/>
      <c r="L11" s="54" t="s">
        <v>325</v>
      </c>
      <c r="M11" s="52"/>
      <c r="N11" s="114"/>
      <c r="O11" s="54" t="s">
        <v>170</v>
      </c>
      <c r="P11" s="52"/>
      <c r="Q11" s="53"/>
      <c r="R11" s="54" t="s">
        <v>327</v>
      </c>
      <c r="S11" s="52"/>
      <c r="T11" s="114"/>
      <c r="U11" s="54" t="s">
        <v>172</v>
      </c>
      <c r="V11" s="52"/>
      <c r="W11" s="53"/>
      <c r="X11" s="54" t="s">
        <v>183</v>
      </c>
      <c r="Y11" s="52"/>
      <c r="Z11" s="53"/>
      <c r="AA11" s="54" t="s">
        <v>186</v>
      </c>
      <c r="AB11" s="52"/>
      <c r="AC11" s="53"/>
      <c r="AD11" s="54" t="s">
        <v>187</v>
      </c>
      <c r="AE11" s="52"/>
      <c r="AF11" s="53"/>
      <c r="AG11" s="54" t="s">
        <v>383</v>
      </c>
      <c r="AH11" s="52"/>
      <c r="AI11" s="114"/>
      <c r="AJ11" s="52" t="s">
        <v>424</v>
      </c>
      <c r="AK11" s="84" t="str">
        <f>J11&amp;"-"&amp;M11&amp;"-"&amp;S11</f>
        <v>--</v>
      </c>
      <c r="AL11" s="84">
        <f>IF(S11="XPS",1,0)</f>
        <v>0</v>
      </c>
      <c r="AM11" s="84">
        <f>IF(S11="XT",1,0)</f>
        <v>0</v>
      </c>
      <c r="AN11" s="84">
        <f>IF(S11="Вкл",1,0)</f>
        <v>0</v>
      </c>
      <c r="AO11" s="109">
        <f>IFERROR(IF(SUM(AL11:AN11)&gt;0,0,IF(INDEX($AH$11:AH11,MATCH(J11,$D$11:D11,0))="True",1,0)),-1)</f>
        <v>-1</v>
      </c>
      <c r="AP11" s="109" t="str">
        <f>IF(AO11=-1,IF(SUM(AL11:AN11)&gt;0,INDEX($AP$11:AP11,COUNT($AU$11:AU11)-1),"-1"),IF(AO11=1,J11,INDEX($AP$11:AP11,COUNT($AU$11:AU11)-1)))</f>
        <v>-1</v>
      </c>
      <c r="AQ11" s="109">
        <f>IF(AO11=-1,-1,IF(AO11=1,M11,INDEX($AQ$11:AQ11,COUNT($AU$11:AU11)-1)))</f>
        <v>-1</v>
      </c>
      <c r="AR11" s="109" t="str">
        <f>IF(AP11="-1","-1",IF(AP11&lt;&gt;J11,1,0))</f>
        <v>-1</v>
      </c>
      <c r="AS11" s="84">
        <f>IF(COUNT($AU$11:AU11)=MATCH(AK11,$AK$11:AK11,0),1,0)</f>
        <v>1</v>
      </c>
      <c r="AT11" s="84">
        <f>SUMIFS($AU$11:$AU$700000,$AK$11:$AK$700000,AK11)</f>
        <v>1</v>
      </c>
      <c r="AU11" s="55">
        <v>1</v>
      </c>
      <c r="AV11" s="81" t="str">
        <f>$F$4</f>
        <v>-</v>
      </c>
      <c r="AW11" s="96">
        <f>IF(AV11=AP11,IF(AS11=1,IF(SUM(AL11:AN11)&gt;0,0,1),0),0)</f>
        <v>0</v>
      </c>
      <c r="AX11" s="96">
        <f>IF(AV11=D11,1,0)</f>
        <v>0</v>
      </c>
      <c r="AY11" s="109">
        <f>SUMIF(J11:$J$700000,D11,AU11:$AU$700000)</f>
        <v>0</v>
      </c>
      <c r="AZ11" s="109" t="str">
        <f>IF(AO11=-1,"0",1+INDEX($AZ$11:$AZ$700000,MATCH(J11,$D$11:$D$700000,0)))</f>
        <v>0</v>
      </c>
      <c r="BA11" s="55">
        <f>SUMIFS($AU$11:$AU$700000,$S$11:$S$700000,S11,$M$11:$M$700000,M11)</f>
        <v>0</v>
      </c>
      <c r="BB11" s="55">
        <f>IF(SUMIFS($AU$11:AU11,$S$11:S11,S11,$M$11:M11,M11)=1,1,0)</f>
        <v>0</v>
      </c>
      <c r="BC11" s="55">
        <f>IF(BB11=1,1,0)</f>
        <v>0</v>
      </c>
      <c r="BD11" s="55">
        <f>M11</f>
        <v>0</v>
      </c>
      <c r="BE11" s="82"/>
      <c r="BF11" s="82"/>
      <c r="BG11" s="82"/>
      <c r="BH11" s="82"/>
      <c r="BI11" t="s">
        <v>164</v>
      </c>
    </row>
  </sheetData>
  <mergeCells count="12"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&lt;zallcab&gt;EXPORT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2024-09-25T08:57:13Z</dcterms:modified>
</cp:coreProperties>
</file>