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preload\xlsxtemplates\modelinxlsx\"/>
    </mc:Choice>
  </mc:AlternateContent>
  <xr:revisionPtr revIDLastSave="0" documentId="13_ncr:1_{6B34A3ED-BA14-4CA4-B620-C6C2E5A617C5}" xr6:coauthVersionLast="45" xr6:coauthVersionMax="45" xr10:uidLastSave="{00000000-0000-0000-0000-000000000000}"/>
  <bookViews>
    <workbookView xWindow="12240" yWindow="2220" windowWidth="34245" windowHeight="18720" firstSheet="9" activeTab="16" xr2:uid="{456AB35E-0355-4F16-B1D8-5CF582B696FE}"/>
  </bookViews>
  <sheets>
    <sheet name="BD" sheetId="4" r:id="rId1"/>
    <sheet name="BDКаб" sheetId="13" r:id="rId2"/>
    <sheet name="BDKc" sheetId="12" r:id="rId3"/>
    <sheet name="BDUGO" sheetId="27" r:id="rId4"/>
    <sheet name="BDzallcab" sheetId="26" r:id="rId5"/>
    <sheet name="&lt;workbook&gt;SET" sheetId="7" r:id="rId6"/>
    <sheet name="&lt;zalldev&gt;SET" sheetId="15" r:id="rId7"/>
    <sheet name="&lt;zalldev&gt;EXPORT" sheetId="11" r:id="rId8"/>
    <sheet name="&lt;zalldev&gt;TEMPLATEKZ" sheetId="17" r:id="rId9"/>
    <sheet name="&lt;zallcab&gt;SET" sheetId="23" r:id="rId10"/>
    <sheet name="&lt;zallcab&gt;EXPORT" sheetId="14" r:id="rId11"/>
    <sheet name="&lt;zallcab&gt;CALC" sheetId="24" r:id="rId12"/>
    <sheet name="&lt;zallcab&gt;CabZhurnal" sheetId="25" r:id="rId13"/>
    <sheet name="&lt;zlight&gt;SET" sheetId="18" r:id="rId14"/>
    <sheet name="&lt;zlight&gt;TEMP" sheetId="21" r:id="rId15"/>
    <sheet name="&lt;zlight&gt;TEMPGU" sheetId="22" r:id="rId16"/>
    <sheet name="&lt;zlight&gt;" sheetId="2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8" i="20" l="1"/>
  <c r="Z10" i="20" l="1"/>
  <c r="H5" i="20" l="1"/>
  <c r="FJ28" i="20"/>
  <c r="FI28" i="20"/>
  <c r="EZ28" i="20"/>
  <c r="EY28" i="20"/>
  <c r="ER28" i="20"/>
  <c r="EQ28" i="20"/>
  <c r="EP28" i="20"/>
  <c r="EO28" i="20"/>
  <c r="CY28" i="20"/>
  <c r="CZ27" i="20"/>
  <c r="CY27" i="20"/>
  <c r="CZ26" i="20"/>
  <c r="CY26" i="20"/>
  <c r="DB26" i="20"/>
  <c r="DA26" i="20"/>
  <c r="DB28" i="20"/>
  <c r="DA28" i="20"/>
  <c r="ES28" i="20"/>
  <c r="EN28" i="20"/>
  <c r="DU28" i="20"/>
  <c r="CV28" i="20"/>
  <c r="EK28" i="20"/>
  <c r="EG28" i="20"/>
  <c r="EE28" i="20"/>
  <c r="DO28" i="20"/>
  <c r="CH28" i="20" l="1"/>
  <c r="CJ28" i="20" s="1"/>
  <c r="CG28" i="20"/>
  <c r="CF28" i="20"/>
  <c r="DC24" i="20" l="1"/>
  <c r="N4" i="22" l="1"/>
  <c r="B4" i="22"/>
  <c r="C4" i="22"/>
  <c r="D4" i="22"/>
  <c r="E4" i="22"/>
  <c r="F4" i="22"/>
  <c r="G4" i="22"/>
  <c r="H4" i="22"/>
  <c r="I4" i="22"/>
  <c r="J4" i="22"/>
  <c r="K4" i="22"/>
  <c r="L4" i="22"/>
  <c r="M4" i="22"/>
  <c r="A4" i="22"/>
  <c r="AX5" i="20"/>
  <c r="BB5" i="20"/>
  <c r="BC5" i="20" s="1"/>
  <c r="J6" i="22"/>
  <c r="G6" i="22"/>
  <c r="AY5" i="20" s="1"/>
  <c r="H6" i="22"/>
  <c r="AZ5" i="20" s="1"/>
  <c r="F6" i="22"/>
  <c r="AV11" i="11"/>
  <c r="AU11" i="11"/>
  <c r="AU7" i="11"/>
  <c r="AV7" i="11"/>
  <c r="AW7" i="11"/>
  <c r="V16" i="20" l="1"/>
  <c r="CE28" i="20" s="1"/>
  <c r="CB24" i="20" l="1"/>
  <c r="CC24" i="20"/>
  <c r="CD24" i="20"/>
  <c r="AO7" i="11"/>
  <c r="AL11" i="11"/>
  <c r="AL7" i="11"/>
  <c r="AM7" i="11"/>
  <c r="AN7" i="11"/>
  <c r="BA11" i="11"/>
  <c r="AG7" i="11"/>
  <c r="AH7" i="11"/>
  <c r="AI7" i="11"/>
  <c r="AN11" i="11" l="1"/>
  <c r="CA28" i="20" s="1"/>
  <c r="AW11" i="11"/>
  <c r="AM11" i="11"/>
  <c r="CI28" i="20" l="1"/>
  <c r="I6" i="22"/>
  <c r="BA5" i="20" s="1"/>
  <c r="CB28" i="20"/>
  <c r="AT11" i="11"/>
  <c r="AO11" i="11"/>
  <c r="CD28" i="20" s="1"/>
  <c r="AO28" i="20" s="1"/>
  <c r="X7" i="24"/>
  <c r="F5" i="25"/>
  <c r="D28" i="20" l="1"/>
  <c r="AK28" i="20"/>
  <c r="AJ28" i="20"/>
  <c r="AL28" i="20"/>
  <c r="M28" i="20"/>
  <c r="K28" i="20"/>
  <c r="L28" i="20"/>
  <c r="N7" i="24"/>
  <c r="K7" i="24"/>
  <c r="C2" i="14" l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B4" i="24" l="1"/>
  <c r="C4" i="24" s="1"/>
  <c r="D4" i="24" s="1"/>
  <c r="E4" i="24" s="1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Q4" i="24" s="1"/>
  <c r="R4" i="24" s="1"/>
  <c r="S4" i="24" s="1"/>
  <c r="T4" i="24" s="1"/>
  <c r="U4" i="24" s="1"/>
  <c r="V4" i="24" s="1"/>
  <c r="W4" i="24" s="1"/>
  <c r="X4" i="24" s="1"/>
  <c r="B2" i="14"/>
  <c r="Q7" i="24" l="1"/>
  <c r="H7" i="24"/>
  <c r="G7" i="24"/>
  <c r="J7" i="24" s="1"/>
  <c r="F7" i="24"/>
  <c r="E7" i="24"/>
  <c r="D7" i="24"/>
  <c r="M7" i="24" s="1"/>
  <c r="C7" i="24"/>
  <c r="V7" i="24" l="1"/>
  <c r="P7" i="24"/>
  <c r="W7" i="24" s="1"/>
  <c r="H5" i="25" s="1"/>
  <c r="R7" i="24"/>
  <c r="L7" i="24"/>
  <c r="O7" i="24" s="1"/>
  <c r="U7" i="24" l="1"/>
  <c r="E5" i="25" s="1"/>
  <c r="S7" i="24"/>
  <c r="C5" i="25" s="1"/>
  <c r="T7" i="24"/>
  <c r="D5" i="25" s="1"/>
  <c r="AB28" i="20" l="1"/>
  <c r="Q28" i="20" l="1"/>
  <c r="X28" i="20"/>
  <c r="B7" i="11" l="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K7" i="11"/>
  <c r="AP7" i="11"/>
  <c r="AQ7" i="11"/>
  <c r="AR7" i="11"/>
  <c r="AS7" i="11"/>
  <c r="AT7" i="11"/>
  <c r="AX7" i="11"/>
  <c r="AY7" i="11"/>
  <c r="AZ7" i="11"/>
  <c r="BF7" i="11"/>
  <c r="A7" i="11"/>
  <c r="AK11" i="11"/>
  <c r="AP11" i="11" l="1"/>
  <c r="AQ11" i="11"/>
  <c r="Y28" i="20" s="1"/>
  <c r="D1" i="20"/>
  <c r="E6" i="22"/>
  <c r="AW5" i="20" s="1"/>
  <c r="D6" i="22"/>
  <c r="AV5" i="20" s="1"/>
  <c r="FN24" i="20"/>
  <c r="FO24" i="20"/>
  <c r="FP24" i="20"/>
  <c r="FQ24" i="20"/>
  <c r="FR24" i="20"/>
  <c r="FS24" i="20"/>
  <c r="FT24" i="20"/>
  <c r="FU24" i="20"/>
  <c r="FV24" i="20"/>
  <c r="FW24" i="20"/>
  <c r="FX24" i="20"/>
  <c r="FY24" i="20"/>
  <c r="FZ24" i="20"/>
  <c r="GA24" i="20"/>
  <c r="GB24" i="20"/>
  <c r="FE24" i="20" l="1"/>
  <c r="FF24" i="20"/>
  <c r="FG24" i="20"/>
  <c r="FH24" i="20"/>
  <c r="FI24" i="20"/>
  <c r="FJ24" i="20"/>
  <c r="FL24" i="20"/>
  <c r="FM24" i="20"/>
  <c r="B24" i="20"/>
  <c r="C24" i="20"/>
  <c r="D24" i="20"/>
  <c r="E24" i="20"/>
  <c r="F24" i="20"/>
  <c r="G24" i="20"/>
  <c r="H24" i="20"/>
  <c r="I24" i="20"/>
  <c r="K24" i="20"/>
  <c r="L24" i="20"/>
  <c r="M24" i="20"/>
  <c r="N24" i="20"/>
  <c r="O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E24" i="20"/>
  <c r="AH24" i="20"/>
  <c r="AI24" i="20"/>
  <c r="AM24" i="20"/>
  <c r="AN24" i="20"/>
  <c r="AO24" i="20"/>
  <c r="AP24" i="20"/>
  <c r="AQ24" i="20"/>
  <c r="AR24" i="20"/>
  <c r="AS24" i="20"/>
  <c r="AT24" i="20"/>
  <c r="AU24" i="20"/>
  <c r="AV24" i="20"/>
  <c r="AW24" i="20"/>
  <c r="AX24" i="20"/>
  <c r="AY24" i="20"/>
  <c r="AZ24" i="20"/>
  <c r="BA24" i="20"/>
  <c r="BB24" i="20"/>
  <c r="BC24" i="20"/>
  <c r="BD24" i="20"/>
  <c r="BE24" i="20"/>
  <c r="BF24" i="20"/>
  <c r="BG24" i="20"/>
  <c r="BH24" i="20"/>
  <c r="BI24" i="20"/>
  <c r="BJ24" i="20"/>
  <c r="BK24" i="20"/>
  <c r="BL24" i="20"/>
  <c r="BM24" i="20"/>
  <c r="BN24" i="20"/>
  <c r="BO24" i="20"/>
  <c r="BP24" i="20"/>
  <c r="BQ24" i="20"/>
  <c r="BR24" i="20"/>
  <c r="BS24" i="20"/>
  <c r="BT24" i="20"/>
  <c r="BU24" i="20"/>
  <c r="BV24" i="20"/>
  <c r="BW24" i="20"/>
  <c r="BX24" i="20"/>
  <c r="BY24" i="20"/>
  <c r="BZ24" i="20"/>
  <c r="CA24" i="20"/>
  <c r="CI24" i="20"/>
  <c r="CK24" i="20"/>
  <c r="CL24" i="20"/>
  <c r="CM24" i="20"/>
  <c r="CN24" i="20"/>
  <c r="CO24" i="20"/>
  <c r="CP24" i="20"/>
  <c r="CQ24" i="20"/>
  <c r="CR24" i="20"/>
  <c r="CS24" i="20"/>
  <c r="CT24" i="20"/>
  <c r="CU24" i="20"/>
  <c r="CV24" i="20"/>
  <c r="CW24" i="20"/>
  <c r="CX24" i="20"/>
  <c r="CY24" i="20"/>
  <c r="CZ24" i="20"/>
  <c r="DA24" i="20"/>
  <c r="DB24" i="20"/>
  <c r="DD24" i="20"/>
  <c r="DE24" i="20"/>
  <c r="DF24" i="20"/>
  <c r="DG24" i="20"/>
  <c r="DH24" i="20"/>
  <c r="DI24" i="20"/>
  <c r="DJ24" i="20"/>
  <c r="DK24" i="20"/>
  <c r="DL24" i="20"/>
  <c r="DM24" i="20"/>
  <c r="DN24" i="20"/>
  <c r="DO24" i="20"/>
  <c r="DP24" i="20"/>
  <c r="DQ24" i="20"/>
  <c r="DR24" i="20"/>
  <c r="DS24" i="20"/>
  <c r="DT24" i="20"/>
  <c r="DU24" i="20"/>
  <c r="DV24" i="20"/>
  <c r="DW24" i="20"/>
  <c r="DX24" i="20"/>
  <c r="DY24" i="20"/>
  <c r="DZ24" i="20"/>
  <c r="EA24" i="20"/>
  <c r="EB24" i="20"/>
  <c r="EC24" i="20"/>
  <c r="ED24" i="20"/>
  <c r="EE24" i="20"/>
  <c r="EF24" i="20"/>
  <c r="EG24" i="20"/>
  <c r="EH24" i="20"/>
  <c r="EI24" i="20"/>
  <c r="EJ24" i="20"/>
  <c r="EK24" i="20"/>
  <c r="EL24" i="20"/>
  <c r="EU24" i="20"/>
  <c r="EV24" i="20"/>
  <c r="EW24" i="20"/>
  <c r="EX24" i="20"/>
  <c r="EY24" i="20"/>
  <c r="EZ24" i="20"/>
  <c r="FB24" i="20"/>
  <c r="FC24" i="20"/>
  <c r="FD24" i="20"/>
  <c r="A24" i="20"/>
  <c r="B1" i="18" l="1"/>
  <c r="AS11" i="11" l="1"/>
  <c r="AQ28" i="20" l="1"/>
  <c r="AW28" i="20"/>
  <c r="DG26" i="20"/>
  <c r="DK26" i="20"/>
  <c r="DO26" i="20"/>
  <c r="CK28" i="20"/>
  <c r="CR28" i="20"/>
  <c r="DK28" i="20"/>
  <c r="EJ28" i="20"/>
  <c r="H14" i="20" l="1"/>
  <c r="DE26" i="20"/>
  <c r="H1" i="20"/>
  <c r="G1" i="20"/>
  <c r="F1" i="20"/>
  <c r="CC28" i="20"/>
  <c r="U28" i="20" l="1"/>
  <c r="S28" i="20"/>
  <c r="DE28" i="20" s="1"/>
  <c r="R28" i="20"/>
  <c r="EA28" i="20" s="1"/>
  <c r="CU28" i="20"/>
  <c r="AM28" i="20"/>
  <c r="E28" i="20"/>
  <c r="G28" i="20"/>
  <c r="T28" i="20"/>
  <c r="F28" i="20"/>
  <c r="CL28" i="20" s="1"/>
  <c r="CM28" i="20" s="1"/>
  <c r="AD28" i="20" l="1"/>
  <c r="V5" i="20" s="1"/>
  <c r="DW28" i="20"/>
  <c r="V28" i="20"/>
  <c r="DY28" i="20" s="1"/>
  <c r="W28" i="20"/>
  <c r="AN28" i="20"/>
  <c r="AR28" i="20"/>
  <c r="AS28" i="20"/>
  <c r="AT28" i="20"/>
  <c r="AU28" i="20"/>
  <c r="EC28" i="20"/>
  <c r="BU28" i="20"/>
  <c r="BW28" i="20"/>
  <c r="BV28" i="20"/>
  <c r="BC28" i="20"/>
  <c r="BP28" i="20" s="1"/>
  <c r="BN28" i="20"/>
  <c r="BO28" i="20"/>
  <c r="BD28" i="20"/>
  <c r="BK28" i="20" l="1"/>
  <c r="BG28" i="20"/>
  <c r="BH28" i="20"/>
  <c r="B4" i="21" l="1"/>
  <c r="B1" i="21"/>
  <c r="AY11" i="11" l="1"/>
  <c r="AZ11" i="11" s="1"/>
  <c r="AX11" i="11"/>
  <c r="B2" i="17" l="1"/>
  <c r="B2" i="15" l="1"/>
  <c r="AD5" i="4" l="1"/>
  <c r="AC5" i="4"/>
  <c r="AB5" i="4"/>
  <c r="AN5" i="4"/>
  <c r="AM5" i="4"/>
  <c r="AL5" i="4"/>
  <c r="R5" i="4" l="1"/>
  <c r="S5" i="4"/>
  <c r="T5" i="4"/>
  <c r="U5" i="4"/>
  <c r="L5" i="4" l="1"/>
  <c r="M5" i="4"/>
  <c r="N5" i="4"/>
  <c r="O5" i="4"/>
  <c r="P5" i="4"/>
  <c r="Q5" i="4"/>
  <c r="V5" i="4"/>
  <c r="W5" i="4"/>
  <c r="X5" i="4"/>
  <c r="Y5" i="4"/>
  <c r="Z5" i="4"/>
  <c r="AA5" i="4"/>
  <c r="AE5" i="4"/>
  <c r="AF5" i="4"/>
  <c r="AG5" i="4"/>
  <c r="AH5" i="4"/>
  <c r="AI5" i="4"/>
  <c r="AJ5" i="4"/>
  <c r="AK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G6" i="4" l="1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K5" i="4" l="1"/>
  <c r="R12" i="13" l="1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C5" i="4" l="1"/>
  <c r="C4" i="4"/>
  <c r="E9" i="12"/>
  <c r="E7" i="12"/>
  <c r="E5" i="12"/>
  <c r="E3" i="12"/>
  <c r="CO28" i="20"/>
  <c r="DQ28" i="20" s="1"/>
  <c r="CP28" i="20"/>
  <c r="CQ28" i="20" s="1"/>
  <c r="CS28" i="20"/>
  <c r="CT28" i="20" l="1"/>
  <c r="CN28" i="20"/>
  <c r="AG28" i="20"/>
  <c r="AH28" i="20" l="1"/>
  <c r="AF28" i="20"/>
  <c r="AE28" i="20" s="1"/>
  <c r="BT28" i="20"/>
  <c r="BY28" i="20" s="1"/>
  <c r="J28" i="20" l="1"/>
  <c r="AX28" i="20"/>
  <c r="DI26" i="20"/>
  <c r="BZ28" i="20"/>
  <c r="BE28" i="20"/>
  <c r="BF28" i="20" s="1"/>
  <c r="BI28" i="20" s="1"/>
  <c r="BA28" i="20"/>
  <c r="BJ28" i="20"/>
  <c r="BX28" i="20"/>
  <c r="BB28" i="20"/>
  <c r="BR28" i="20"/>
  <c r="BQ28" i="20"/>
  <c r="FM28" i="20" l="1"/>
  <c r="BM28" i="20"/>
  <c r="BS28" i="20" s="1"/>
  <c r="FC28" i="20" s="1"/>
  <c r="V6" i="20"/>
  <c r="V15" i="20" s="1"/>
  <c r="AV28" i="20"/>
  <c r="I28" i="20"/>
  <c r="FE28" i="20" s="1"/>
  <c r="FH28" i="20" s="1"/>
  <c r="AI28" i="20"/>
  <c r="FG28" i="20" l="1"/>
  <c r="DM26" i="20"/>
  <c r="DQ26" i="20"/>
  <c r="V7" i="20"/>
  <c r="E1" i="20"/>
  <c r="AP28" i="20"/>
  <c r="H28" i="20"/>
  <c r="EU28" i="20" s="1"/>
  <c r="FF28" i="20"/>
  <c r="FN28" i="20"/>
  <c r="EI28" i="20" l="1"/>
  <c r="N28" i="20"/>
  <c r="EW28" i="20"/>
  <c r="EX28" i="20"/>
  <c r="DG28" i="20"/>
  <c r="DI28" i="20" s="1"/>
  <c r="DM28" i="20" l="1"/>
  <c r="DS28" i="20"/>
  <c r="FD28" i="20"/>
  <c r="EV2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/>
    <author>SNARK</author>
  </authors>
  <commentList>
    <comment ref="D1" authorId="0" shapeId="0" xr:uid="{B002D708-261A-46F1-855E-CD858E43F7A9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0343C2E9-4DA9-4C1E-BCEB-24B3A4C7323F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72BDE010-372B-41C6-838A-E3B8AE6E0940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C027A75B-F683-47BA-89DC-FCA38E490013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2F1CD3CE-AEC0-4812-8F1C-24B6358B535E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E26" authorId="0" shapeId="0" xr:uid="{B401FA04-A795-46D4-8763-84CF0A906686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6" authorId="0" shapeId="0" xr:uid="{4074DB5B-64A7-4F5B-882D-5A34B6DB8EDE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6" authorId="0" shapeId="0" xr:uid="{03FFD99F-C905-42BA-87A4-2CA1634FC2FA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6" authorId="0" shapeId="0" xr:uid="{11CFE061-86EE-4701-8F3A-743D05CA9B46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6" authorId="0" shapeId="0" xr:uid="{D99C9A81-29E1-495F-91F0-AC38AC34A854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K26" authorId="1" shapeId="0" xr:uid="{37392862-89E1-44B7-9CBD-B3DC7D6997B2}">
      <text>
        <r>
          <rPr>
            <sz val="9"/>
            <color rgb="FF000000"/>
            <rFont val="Arial"/>
            <charset val="1"/>
          </rPr>
          <t>Имя или позиция устройства</t>
        </r>
      </text>
    </comment>
    <comment ref="Q27" authorId="0" shapeId="0" xr:uid="{1292265B-DE71-48A5-86CE-AA13798E1C7A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T27" authorId="0" shapeId="0" xr:uid="{918E955D-57D1-4F96-B04B-3F4534753A5B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X27" authorId="0" shapeId="0" xr:uid="{F3BE14A9-D47F-4466-AE34-7B36617DA817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Y27" authorId="0" shapeId="0" xr:uid="{457C414C-2F0C-43F1-B51D-B08C6B507AA6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Z27" authorId="0" shapeId="0" xr:uid="{1620A121-CF3A-429A-8549-362904C031BD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AA27" authorId="0" shapeId="0" xr:uid="{420CECB1-4FEA-4A95-B35B-C8B4A7F91C8E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AB27" authorId="2" shapeId="0" xr:uid="{F374FA2A-E6E1-488F-97B5-2608581BB697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C27" authorId="0" shapeId="0" xr:uid="{D2A0D3CC-286C-42C4-A68B-F066A863CB8A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M27" authorId="0" shapeId="0" xr:uid="{825A68CB-9CE5-4EF4-90F6-5701746346BC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R27" authorId="0" shapeId="0" xr:uid="{2090420F-571C-4D0F-8669-44233AE0EB9D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S27" authorId="0" shapeId="0" xr:uid="{59364D46-FEAD-4FBA-A7CC-D0D1DAAEAA70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T27" authorId="0" shapeId="0" xr:uid="{03E1B027-710B-4D77-93C1-A92BB534A913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V27" authorId="0" shapeId="0" xr:uid="{F39BFA58-8E74-40A7-B3FE-A15C54A41208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BC27" authorId="0" shapeId="0" xr:uid="{42617EC5-9B5A-426C-B5EC-04AC02124BEF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BD27" authorId="0" shapeId="0" xr:uid="{4D5D5AC1-F4E1-46CC-A860-4D58A7B3B0D8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BF27" authorId="0" shapeId="0" xr:uid="{83C47805-63A7-4CEF-AAD5-9EABC0E7440B}">
      <text>
        <r>
          <rPr>
            <b/>
            <sz val="9"/>
            <color indexed="81"/>
            <rFont val="Tahoma"/>
            <family val="2"/>
            <charset val="204"/>
          </rPr>
          <t>Когда группируются токи</t>
        </r>
      </text>
    </comment>
    <comment ref="BH27" authorId="0" shapeId="0" xr:uid="{56D7776F-1E9D-4BF7-9264-B560352B344A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  <comment ref="CA27" authorId="0" shapeId="0" xr:uid="{A94572D5-C9AC-4CFD-A244-2D099BEEEAC2}">
      <text>
        <r>
          <rPr>
            <b/>
            <sz val="9"/>
            <color indexed="81"/>
            <rFont val="Tahoma"/>
            <family val="2"/>
            <charset val="204"/>
          </rPr>
          <t>Группа в ГУ, для устройств которые имеют свои группы но не вынесены на отдельный лист</t>
        </r>
      </text>
    </comment>
    <comment ref="CB27" authorId="0" shapeId="0" xr:uid="{69ECEA8B-05BE-464E-9B74-BA45CBFC6AB3}">
      <text>
        <r>
          <rPr>
            <b/>
            <sz val="9"/>
            <color indexed="81"/>
            <rFont val="Tahoma"/>
            <family val="2"/>
            <charset val="204"/>
          </rPr>
          <t>Используется для определения текучщей строки и получения предыдущего значения строки.</t>
        </r>
      </text>
    </comment>
    <comment ref="CC27" authorId="0" shapeId="0" xr:uid="{3863E70B-D5F9-455C-B6C9-2E603AF06E69}">
      <text>
        <r>
          <rPr>
            <b/>
            <sz val="9"/>
            <color indexed="81"/>
            <rFont val="Tahoma"/>
            <charset val="1"/>
          </rPr>
          <t xml:space="preserve">Если ошибка значит это не ГУ.
Если ошибки нет, значит существует ГУ с таким именем и данные будут браться от туда
</t>
        </r>
      </text>
    </comment>
    <comment ref="CD27" authorId="0" shapeId="0" xr:uid="{D9BF2E25-38AA-4177-B50C-259BC4C29CCB}">
      <text>
        <r>
          <rPr>
            <b/>
            <sz val="9"/>
            <color indexed="81"/>
            <rFont val="Tahoma"/>
            <charset val="1"/>
          </rPr>
          <t>Данная группа относится к щитам управления входящим в ГУ. 1 относится, 0 нет</t>
        </r>
      </text>
    </comment>
    <comment ref="CI27" authorId="0" shapeId="0" xr:uid="{51FA7479-4FEB-4C4D-A17F-0159DB3FAC17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неподключен то указывается номер истинной групы.
Если подключен то 0
</t>
        </r>
      </text>
    </comment>
    <comment ref="CJ27" authorId="0" shapeId="0" xr:uid="{0D8FF019-79EE-4433-A2EA-B3FDE0D496AE}">
      <text>
        <r>
          <rPr>
            <b/>
            <sz val="9"/>
            <color indexed="81"/>
            <rFont val="Tahoma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CV27" authorId="0" shapeId="0" xr:uid="{283AE732-E604-4415-8076-F2A8F5499270}">
      <text>
        <r>
          <rPr>
            <b/>
            <sz val="9"/>
            <color indexed="81"/>
            <rFont val="Tahoma"/>
            <charset val="1"/>
          </rPr>
          <t>Если 1 значит этот столбец смещено на количество едениц</t>
        </r>
      </text>
    </comment>
  </commentList>
</comments>
</file>

<file path=xl/sharedStrings.xml><?xml version="1.0" encoding="utf-8"?>
<sst xmlns="http://schemas.openxmlformats.org/spreadsheetml/2006/main" count="883" uniqueCount="464">
  <si>
    <t>&lt;zlight&gt;</t>
  </si>
  <si>
    <t>Имя устройства</t>
  </si>
  <si>
    <t>системная строка и колонка</t>
  </si>
  <si>
    <t>Фаза</t>
  </si>
  <si>
    <t>Напряжение к расчетам</t>
  </si>
  <si>
    <t>_AC_380V_50Hz</t>
  </si>
  <si>
    <t>_AC_220V_50Hz</t>
  </si>
  <si>
    <t>Реальное имя</t>
  </si>
  <si>
    <t>suffix</t>
  </si>
  <si>
    <t>hide</t>
  </si>
  <si>
    <t>&lt;zmain&gt;</t>
  </si>
  <si>
    <t>&lt;workbook&gt;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</si>
  <si>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</si>
  <si>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</si>
  <si>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</si>
  <si>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</si>
  <si>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</si>
  <si>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</si>
  <si>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</si>
  <si>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</si>
  <si>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</si>
  <si>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</si>
  <si>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</si>
  <si>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_ABC</t>
  </si>
  <si>
    <t>_A</t>
  </si>
  <si>
    <t>_B</t>
  </si>
  <si>
    <t>_C</t>
  </si>
  <si>
    <t>ABC</t>
  </si>
  <si>
    <t>A</t>
  </si>
  <si>
    <t>B</t>
  </si>
  <si>
    <t>C</t>
  </si>
  <si>
    <t>табл.7.1п.1.1</t>
  </si>
  <si>
    <t>табл.7.1п.1.2</t>
  </si>
  <si>
    <t>табл.7.1п.1.3</t>
  </si>
  <si>
    <t>табл.7.1п.2</t>
  </si>
  <si>
    <t>Сечение, мм²</t>
  </si>
  <si>
    <t>Допустимые токовые нагрузки и удельные сопротивления жил для кабелей с изоляцией из ПВХ и полиэтилена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</si>
  <si>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</si>
  <si>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</si>
  <si>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</si>
  <si>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</si>
  <si>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</si>
  <si>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</si>
  <si>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</si>
  <si>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</si>
  <si>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</si>
  <si>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</si>
  <si>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</si>
  <si>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</si>
  <si>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</si>
  <si>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</si>
  <si>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</si>
  <si>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</si>
  <si>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</si>
  <si>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</si>
  <si>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</si>
  <si>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</si>
  <si>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</si>
  <si>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</si>
  <si>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</si>
  <si>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</si>
  <si>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</si>
  <si>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</si>
  <si>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</si>
  <si>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</si>
  <si>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</si>
  <si>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</si>
  <si>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</si>
  <si>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</si>
  <si>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</si>
  <si>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</si>
  <si>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ВА47-60М</t>
  </si>
  <si>
    <t>Рубильник</t>
  </si>
  <si>
    <t>ВН-32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</si>
  <si>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</si>
  <si>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</si>
  <si>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</si>
  <si>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</si>
  <si>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</si>
  <si>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</si>
  <si>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</si>
  <si>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</si>
  <si>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</si>
  <si>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</si>
  <si>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</si>
  <si>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</si>
  <si>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</si>
  <si>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</si>
  <si>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</si>
  <si>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</si>
  <si>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</si>
  <si>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</si>
  <si>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</si>
  <si>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</si>
  <si>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</si>
  <si>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</si>
  <si>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</si>
  <si>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</si>
  <si>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</si>
  <si>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АВО</t>
  </si>
  <si>
    <t>АВМ</t>
  </si>
  <si>
    <t>АВП</t>
  </si>
  <si>
    <t>QF</t>
  </si>
  <si>
    <t>АВДТО</t>
  </si>
  <si>
    <t>АВДТМ</t>
  </si>
  <si>
    <t>АВДТП</t>
  </si>
  <si>
    <t>АВДТ32EM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</si>
  <si>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</si>
  <si>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</si>
  <si>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</si>
  <si>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</si>
  <si>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</si>
  <si>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</si>
  <si>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</si>
  <si>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</si>
  <si>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</si>
  <si>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</si>
  <si>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</si>
  <si>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</si>
  <si>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</si>
  <si>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</si>
  <si>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</si>
  <si>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</si>
  <si>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</si>
  <si>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</si>
  <si>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</si>
  <si>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</si>
  <si>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</si>
  <si>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</si>
  <si>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</si>
  <si>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</si>
  <si>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</si>
  <si>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</si>
  <si>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</si>
  <si>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</si>
  <si>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</si>
  <si>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</si>
  <si>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</si>
  <si>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</si>
  <si>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</si>
  <si>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</si>
  <si>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</si>
  <si>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</si>
  <si>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</si>
  <si>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</si>
  <si>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&lt;zallcabimport&gt;</t>
  </si>
  <si>
    <t>&lt;/zallcabimport&gt;</t>
  </si>
  <si>
    <t>DEVICE_VSCHEMES_QF</t>
  </si>
  <si>
    <t>АВUGO</t>
  </si>
  <si>
    <t>АВMOVEX</t>
  </si>
  <si>
    <t>АВMOVEY</t>
  </si>
  <si>
    <t>АВДТUGO</t>
  </si>
  <si>
    <t>АВДТMOVEX</t>
  </si>
  <si>
    <t>АВДТMOVEY</t>
  </si>
  <si>
    <t>DEVICE_VSCHEMES_QFD</t>
  </si>
  <si>
    <t>ВНUGO</t>
  </si>
  <si>
    <t>ВНMOVEX</t>
  </si>
  <si>
    <t>ВНMOVEY</t>
  </si>
  <si>
    <t>DEVICE_VSCHEMES_QS</t>
  </si>
  <si>
    <t>Примечание</t>
  </si>
  <si>
    <t>&lt;workbook&gt;SET - лист должен присутствовать во всех книгах. В нем настраиваются следующие параметры:</t>
  </si>
  <si>
    <t xml:space="preserve"> - в столбце А, определяет что при сохранении книги к имени dxf файла будет прибален данный суффикс</t>
  </si>
  <si>
    <t xml:space="preserve"> - команда которая определяет листы с какой частью имени в конце надо будет спрятать</t>
  </si>
  <si>
    <t>&lt;zalldevimport&gt;</t>
  </si>
  <si>
    <t>&lt;/zalldevimport&gt;</t>
  </si>
  <si>
    <t>Получен</t>
  </si>
  <si>
    <t>Назначен</t>
  </si>
  <si>
    <t>Код</t>
  </si>
  <si>
    <t>Имя ГУ</t>
  </si>
  <si>
    <t>Мощность</t>
  </si>
  <si>
    <t>&lt;zdevsettings name=[realnamedev] type=[string]&gt;</t>
  </si>
  <si>
    <t>&lt;zdevsettings name=[NMO_Name] type=[string]&gt;</t>
  </si>
  <si>
    <t>&lt;zdevsettings name=[Power] type=[float]&gt;</t>
  </si>
  <si>
    <t>&lt;create&gt;</t>
  </si>
  <si>
    <t>&lt;runcell&gt;</t>
  </si>
  <si>
    <t>&lt;createruntemplate&gt;</t>
  </si>
  <si>
    <t>&lt;zalldev&gt;EXPORT</t>
  </si>
  <si>
    <t>&lt;zalldev&gt;TEMPLATEKZ</t>
  </si>
  <si>
    <t>&lt;suffix&gt;</t>
  </si>
  <si>
    <t>&lt;hide&gt;</t>
  </si>
  <si>
    <t>&lt;zalldev&gt;</t>
  </si>
  <si>
    <t>Группа в ГУ</t>
  </si>
  <si>
    <t>Базовое имя (позиция)</t>
  </si>
  <si>
    <t>&lt;zdevsettings name=[CosPHI] type=[float]&gt;</t>
  </si>
  <si>
    <t>Коэффициент мощности cosf</t>
  </si>
  <si>
    <t>Напряжение питания</t>
  </si>
  <si>
    <t>&lt;zdevsettings name=[Voltage] type=[string]&gt;</t>
  </si>
  <si>
    <t>&lt;zdevsettings name=[Phase] type=[string]&gt;</t>
  </si>
  <si>
    <t>ALL222</t>
  </si>
  <si>
    <t>Ед устр</t>
  </si>
  <si>
    <t>Cумма устройств если совпадает базовое имя и номер группы</t>
  </si>
  <si>
    <t>Если уже посчитали данное устройство, то выводим единицу</t>
  </si>
  <si>
    <t>Системная ячейка, которая говорит о копировании</t>
  </si>
  <si>
    <t>&lt;/zcopyrow&gt;</t>
  </si>
  <si>
    <t>VSCHEMAUGOtext</t>
  </si>
  <si>
    <t>&lt;/zinsertblock&gt;</t>
  </si>
  <si>
    <t>VSCHEMACable21</t>
  </si>
  <si>
    <t>VSCHEMACable12</t>
  </si>
  <si>
    <t>VSCHEMACable11</t>
  </si>
  <si>
    <t>VSCHEMAFeedernamemain</t>
  </si>
  <si>
    <t>VSCHEMADevname</t>
  </si>
  <si>
    <t>VSCHEMADevamperage</t>
  </si>
  <si>
    <t>VSCHEMADevpower</t>
  </si>
  <si>
    <t>VSCHEMADevpos</t>
  </si>
  <si>
    <t>VSCHEMALevel2finish</t>
  </si>
  <si>
    <t>VSCHEMALevel2continue</t>
  </si>
  <si>
    <t>VSCHEMALevel2start</t>
  </si>
  <si>
    <t>VSCHEMALevel1finish</t>
  </si>
  <si>
    <t>VSCHEMALevel1continue</t>
  </si>
  <si>
    <t>VSCHEMALevel1start</t>
  </si>
  <si>
    <t>VSCHEMALevel0start</t>
  </si>
  <si>
    <t>VSCHEMAPhase3</t>
  </si>
  <si>
    <t>DEVICE_VSCHEMA_PANEL_OUT</t>
  </si>
  <si>
    <t>&lt;zinsertblock&gt;</t>
  </si>
  <si>
    <t>АВТОМАТ 2-й</t>
  </si>
  <si>
    <t>АВТОМАТ 1-й</t>
  </si>
  <si>
    <t>Параметры</t>
  </si>
  <si>
    <t>Марка</t>
  </si>
  <si>
    <t>Обозначение</t>
  </si>
  <si>
    <t>Ток утечки, мА</t>
  </si>
  <si>
    <t>Кол-во полюсов</t>
  </si>
  <si>
    <t>Характеристика</t>
  </si>
  <si>
    <t>Ток, А</t>
  </si>
  <si>
    <t>Выбран. уставка, А</t>
  </si>
  <si>
    <t>Принуд. уставка, А</t>
  </si>
  <si>
    <t>Руч уставка мин, А</t>
  </si>
  <si>
    <t>Расчет уставки по току, А</t>
  </si>
  <si>
    <t>Расч ток на групп с уч коэфф</t>
  </si>
  <si>
    <t xml:space="preserve">Коэф. запаса по току </t>
  </si>
  <si>
    <t>Фаза (1,3)</t>
  </si>
  <si>
    <t>Сумм групп ток ,А</t>
  </si>
  <si>
    <t>Ток данной группы</t>
  </si>
  <si>
    <t>Объеденены в одну группу</t>
  </si>
  <si>
    <t>1-й уровень схемы</t>
  </si>
  <si>
    <t>Сечение провод Iддт</t>
  </si>
  <si>
    <t>Сечение провод ΔUmax</t>
  </si>
  <si>
    <t>Сечение провод макс</t>
  </si>
  <si>
    <t>Сечение провод мин</t>
  </si>
  <si>
    <t>Zmax, Ом/км</t>
  </si>
  <si>
    <t>Марка кабеля</t>
  </si>
  <si>
    <t>Кол-во жил</t>
  </si>
  <si>
    <t>Место</t>
  </si>
  <si>
    <t>Жильность</t>
  </si>
  <si>
    <t>Мате- риал</t>
  </si>
  <si>
    <t>Длина, м</t>
  </si>
  <si>
    <t>Полное имя кабеля</t>
  </si>
  <si>
    <t>Полное имя фидера</t>
  </si>
  <si>
    <t>ΔU max, %</t>
  </si>
  <si>
    <t>Sp, 
kVA</t>
  </si>
  <si>
    <t>Qp, 
kvar</t>
  </si>
  <si>
    <t>Ip, 
A</t>
  </si>
  <si>
    <t>ΔU, %</t>
  </si>
  <si>
    <t>Кс гр.</t>
  </si>
  <si>
    <t>Имя группы устройства</t>
  </si>
  <si>
    <t>Пункт СП256 Кс</t>
  </si>
  <si>
    <t>Кс</t>
  </si>
  <si>
    <t>Ni</t>
  </si>
  <si>
    <t>Pi,
kW</t>
  </si>
  <si>
    <t>Qm, 
kvar</t>
  </si>
  <si>
    <t>Ini, 
A</t>
  </si>
  <si>
    <t>Cos φ</t>
  </si>
  <si>
    <t>Pni, 
kW</t>
  </si>
  <si>
    <t>Un, 
V</t>
  </si>
  <si>
    <t>2 ур</t>
  </si>
  <si>
    <t>1 ур</t>
  </si>
  <si>
    <t>0 ур</t>
  </si>
  <si>
    <t>VSCHEMAIp</t>
  </si>
  <si>
    <t>VSCHEMACosf</t>
  </si>
  <si>
    <t>VSCHEMAPp</t>
  </si>
  <si>
    <t>VSCHEMAKc</t>
  </si>
  <si>
    <t>VSCHEMAPy</t>
  </si>
  <si>
    <t>VSCHEMAShieldname</t>
  </si>
  <si>
    <t>VSCHEMAShieldpos</t>
  </si>
  <si>
    <t>DEVICE_VSCHEMA_PANEL_IN</t>
  </si>
  <si>
    <t>СИСТЕМНЫЕ ЯЧЕЙКИ</t>
  </si>
  <si>
    <t>2-й уровню схемы данные</t>
  </si>
  <si>
    <t>1-й уровню схемы данные</t>
  </si>
  <si>
    <t>Данные по кабелю</t>
  </si>
  <si>
    <t>Нагрузка на группу</t>
  </si>
  <si>
    <t>Нагрузка на одну позицию устройств</t>
  </si>
  <si>
    <t>Имя прокладываемого кабеля</t>
  </si>
  <si>
    <t xml:space="preserve">ПОЛУЧЕНО.2-й уровень схемы </t>
  </si>
  <si>
    <t xml:space="preserve">ПОЛУЧЕНО.1-й уровень схемы </t>
  </si>
  <si>
    <t>2-й уровень схемы</t>
  </si>
  <si>
    <t>Имя фидера</t>
  </si>
  <si>
    <t>Расчетный ток,А</t>
  </si>
  <si>
    <t>Кол-во модулей по 18мм</t>
  </si>
  <si>
    <t>Ток от установл. мощности фазы С, А</t>
  </si>
  <si>
    <t>Электропитание осуществ. от</t>
  </si>
  <si>
    <t>Ток от установл. мощности фазы B, А</t>
  </si>
  <si>
    <t>TN-C-S (~220/380B, 3L,N,PE)</t>
  </si>
  <si>
    <t>Тип питающей сити</t>
  </si>
  <si>
    <t>Ток от установл. мощности фазы A, А</t>
  </si>
  <si>
    <t>QF1</t>
  </si>
  <si>
    <t>АВС</t>
  </si>
  <si>
    <t>Количество фаз питания</t>
  </si>
  <si>
    <t>Коэффициент спроса</t>
  </si>
  <si>
    <t>100мА</t>
  </si>
  <si>
    <t>Уставка дифференц. тока, мА</t>
  </si>
  <si>
    <t>Напряжение питания щита, В</t>
  </si>
  <si>
    <t>Кол. откл полюсов</t>
  </si>
  <si>
    <t>Место установки щита</t>
  </si>
  <si>
    <t>Расчетный ток от эквивалент. группы      3-х фаз с суммарной мощностью однофазных, А</t>
  </si>
  <si>
    <t>С</t>
  </si>
  <si>
    <t>Тип защитной характеристики</t>
  </si>
  <si>
    <t>IP54</t>
  </si>
  <si>
    <t>Степень защиты оболочки</t>
  </si>
  <si>
    <t>Коэффициент мощности, cosf</t>
  </si>
  <si>
    <t>Предел коммутац. стойкость,кА</t>
  </si>
  <si>
    <t>Навесное</t>
  </si>
  <si>
    <t>Способ монтажа</t>
  </si>
  <si>
    <t>Ток от установленной мощности, А</t>
  </si>
  <si>
    <t>Уставка расцепителя,А</t>
  </si>
  <si>
    <t>Артикул/код щита</t>
  </si>
  <si>
    <t>Расчетная полная мощность, кВт</t>
  </si>
  <si>
    <t>Номинальный ток, А</t>
  </si>
  <si>
    <t>Марка оболочки щита</t>
  </si>
  <si>
    <t>Установленная полная мощность, кВА</t>
  </si>
  <si>
    <t>ВМ63-4С</t>
  </si>
  <si>
    <t>Тип аппарата</t>
  </si>
  <si>
    <t>Распред. устройство</t>
  </si>
  <si>
    <t>Данные об итоговых значения нагрузок распред.</t>
  </si>
  <si>
    <t>Аппарат на вводе распределительного</t>
  </si>
  <si>
    <t>Данные распределительного устройства</t>
  </si>
  <si>
    <t>&lt;zlight&gt;TEMP</t>
  </si>
  <si>
    <t>пусто</t>
  </si>
  <si>
    <t>Системные настройки</t>
  </si>
  <si>
    <t>Заполняемый щит</t>
  </si>
  <si>
    <t>&lt;zGUGUGUGU&gt;</t>
  </si>
  <si>
    <t>&lt;/zGUGUGUGU&gt;</t>
  </si>
  <si>
    <t>&lt;zdevsettings name=[vEMGCvelecNumConnectDevice] type=[string] devmodel=[1]&gt;</t>
  </si>
  <si>
    <t>&lt;zdevsettings name=[SLCABAGEN&lt;numconnect&gt;_HeadDeviceName] type=[string]&gt;</t>
  </si>
  <si>
    <t>&lt;zdevsettings name=[SLCABAGEN&lt;numconnect&gt;_NGHeadDevice] type=[string]&gt;</t>
  </si>
  <si>
    <t>Номер подключения</t>
  </si>
  <si>
    <t>&lt;zdevsettings name=[NMO_BaseName] type=[float]&gt;</t>
  </si>
  <si>
    <t>полное кодовое обозначение</t>
  </si>
  <si>
    <t>Ячейки которые полностью повторяются</t>
  </si>
  <si>
    <t>Сумма одинаковых позиций</t>
  </si>
  <si>
    <t>TEMP</t>
  </si>
  <si>
    <t>поз. устр.</t>
  </si>
  <si>
    <t>&lt;zallcab&gt;EXPORT</t>
  </si>
  <si>
    <t>Имя группы</t>
  </si>
  <si>
    <t>Имя головного устройст</t>
  </si>
  <si>
    <t>устройство в конце если прочерк значет нет устройства</t>
  </si>
  <si>
    <t>Длина</t>
  </si>
  <si>
    <t>устройство вначале если прочерк значет нет устройства</t>
  </si>
  <si>
    <t>&lt;zcabdevstart&gt;</t>
  </si>
  <si>
    <t>&lt;zcabdevfinish&gt;</t>
  </si>
  <si>
    <t>&lt;zcabsettings name=[NMO_Name] type=[string]&gt;</t>
  </si>
  <si>
    <t>&lt;zcabsettings name=[GC_HeadDevice] type=[string]&gt;</t>
  </si>
  <si>
    <t>&lt;zcabsettings name=[AmountD] type=[float]&gt;</t>
  </si>
  <si>
    <t>&lt;zallcab&gt;</t>
  </si>
  <si>
    <t>ЕСЛИ(AK24="";"";СУММЕСЛИМН('&lt;zallcab&gt;EXPORT'!$M$6:$M$700000;'&lt;zallcab&gt;EXPORT'!$E$6:$E$700000;AK24))</t>
  </si>
  <si>
    <t>Метод монтажа</t>
  </si>
  <si>
    <t>Системная</t>
  </si>
  <si>
    <t>&lt;zcabsettings name=[CABLE_MountingMethod] type=[string]&gt;</t>
  </si>
  <si>
    <t>&lt;zallcab&gt;CALC</t>
  </si>
  <si>
    <t>&lt;zallcab&gt;CabZhurnal</t>
  </si>
  <si>
    <t>просто для подсчетов номера стркои</t>
  </si>
  <si>
    <t>Нормальное имя прокладки</t>
  </si>
  <si>
    <t>Подсчет количество одинкаовых шлейфов с учетом метода монтажа</t>
  </si>
  <si>
    <t>Ищим позицию совпадения группы старшей</t>
  </si>
  <si>
    <t>Получаем сколько у данной группы значений</t>
  </si>
  <si>
    <t>Переносим конечное устройство в начало</t>
  </si>
  <si>
    <t>Добовляем для первого вхождения конечное устройство</t>
  </si>
  <si>
    <t>Суммированя длина по методам монтажа</t>
  </si>
  <si>
    <t>Указываем что строчку данных имя группы и прочее добавили</t>
  </si>
  <si>
    <t>Находим место где их показываем</t>
  </si>
  <si>
    <t>Обработанная имя группы</t>
  </si>
  <si>
    <t>Обработанная имя ГУ</t>
  </si>
  <si>
    <t>Конечное устройство</t>
  </si>
  <si>
    <t>количество кабеля</t>
  </si>
  <si>
    <t>Hidden~inPipe</t>
  </si>
  <si>
    <t>Скрыто в метал.тр.</t>
  </si>
  <si>
    <t>Hidden~underPlaster</t>
  </si>
  <si>
    <t>Скрыто под штукатур</t>
  </si>
  <si>
    <t>open~inMetalTray</t>
  </si>
  <si>
    <t>в метал.лотке</t>
  </si>
  <si>
    <t>open~inCableChannel</t>
  </si>
  <si>
    <t>в каб.канал</t>
  </si>
  <si>
    <t>open~inPipePVC</t>
  </si>
  <si>
    <t>в ПВХ тр.</t>
  </si>
  <si>
    <t>open~inPip</t>
  </si>
  <si>
    <t>откр. в мет.тр.</t>
  </si>
  <si>
    <t>Имя кабеля</t>
  </si>
  <si>
    <t>Имя устр</t>
  </si>
  <si>
    <t>2 х ВВГнг(А)-LS-5х120мм²</t>
  </si>
  <si>
    <t>&lt;zcalculate&gt;</t>
  </si>
  <si>
    <t>&lt;zcopyrow targetsheet=[&lt;zallcab&gt;CALC] targetcodename=[zzzimport] keynumcol=[16]&gt;</t>
  </si>
  <si>
    <t>&lt;zcopyrow targetsheet=[&lt;zallcab&gt;EXPORT] targetcodename=[zallcabimport] keynumcol=[17]&gt;</t>
  </si>
  <si>
    <t>Сумма длинн кабелей по группам</t>
  </si>
  <si>
    <t>ЕСЛИ(AK24="";"";ИНДЕКС('&lt;zallcab&gt;CALC'!$X$7:$X$700000;ПОИСКПОЗ(AK24;'&lt;zallcab&gt;CALC'!$D$7:$D$700000;0)))</t>
  </si>
  <si>
    <t>&lt;zdevsettings name=[ANALYSISEM_icanbeheadunit] type=[boolean]&gt;</t>
  </si>
  <si>
    <t>Я могу быть ГУ</t>
  </si>
  <si>
    <t>Истинная группа с учетом подключенных ЩУ</t>
  </si>
  <si>
    <t>Счетчик строк</t>
  </si>
  <si>
    <t>Истинная группа</t>
  </si>
  <si>
    <t>Проверка на ГУ</t>
  </si>
  <si>
    <t>К кому подключен может быть ГУ. 1- да, 0 нет, -1 нет подключения</t>
  </si>
  <si>
    <t>Получаю истинный имя ГУ к которому все подключены устройства</t>
  </si>
  <si>
    <t>Получаю истинный номер группы в ГУ к которму мы все подключены</t>
  </si>
  <si>
    <t>Данная группа относится к щитам управления входящим в ГУ. 1 относится, 0 нет</t>
  </si>
  <si>
    <t>Устр. подключ к ШУ</t>
  </si>
  <si>
    <t>Инфо по группе (P,кВт; U,B;  Ir, А; cosf )</t>
  </si>
  <si>
    <t>Ур подкл.</t>
  </si>
  <si>
    <t>Ко мне кто нибудь подключен</t>
  </si>
  <si>
    <t>Глобальный уровень подключения</t>
  </si>
  <si>
    <t>Момент изменения группы для генерации подключенных устройств</t>
  </si>
  <si>
    <t>Момент изменения группы для генерации головных устройств</t>
  </si>
  <si>
    <t>&lt;zcopyrow targetsheet=[&lt;zalldev&gt;EXPORT] targetcodename=[zalldevimport] keynumcol=[45]&gt;</t>
  </si>
  <si>
    <t>&lt;zlight&gt;TEMPGU</t>
  </si>
  <si>
    <t>Уровень подключения</t>
  </si>
  <si>
    <t>Кол-во подкл устройств</t>
  </si>
  <si>
    <t>Копируем все</t>
  </si>
  <si>
    <t>&lt;zcopyrow targetsheet=[&lt;zlight&gt;TEMPGU] targetcodename=[zGUGUGUGU] keynumcol=[10]&gt;</t>
  </si>
  <si>
    <t>Ур.подкл</t>
  </si>
  <si>
    <t>Груп. в ГУ</t>
  </si>
  <si>
    <t>Имя устр.</t>
  </si>
  <si>
    <t>№ подкл.</t>
  </si>
  <si>
    <t>Кол-во подкл устр.</t>
  </si>
  <si>
    <t>Глобальный уровень</t>
  </si>
  <si>
    <t>Реал.имя</t>
  </si>
  <si>
    <t>я имею подключения</t>
  </si>
  <si>
    <t>Ур.0
Pр, kW</t>
  </si>
  <si>
    <t>Ур.1
Pр, kW</t>
  </si>
  <si>
    <t>Ур.2
Pр, kW</t>
  </si>
  <si>
    <t>Групп
Pр, kW</t>
  </si>
  <si>
    <t>Групп
cosφ</t>
  </si>
  <si>
    <t>Ур.подкл. внутри щита</t>
  </si>
  <si>
    <t>К кому устр. я подкл.</t>
  </si>
  <si>
    <t>К какой групп устр. я подкл.</t>
  </si>
  <si>
    <t>Кол-во подкл устр</t>
  </si>
  <si>
    <t>Я подключен к той же группе что и предыдущий</t>
  </si>
  <si>
    <t>Имя блока устройства</t>
  </si>
  <si>
    <t>&lt;zcadnameblock&gt;</t>
  </si>
  <si>
    <t>&lt;zcopyrow targetsheet=[&lt;zalldev&gt;EXPORT] targetcodename=[zalldevimport] keynumcol=[46]&gt;</t>
  </si>
  <si>
    <t>Вставка УГО</t>
  </si>
  <si>
    <t>Калибровка установки УГО</t>
  </si>
  <si>
    <t>Калибровка размещения УГО на распределительной схеме</t>
  </si>
  <si>
    <t>Имя блока</t>
  </si>
  <si>
    <t>X</t>
  </si>
  <si>
    <t>Y</t>
  </si>
  <si>
    <t>SCALE_X</t>
  </si>
  <si>
    <t>SCALE_Y</t>
  </si>
  <si>
    <t>ROTATION</t>
  </si>
  <si>
    <t>VEL_POWER_SHR1</t>
  </si>
  <si>
    <t>VEL_LIGHT_600x600</t>
  </si>
  <si>
    <t>VEL_POWER_MOTOR</t>
  </si>
  <si>
    <t>Я УУ 0ур подомной есть УУ 1ур</t>
  </si>
  <si>
    <t>Сколько групп объеден. автомат. 1-го уровня</t>
  </si>
  <si>
    <t>Указание для схемы какое значение принять</t>
  </si>
  <si>
    <t>Смещение столбцов, после УУ</t>
  </si>
  <si>
    <t>UUVEL_POWER_SHR1</t>
  </si>
  <si>
    <t>UUVEL_LIGHT_600x600</t>
  </si>
  <si>
    <t>UUVEL_POWER_MOTOR</t>
  </si>
  <si>
    <t>МАСШТАБ ВЫВОДА</t>
  </si>
  <si>
    <t>VEL_LIGHT_2x36</t>
  </si>
  <si>
    <t>UUVEL_LIGHT_2x36</t>
  </si>
  <si>
    <t>VEL_LIGHT_R3</t>
  </si>
  <si>
    <t>UUVEL_LIGHT_R3</t>
  </si>
  <si>
    <t>VEL_LIGHT_R4</t>
  </si>
  <si>
    <t>UUVEL_LIGHT_R4</t>
  </si>
  <si>
    <t>??????</t>
  </si>
  <si>
    <t>&lt;zsetformulatocell calc=[before] toSheet=[zallcabCALC]  toCell=[$Y$1] formula=[fromSheet!$AP$28]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</si>
</sst>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1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8"/>
      <name val="Arial Unicode MS"/>
      <family val="2"/>
      <charset val="204"/>
    </font>
    <font>
      <b/>
      <sz val="8"/>
      <color indexed="10"/>
      <name val="Arial Unicode MS"/>
      <family val="2"/>
      <charset val="204"/>
    </font>
    <font>
      <b/>
      <sz val="8"/>
      <color indexed="60"/>
      <name val="Arial Unicode MS"/>
      <family val="2"/>
      <charset val="204"/>
    </font>
    <font>
      <b/>
      <sz val="8"/>
      <color indexed="12"/>
      <name val="Arial Unicode MS"/>
      <family val="2"/>
      <charset val="204"/>
    </font>
    <font>
      <b/>
      <i/>
      <sz val="8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sz val="9"/>
      <color indexed="81"/>
      <name val="Tahoma"/>
      <charset val="1"/>
    </font>
    <font>
      <b/>
      <i/>
      <sz val="8"/>
      <name val="Arial"/>
    </font>
    <font>
      <b/>
      <sz val="11"/>
      <name val="Calibri"/>
      <family val="2"/>
      <charset val="204"/>
      <scheme val="minor"/>
    </font>
    <font>
      <b/>
      <sz val="8"/>
      <name val="Arial"/>
    </font>
    <font>
      <sz val="9"/>
      <color rgb="FF000000"/>
      <name val="Arial"/>
      <charset val="1"/>
    </font>
    <font>
      <sz val="10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4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4DBE5"/>
        <bgColor rgb="FF000000"/>
      </patternFill>
    </fill>
    <fill>
      <patternFill patternType="solid">
        <fgColor rgb="FFE0F0D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FAAAA"/>
        <bgColor rgb="FF000000"/>
      </patternFill>
    </fill>
    <fill>
      <patternFill patternType="solid">
        <fgColor rgb="FFFCE4D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48236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BCD6E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D0D0D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8E1F3"/>
        <bgColor rgb="FF000000"/>
      </patternFill>
    </fill>
    <fill>
      <patternFill patternType="solid">
        <fgColor theme="7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 wrapText="1"/>
    </xf>
    <xf numFmtId="2" fontId="5" fillId="0" borderId="23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 wrapText="1"/>
    </xf>
    <xf numFmtId="2" fontId="5" fillId="0" borderId="26" xfId="0" applyNumberFormat="1" applyFont="1" applyBorder="1" applyAlignment="1">
      <alignment horizontal="center" vertical="center" wrapText="1"/>
    </xf>
    <xf numFmtId="2" fontId="5" fillId="0" borderId="27" xfId="0" applyNumberFormat="1" applyFont="1" applyBorder="1" applyAlignment="1">
      <alignment horizontal="center" vertical="center" wrapText="1"/>
    </xf>
    <xf numFmtId="2" fontId="5" fillId="0" borderId="28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/>
    <xf numFmtId="2" fontId="5" fillId="0" borderId="31" xfId="0" applyNumberFormat="1" applyFont="1" applyBorder="1" applyAlignment="1">
      <alignment horizontal="center" vertical="center" wrapText="1"/>
    </xf>
    <xf numFmtId="2" fontId="5" fillId="0" borderId="32" xfId="0" applyNumberFormat="1" applyFont="1" applyBorder="1" applyAlignment="1">
      <alignment horizontal="center" vertical="center" wrapText="1"/>
    </xf>
    <xf numFmtId="2" fontId="5" fillId="0" borderId="33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0" fillId="0" borderId="29" xfId="0" applyBorder="1"/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5" fontId="1" fillId="0" borderId="14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65" fontId="1" fillId="0" borderId="34" xfId="0" applyNumberFormat="1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4" borderId="8" xfId="1" applyFont="1" applyFill="1" applyBorder="1" applyAlignment="1" applyProtection="1">
      <alignment horizontal="center" vertical="center" wrapText="1"/>
      <protection hidden="1"/>
    </xf>
    <xf numFmtId="0" fontId="3" fillId="4" borderId="9" xfId="1" applyFont="1" applyFill="1" applyBorder="1" applyAlignment="1" applyProtection="1">
      <alignment horizontal="center" vertical="center" wrapText="1"/>
      <protection hidden="1"/>
    </xf>
    <xf numFmtId="0" fontId="8" fillId="4" borderId="8" xfId="1" applyFont="1" applyFill="1" applyBorder="1" applyAlignment="1" applyProtection="1">
      <alignment horizontal="center" vertical="center" wrapText="1"/>
      <protection hidden="1"/>
    </xf>
    <xf numFmtId="0" fontId="8" fillId="4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0" fontId="9" fillId="13" borderId="38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2" fontId="10" fillId="14" borderId="1" xfId="1" applyNumberFormat="1" applyFont="1" applyFill="1" applyBorder="1" applyAlignment="1" applyProtection="1">
      <alignment horizontal="center"/>
      <protection hidden="1"/>
    </xf>
    <xf numFmtId="0" fontId="11" fillId="15" borderId="1" xfId="1" applyFont="1" applyFill="1" applyBorder="1" applyAlignment="1" applyProtection="1">
      <alignment horizontal="center"/>
      <protection hidden="1"/>
    </xf>
    <xf numFmtId="0" fontId="12" fillId="15" borderId="1" xfId="1" applyFont="1" applyFill="1" applyBorder="1" applyAlignment="1" applyProtection="1">
      <alignment horizontal="center"/>
      <protection hidden="1"/>
    </xf>
    <xf numFmtId="0" fontId="13" fillId="15" borderId="1" xfId="1" applyFont="1" applyFill="1" applyBorder="1" applyAlignment="1" applyProtection="1">
      <alignment horizontal="center"/>
      <protection hidden="1"/>
    </xf>
    <xf numFmtId="0" fontId="9" fillId="1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3" fillId="4" borderId="40" xfId="1" applyFont="1" applyFill="1" applyBorder="1" applyAlignment="1" applyProtection="1">
      <alignment horizontal="center" vertical="center" wrapText="1"/>
      <protection hidden="1"/>
    </xf>
    <xf numFmtId="0" fontId="3" fillId="4" borderId="39" xfId="1" applyFont="1" applyFill="1" applyBorder="1" applyAlignment="1" applyProtection="1">
      <alignment horizontal="center" vertical="center" wrapText="1"/>
      <protection hidden="1"/>
    </xf>
    <xf numFmtId="0" fontId="3" fillId="4" borderId="41" xfId="1" applyFont="1" applyFill="1" applyBorder="1" applyAlignment="1" applyProtection="1">
      <alignment horizontal="center" vertical="center" wrapText="1"/>
      <protection hidden="1"/>
    </xf>
    <xf numFmtId="0" fontId="3" fillId="16" borderId="39" xfId="1" applyFont="1" applyFill="1" applyBorder="1" applyAlignment="1" applyProtection="1">
      <alignment horizontal="center" vertical="center" wrapText="1"/>
      <protection hidden="1"/>
    </xf>
    <xf numFmtId="0" fontId="3" fillId="17" borderId="42" xfId="1" applyFont="1" applyFill="1" applyBorder="1" applyAlignment="1" applyProtection="1">
      <alignment horizontal="center" vertical="center" wrapText="1"/>
      <protection hidden="1"/>
    </xf>
    <xf numFmtId="0" fontId="3" fillId="17" borderId="39" xfId="1" applyFont="1" applyFill="1" applyBorder="1" applyAlignment="1" applyProtection="1">
      <alignment horizontal="center" vertical="center" wrapText="1"/>
      <protection hidden="1"/>
    </xf>
    <xf numFmtId="0" fontId="3" fillId="7" borderId="5" xfId="0" applyFont="1" applyFill="1" applyBorder="1" applyAlignment="1" applyProtection="1">
      <alignment horizontal="center" vertical="center" wrapText="1"/>
      <protection hidden="1"/>
    </xf>
    <xf numFmtId="0" fontId="3" fillId="7" borderId="43" xfId="2" applyFont="1" applyFill="1" applyBorder="1" applyAlignment="1" applyProtection="1">
      <alignment horizontal="center" vertical="center" wrapText="1"/>
      <protection hidden="1"/>
    </xf>
    <xf numFmtId="0" fontId="3" fillId="7" borderId="44" xfId="2" applyFont="1" applyFill="1" applyBorder="1" applyAlignment="1" applyProtection="1">
      <alignment horizontal="center" vertical="center"/>
      <protection hidden="1"/>
    </xf>
    <xf numFmtId="0" fontId="3" fillId="7" borderId="44" xfId="1" applyFont="1" applyFill="1" applyBorder="1" applyAlignment="1" applyProtection="1">
      <alignment horizontal="center" vertical="center"/>
      <protection hidden="1"/>
    </xf>
    <xf numFmtId="0" fontId="3" fillId="7" borderId="45" xfId="1" applyFont="1" applyFill="1" applyBorder="1" applyAlignment="1" applyProtection="1">
      <alignment horizontal="center" vertical="center" wrapText="1"/>
      <protection hidden="1"/>
    </xf>
    <xf numFmtId="0" fontId="3" fillId="7" borderId="44" xfId="1" applyFont="1" applyFill="1" applyBorder="1" applyAlignment="1" applyProtection="1">
      <alignment horizontal="center" vertical="center" wrapText="1"/>
      <protection hidden="1"/>
    </xf>
    <xf numFmtId="0" fontId="3" fillId="7" borderId="7" xfId="0" applyFont="1" applyFill="1" applyBorder="1" applyAlignment="1" applyProtection="1">
      <alignment horizontal="center" vertical="center" wrapText="1"/>
      <protection hidden="1"/>
    </xf>
    <xf numFmtId="0" fontId="0" fillId="13" borderId="1" xfId="0" applyFill="1" applyBorder="1" applyAlignment="1">
      <alignment horizontal="center" vertical="center"/>
    </xf>
    <xf numFmtId="0" fontId="0" fillId="0" borderId="1" xfId="0" applyBorder="1"/>
    <xf numFmtId="0" fontId="0" fillId="19" borderId="40" xfId="0" applyFill="1" applyBorder="1" applyAlignment="1">
      <alignment horizontal="center" vertical="center"/>
    </xf>
    <xf numFmtId="0" fontId="0" fillId="13" borderId="1" xfId="0" applyFill="1" applyBorder="1"/>
    <xf numFmtId="0" fontId="15" fillId="0" borderId="1" xfId="0" applyFont="1" applyBorder="1" applyAlignment="1">
      <alignment vertical="center"/>
    </xf>
    <xf numFmtId="0" fontId="0" fillId="22" borderId="53" xfId="0" applyFill="1" applyBorder="1" applyAlignment="1">
      <alignment horizontal="left" vertical="center"/>
    </xf>
    <xf numFmtId="0" fontId="0" fillId="22" borderId="53" xfId="0" applyFill="1" applyBorder="1" applyAlignment="1">
      <alignment horizontal="center" vertical="center"/>
    </xf>
    <xf numFmtId="0" fontId="0" fillId="24" borderId="53" xfId="0" applyFill="1" applyBorder="1" applyAlignment="1">
      <alignment horizontal="center"/>
    </xf>
    <xf numFmtId="0" fontId="0" fillId="23" borderId="0" xfId="0" applyFill="1" applyBorder="1" applyAlignment="1">
      <alignment horizontal="center"/>
    </xf>
    <xf numFmtId="0" fontId="0" fillId="23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28" borderId="0" xfId="0" applyFill="1" applyAlignment="1">
      <alignment horizontal="center" vertical="center" wrapText="1"/>
    </xf>
    <xf numFmtId="0" fontId="0" fillId="26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9" borderId="0" xfId="0" applyFill="1"/>
    <xf numFmtId="0" fontId="0" fillId="19" borderId="0" xfId="0" applyFill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29" borderId="0" xfId="0" applyFill="1" applyAlignment="1">
      <alignment horizontal="center" vertical="center" wrapText="1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0" xfId="0" applyFill="1"/>
    <xf numFmtId="0" fontId="0" fillId="9" borderId="1" xfId="0" applyFill="1" applyBorder="1" applyAlignment="1">
      <alignment horizontal="center" vertical="center" wrapText="1"/>
    </xf>
    <xf numFmtId="0" fontId="0" fillId="24" borderId="53" xfId="0" applyFill="1" applyBorder="1" applyAlignment="1">
      <alignment horizontal="center" vertical="center" wrapText="1"/>
    </xf>
    <xf numFmtId="0" fontId="0" fillId="25" borderId="53" xfId="0" applyFill="1" applyBorder="1" applyAlignment="1">
      <alignment horizontal="center" vertical="center" wrapText="1"/>
    </xf>
    <xf numFmtId="0" fontId="3" fillId="4" borderId="50" xfId="1" applyFont="1" applyFill="1" applyBorder="1" applyAlignment="1" applyProtection="1">
      <alignment horizontal="center" vertical="center" wrapText="1"/>
      <protection hidden="1"/>
    </xf>
    <xf numFmtId="0" fontId="14" fillId="11" borderId="1" xfId="2" applyFont="1" applyFill="1" applyBorder="1" applyAlignment="1" applyProtection="1">
      <alignment horizontal="center" vertical="center" wrapText="1"/>
      <protection hidden="1"/>
    </xf>
    <xf numFmtId="0" fontId="14" fillId="11" borderId="1" xfId="2" applyFont="1" applyFill="1" applyBorder="1" applyAlignment="1" applyProtection="1">
      <alignment vertical="center" wrapText="1"/>
      <protection hidden="1"/>
    </xf>
    <xf numFmtId="0" fontId="19" fillId="11" borderId="39" xfId="0" applyFont="1" applyFill="1" applyBorder="1" applyAlignment="1">
      <alignment horizontal="center" vertical="center"/>
    </xf>
    <xf numFmtId="0" fontId="20" fillId="12" borderId="39" xfId="0" applyFont="1" applyFill="1" applyBorder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0" fillId="30" borderId="53" xfId="0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 wrapText="1"/>
    </xf>
    <xf numFmtId="0" fontId="0" fillId="32" borderId="53" xfId="0" applyFill="1" applyBorder="1" applyAlignment="1">
      <alignment horizontal="center" vertical="center" wrapText="1"/>
    </xf>
    <xf numFmtId="0" fontId="22" fillId="33" borderId="53" xfId="0" applyFont="1" applyFill="1" applyBorder="1" applyAlignment="1" applyProtection="1">
      <alignment horizontal="center" vertical="center" wrapText="1"/>
      <protection hidden="1"/>
    </xf>
    <xf numFmtId="0" fontId="23" fillId="4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13" borderId="0" xfId="0" applyFill="1" applyBorder="1"/>
    <xf numFmtId="0" fontId="0" fillId="0" borderId="0" xfId="0" applyBorder="1"/>
    <xf numFmtId="0" fontId="0" fillId="4" borderId="0" xfId="0" applyFill="1" applyBorder="1" applyAlignment="1">
      <alignment horizontal="center" vertical="center"/>
    </xf>
    <xf numFmtId="0" fontId="3" fillId="7" borderId="1" xfId="0" applyFont="1" applyFill="1" applyBorder="1" applyAlignment="1" applyProtection="1">
      <alignment horizontal="center" vertical="center" textRotation="90" wrapText="1"/>
      <protection hidden="1"/>
    </xf>
    <xf numFmtId="0" fontId="0" fillId="32" borderId="0" xfId="0" applyFill="1" applyBorder="1" applyAlignment="1">
      <alignment horizontal="center" vertical="center" wrapText="1"/>
    </xf>
    <xf numFmtId="0" fontId="0" fillId="35" borderId="53" xfId="0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14" fillId="33" borderId="53" xfId="0" applyFont="1" applyFill="1" applyBorder="1" applyAlignment="1" applyProtection="1">
      <alignment horizontal="center" vertical="center" wrapText="1"/>
      <protection hidden="1"/>
    </xf>
    <xf numFmtId="0" fontId="19" fillId="36" borderId="39" xfId="0" applyFont="1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3" fillId="7" borderId="27" xfId="0" applyFont="1" applyFill="1" applyBorder="1" applyAlignment="1" applyProtection="1">
      <alignment horizontal="center" vertical="center" textRotation="90" wrapText="1"/>
      <protection hidden="1"/>
    </xf>
    <xf numFmtId="0" fontId="27" fillId="37" borderId="56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0" fontId="0" fillId="38" borderId="0" xfId="0" applyFill="1"/>
    <xf numFmtId="0" fontId="0" fillId="39" borderId="1" xfId="0" applyFill="1" applyBorder="1" applyAlignment="1">
      <alignment horizontal="center" vertical="center"/>
    </xf>
    <xf numFmtId="0" fontId="0" fillId="39" borderId="0" xfId="0" applyFill="1"/>
    <xf numFmtId="0" fontId="14" fillId="40" borderId="53" xfId="0" applyFont="1" applyFill="1" applyBorder="1" applyAlignment="1" applyProtection="1">
      <alignment horizontal="center" vertical="center" wrapText="1"/>
      <protection hidden="1"/>
    </xf>
    <xf numFmtId="0" fontId="20" fillId="39" borderId="39" xfId="0" applyFont="1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1" borderId="0" xfId="0" applyFill="1"/>
    <xf numFmtId="0" fontId="0" fillId="41" borderId="0" xfId="0" applyFill="1" applyAlignment="1">
      <alignment horizontal="right" vertical="center"/>
    </xf>
    <xf numFmtId="0" fontId="9" fillId="39" borderId="0" xfId="0" applyFont="1" applyFill="1"/>
    <xf numFmtId="0" fontId="0" fillId="42" borderId="0" xfId="0" applyFill="1"/>
    <xf numFmtId="0" fontId="0" fillId="42" borderId="0" xfId="0" applyFill="1" applyAlignment="1">
      <alignment horizontal="right" vertical="center"/>
    </xf>
    <xf numFmtId="0" fontId="0" fillId="42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43" borderId="0" xfId="0" applyFill="1"/>
    <xf numFmtId="0" fontId="30" fillId="22" borderId="58" xfId="0" applyFont="1" applyFill="1" applyBorder="1" applyAlignment="1">
      <alignment horizontal="center" vertical="center" wrapText="1"/>
    </xf>
    <xf numFmtId="0" fontId="0" fillId="43" borderId="1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8" borderId="0" xfId="0" applyFill="1"/>
    <xf numFmtId="0" fontId="0" fillId="45" borderId="0" xfId="0" applyFill="1" applyAlignment="1">
      <alignment horizontal="center" vertical="center"/>
    </xf>
    <xf numFmtId="0" fontId="0" fillId="45" borderId="0" xfId="0" applyFill="1"/>
    <xf numFmtId="0" fontId="14" fillId="40" borderId="53" xfId="0" applyFont="1" applyFill="1" applyBorder="1" applyAlignment="1" applyProtection="1">
      <alignment horizontal="center" wrapText="1"/>
      <protection hidden="1"/>
    </xf>
    <xf numFmtId="0" fontId="20" fillId="39" borderId="0" xfId="0" applyFont="1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22" fillId="40" borderId="53" xfId="0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9" fillId="44" borderId="7" xfId="0" applyFont="1" applyFill="1" applyBorder="1" applyAlignment="1">
      <alignment horizontal="center" vertical="center"/>
    </xf>
    <xf numFmtId="0" fontId="29" fillId="44" borderId="44" xfId="0" applyFont="1" applyFill="1" applyBorder="1" applyAlignment="1">
      <alignment horizontal="center" vertical="center"/>
    </xf>
    <xf numFmtId="0" fontId="29" fillId="44" borderId="57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21" borderId="5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3" borderId="50" xfId="0" applyFill="1" applyBorder="1" applyAlignment="1">
      <alignment horizontal="center"/>
    </xf>
    <xf numFmtId="0" fontId="0" fillId="13" borderId="51" xfId="0" applyFill="1" applyBorder="1" applyAlignment="1">
      <alignment horizontal="center"/>
    </xf>
    <xf numFmtId="0" fontId="0" fillId="13" borderId="38" xfId="0" applyFill="1" applyBorder="1" applyAlignment="1">
      <alignment horizontal="center"/>
    </xf>
    <xf numFmtId="0" fontId="0" fillId="39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39" borderId="50" xfId="0" applyFill="1" applyBorder="1" applyAlignment="1">
      <alignment horizontal="center"/>
    </xf>
    <xf numFmtId="0" fontId="0" fillId="39" borderId="38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3" fillId="4" borderId="35" xfId="1" applyFont="1" applyFill="1" applyBorder="1" applyAlignment="1" applyProtection="1">
      <alignment horizontal="center" vertical="center" wrapText="1"/>
      <protection hidden="1"/>
    </xf>
    <xf numFmtId="0" fontId="3" fillId="4" borderId="47" xfId="1" applyFont="1" applyFill="1" applyBorder="1" applyAlignment="1" applyProtection="1">
      <alignment horizontal="center" vertical="center" wrapText="1"/>
      <protection hidden="1"/>
    </xf>
    <xf numFmtId="0" fontId="0" fillId="19" borderId="1" xfId="0" applyFill="1" applyBorder="1" applyAlignment="1">
      <alignment horizontal="center"/>
    </xf>
    <xf numFmtId="0" fontId="0" fillId="4" borderId="20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 wrapText="1"/>
    </xf>
    <xf numFmtId="0" fontId="3" fillId="4" borderId="28" xfId="1" applyFont="1" applyFill="1" applyBorder="1" applyAlignment="1" applyProtection="1">
      <alignment horizontal="center" vertical="center" wrapText="1"/>
      <protection hidden="1"/>
    </xf>
    <xf numFmtId="0" fontId="3" fillId="4" borderId="48" xfId="1" applyFont="1" applyFill="1" applyBorder="1" applyAlignment="1" applyProtection="1">
      <alignment horizontal="center" vertical="center" wrapText="1"/>
      <protection hidden="1"/>
    </xf>
    <xf numFmtId="0" fontId="24" fillId="34" borderId="54" xfId="0" applyFont="1" applyFill="1" applyBorder="1" applyAlignment="1" applyProtection="1">
      <alignment horizontal="center" vertical="center" wrapText="1"/>
      <protection hidden="1"/>
    </xf>
    <xf numFmtId="0" fontId="24" fillId="34" borderId="55" xfId="0" applyFont="1" applyFill="1" applyBorder="1" applyAlignment="1" applyProtection="1">
      <alignment horizontal="center" vertical="center" wrapText="1"/>
      <protection hidden="1"/>
    </xf>
    <xf numFmtId="0" fontId="0" fillId="36" borderId="1" xfId="0" applyFill="1" applyBorder="1" applyAlignment="1">
      <alignment horizontal="center"/>
    </xf>
    <xf numFmtId="0" fontId="15" fillId="39" borderId="1" xfId="0" applyFont="1" applyFill="1" applyBorder="1" applyAlignment="1">
      <alignment horizontal="center" vertical="center"/>
    </xf>
    <xf numFmtId="0" fontId="14" fillId="4" borderId="12" xfId="2" applyFont="1" applyFill="1" applyBorder="1" applyAlignment="1" applyProtection="1">
      <alignment horizontal="center" vertical="center" wrapText="1"/>
      <protection hidden="1"/>
    </xf>
    <xf numFmtId="0" fontId="14" fillId="4" borderId="52" xfId="2" applyFont="1" applyFill="1" applyBorder="1" applyAlignment="1" applyProtection="1">
      <alignment horizontal="center" vertical="center" wrapText="1"/>
      <protection hidden="1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4" fillId="27" borderId="53" xfId="0" applyFont="1" applyFill="1" applyBorder="1" applyAlignment="1" applyProtection="1">
      <alignment horizontal="center" vertical="center" wrapText="1"/>
      <protection hidden="1"/>
    </xf>
    <xf numFmtId="0" fontId="3" fillId="4" borderId="20" xfId="1" applyFont="1" applyFill="1" applyBorder="1" applyAlignment="1" applyProtection="1">
      <alignment horizontal="center" vertical="center" wrapText="1"/>
      <protection hidden="1"/>
    </xf>
    <xf numFmtId="0" fontId="3" fillId="4" borderId="46" xfId="1" applyFont="1" applyFill="1" applyBorder="1" applyAlignment="1" applyProtection="1">
      <alignment horizontal="center" vertical="center" wrapText="1"/>
      <protection hidden="1"/>
    </xf>
    <xf numFmtId="0" fontId="14" fillId="7" borderId="2" xfId="2" applyFont="1" applyFill="1" applyBorder="1" applyAlignment="1" applyProtection="1">
      <alignment horizontal="center" vertical="center" wrapText="1"/>
      <protection hidden="1"/>
    </xf>
    <xf numFmtId="0" fontId="14" fillId="7" borderId="3" xfId="2" applyFont="1" applyFill="1" applyBorder="1" applyAlignment="1" applyProtection="1">
      <alignment horizontal="center" vertical="center" wrapText="1"/>
      <protection hidden="1"/>
    </xf>
    <xf numFmtId="0" fontId="14" fillId="4" borderId="2" xfId="2" applyFont="1" applyFill="1" applyBorder="1" applyAlignment="1" applyProtection="1">
      <alignment horizontal="center" vertical="center" wrapText="1"/>
      <protection hidden="1"/>
    </xf>
    <xf numFmtId="0" fontId="14" fillId="4" borderId="3" xfId="2" applyFont="1" applyFill="1" applyBorder="1" applyAlignment="1" applyProtection="1">
      <alignment horizontal="center" vertical="center" wrapText="1"/>
      <protection hidden="1"/>
    </xf>
    <xf numFmtId="0" fontId="14" fillId="4" borderId="4" xfId="2" applyFont="1" applyFill="1" applyBorder="1" applyAlignment="1" applyProtection="1">
      <alignment horizontal="center" vertical="center" wrapText="1"/>
      <protection hidden="1"/>
    </xf>
    <xf numFmtId="0" fontId="14" fillId="11" borderId="1" xfId="2" applyFont="1" applyFill="1" applyBorder="1" applyAlignment="1" applyProtection="1">
      <alignment horizontal="center" vertical="center" wrapText="1"/>
      <protection hidden="1"/>
    </xf>
    <xf numFmtId="0" fontId="0" fillId="43" borderId="0" xfId="0" applyFill="1" applyAlignment="1">
      <alignment horizontal="center" vertical="center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8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BX56"/>
  <sheetViews>
    <sheetView topLeftCell="A34" workbookViewId="0">
      <selection activeCell="G56" sqref="G56"/>
    </sheetView>
  </sheetViews>
  <sheetFormatPr defaultRowHeight="15" x14ac:dyDescent="0.25"/>
  <cols>
    <col min="1" max="1" width="15" bestFit="1" customWidth="1"/>
    <col min="2" max="2" width="14.7109375" customWidth="1"/>
    <col min="41" max="41" width="10.28515625" bestFit="1" customWidth="1"/>
    <col min="59" max="59" width="22.28515625" customWidth="1"/>
    <col min="66" max="66" width="31.85546875" customWidth="1"/>
  </cols>
  <sheetData>
    <row r="2" spans="1:76" ht="15.75" thickBot="1" x14ac:dyDescent="0.3"/>
    <row r="3" spans="1:76" ht="52.5" customHeight="1" thickBot="1" x14ac:dyDescent="0.3">
      <c r="A3" s="181" t="s">
        <v>4</v>
      </c>
      <c r="B3" s="182"/>
      <c r="C3" s="183"/>
      <c r="F3" s="178" t="s">
        <v>19</v>
      </c>
      <c r="G3" s="179"/>
      <c r="H3" s="180"/>
      <c r="K3" s="176" t="s">
        <v>74</v>
      </c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7"/>
      <c r="AX3" s="177"/>
      <c r="AY3" s="177"/>
      <c r="AZ3" s="177"/>
      <c r="BA3" s="177"/>
      <c r="BB3" s="177"/>
      <c r="BC3" s="177"/>
      <c r="BD3" s="177"/>
      <c r="BE3" s="177"/>
      <c r="BF3" s="177"/>
      <c r="BG3" s="177"/>
      <c r="BH3" s="177"/>
      <c r="BI3" s="177"/>
      <c r="BJ3" s="177"/>
      <c r="BK3" s="177"/>
      <c r="BL3" s="177"/>
      <c r="BM3" s="177"/>
      <c r="BN3" s="177"/>
      <c r="BO3" s="177"/>
      <c r="BP3" s="177"/>
      <c r="BQ3" s="177"/>
      <c r="BR3" s="177"/>
      <c r="BS3" s="177"/>
      <c r="BT3" s="177"/>
      <c r="BU3" s="177"/>
      <c r="BV3" s="177"/>
      <c r="BW3" s="177"/>
      <c r="BX3" s="177"/>
    </row>
    <row r="4" spans="1:76" ht="32.25" thickBot="1" x14ac:dyDescent="0.3">
      <c r="A4" s="4" t="s">
        <v>6</v>
      </c>
      <c r="B4" s="25">
        <v>220</v>
      </c>
      <c r="C4" s="39">
        <f>B4</f>
        <v>220</v>
      </c>
      <c r="F4" s="36" t="s">
        <v>20</v>
      </c>
      <c r="G4" s="37" t="s">
        <v>21</v>
      </c>
      <c r="H4" s="38" t="s">
        <v>22</v>
      </c>
      <c r="K4" s="43" t="s">
        <v>75</v>
      </c>
      <c r="L4" s="43" t="s">
        <v>76</v>
      </c>
      <c r="M4" s="43" t="s">
        <v>77</v>
      </c>
      <c r="N4" s="43" t="s">
        <v>99</v>
      </c>
      <c r="O4" s="43" t="s">
        <v>100</v>
      </c>
      <c r="P4" s="43" t="s">
        <v>101</v>
      </c>
      <c r="Q4" s="43" t="s">
        <v>137</v>
      </c>
      <c r="R4" s="43" t="s">
        <v>148</v>
      </c>
      <c r="S4" s="43" t="s">
        <v>149</v>
      </c>
      <c r="T4" s="43" t="s">
        <v>150</v>
      </c>
      <c r="U4" s="43" t="s">
        <v>78</v>
      </c>
      <c r="V4" s="43" t="s">
        <v>79</v>
      </c>
      <c r="W4" s="43" t="s">
        <v>80</v>
      </c>
      <c r="X4" s="43" t="s">
        <v>107</v>
      </c>
      <c r="Y4" s="43" t="s">
        <v>108</v>
      </c>
      <c r="Z4" s="43" t="s">
        <v>109</v>
      </c>
      <c r="AA4" s="43" t="s">
        <v>138</v>
      </c>
      <c r="AB4" s="43" t="s">
        <v>155</v>
      </c>
      <c r="AC4" s="43" t="s">
        <v>156</v>
      </c>
      <c r="AD4" s="43" t="s">
        <v>157</v>
      </c>
      <c r="AE4" s="43" t="s">
        <v>81</v>
      </c>
      <c r="AF4" s="43" t="s">
        <v>82</v>
      </c>
      <c r="AG4" s="43" t="s">
        <v>83</v>
      </c>
      <c r="AH4" s="43" t="s">
        <v>103</v>
      </c>
      <c r="AI4" s="43" t="s">
        <v>104</v>
      </c>
      <c r="AJ4" s="43" t="s">
        <v>105</v>
      </c>
      <c r="AK4" s="43" t="s">
        <v>139</v>
      </c>
      <c r="AL4" s="43" t="s">
        <v>151</v>
      </c>
      <c r="AM4" s="43" t="s">
        <v>152</v>
      </c>
      <c r="AN4" s="43" t="s">
        <v>153</v>
      </c>
      <c r="AO4" s="43" t="s">
        <v>84</v>
      </c>
      <c r="AP4" s="43" t="s">
        <v>85</v>
      </c>
      <c r="AQ4" s="43" t="s">
        <v>86</v>
      </c>
      <c r="AR4" s="43" t="s">
        <v>110</v>
      </c>
      <c r="AS4" s="43" t="s">
        <v>111</v>
      </c>
      <c r="AT4" s="43" t="s">
        <v>112</v>
      </c>
      <c r="AU4" s="43" t="s">
        <v>140</v>
      </c>
      <c r="AV4" s="43" t="s">
        <v>87</v>
      </c>
      <c r="AW4" s="43" t="s">
        <v>88</v>
      </c>
      <c r="AX4" s="43" t="s">
        <v>89</v>
      </c>
      <c r="AY4" s="43" t="s">
        <v>113</v>
      </c>
      <c r="AZ4" s="43" t="s">
        <v>114</v>
      </c>
      <c r="BA4" s="43" t="s">
        <v>115</v>
      </c>
      <c r="BB4" s="43" t="s">
        <v>141</v>
      </c>
      <c r="BC4" s="43" t="s">
        <v>90</v>
      </c>
      <c r="BD4" s="43" t="s">
        <v>91</v>
      </c>
      <c r="BE4" s="43" t="s">
        <v>92</v>
      </c>
      <c r="BF4" s="43" t="s">
        <v>116</v>
      </c>
      <c r="BG4" s="43" t="s">
        <v>117</v>
      </c>
      <c r="BH4" s="43" t="s">
        <v>118</v>
      </c>
      <c r="BI4" s="43" t="s">
        <v>142</v>
      </c>
      <c r="BJ4" s="43" t="s">
        <v>93</v>
      </c>
      <c r="BK4" s="43" t="s">
        <v>94</v>
      </c>
      <c r="BL4" s="43" t="s">
        <v>95</v>
      </c>
      <c r="BM4" s="43" t="s">
        <v>119</v>
      </c>
      <c r="BN4" s="43" t="s">
        <v>120</v>
      </c>
      <c r="BO4" s="43" t="s">
        <v>121</v>
      </c>
      <c r="BP4" s="43" t="s">
        <v>143</v>
      </c>
      <c r="BQ4" s="43" t="s">
        <v>96</v>
      </c>
      <c r="BR4" s="43" t="s">
        <v>97</v>
      </c>
      <c r="BS4" s="43" t="s">
        <v>98</v>
      </c>
      <c r="BT4" s="43" t="s">
        <v>122</v>
      </c>
      <c r="BU4" s="43" t="s">
        <v>123</v>
      </c>
      <c r="BV4" s="43" t="s">
        <v>124</v>
      </c>
      <c r="BW4" s="43" t="s">
        <v>144</v>
      </c>
      <c r="BX4" s="43"/>
    </row>
    <row r="5" spans="1:76" ht="23.25" thickBot="1" x14ac:dyDescent="0.3">
      <c r="A5" s="7" t="s">
        <v>5</v>
      </c>
      <c r="B5" s="26">
        <v>380</v>
      </c>
      <c r="C5" s="40">
        <f>ROUNDUP(SQRT(3)*B5,2)</f>
        <v>658.18</v>
      </c>
      <c r="F5" s="27">
        <v>6300</v>
      </c>
      <c r="G5" s="28">
        <v>2.7E-2</v>
      </c>
      <c r="H5" s="29">
        <v>2E-3</v>
      </c>
      <c r="K5" s="46" t="str">
        <f>ADDRESS(ROW()+1,COLUMN())&amp;":"&amp;ADDRESS(100,COLUMN())</f>
        <v>$K$6:$K$100</v>
      </c>
      <c r="L5" s="46" t="str">
        <f t="shared" ref="L5:BW5" si="0">ADDRESS(ROW()+1,COLUMN())&amp;":"&amp;ADDRESS(100,COLUMN())</f>
        <v>$L$6:$L$100</v>
      </c>
      <c r="M5" s="46" t="str">
        <f t="shared" si="0"/>
        <v>$M$6:$M$100</v>
      </c>
      <c r="N5" s="46" t="str">
        <f t="shared" si="0"/>
        <v>$N$6:$N$100</v>
      </c>
      <c r="O5" s="46" t="str">
        <f t="shared" si="0"/>
        <v>$O$6:$O$100</v>
      </c>
      <c r="P5" s="46" t="str">
        <f t="shared" si="0"/>
        <v>$P$6:$P$100</v>
      </c>
      <c r="Q5" s="46" t="str">
        <f t="shared" si="0"/>
        <v>$Q$6:$Q$100</v>
      </c>
      <c r="R5" s="46" t="str">
        <f t="shared" si="0"/>
        <v>$R$6:$R$100</v>
      </c>
      <c r="S5" s="46" t="str">
        <f t="shared" si="0"/>
        <v>$S$6:$S$100</v>
      </c>
      <c r="T5" s="46" t="str">
        <f t="shared" si="0"/>
        <v>$T$6:$T$100</v>
      </c>
      <c r="U5" s="46" t="str">
        <f t="shared" si="0"/>
        <v>$U$6:$U$100</v>
      </c>
      <c r="V5" s="46" t="str">
        <f t="shared" si="0"/>
        <v>$V$6:$V$100</v>
      </c>
      <c r="W5" s="46" t="str">
        <f t="shared" si="0"/>
        <v>$W$6:$W$100</v>
      </c>
      <c r="X5" s="46" t="str">
        <f t="shared" si="0"/>
        <v>$X$6:$X$100</v>
      </c>
      <c r="Y5" s="46" t="str">
        <f t="shared" si="0"/>
        <v>$Y$6:$Y$100</v>
      </c>
      <c r="Z5" s="46" t="str">
        <f t="shared" si="0"/>
        <v>$Z$6:$Z$100</v>
      </c>
      <c r="AA5" s="46" t="str">
        <f t="shared" si="0"/>
        <v>$AA$6:$AA$100</v>
      </c>
      <c r="AB5" s="46" t="str">
        <f t="shared" si="0"/>
        <v>$AB$6:$AB$100</v>
      </c>
      <c r="AC5" s="46" t="str">
        <f t="shared" si="0"/>
        <v>$AC$6:$AC$100</v>
      </c>
      <c r="AD5" s="46" t="str">
        <f t="shared" si="0"/>
        <v>$AD$6:$AD$100</v>
      </c>
      <c r="AE5" s="46" t="str">
        <f t="shared" si="0"/>
        <v>$AE$6:$AE$100</v>
      </c>
      <c r="AF5" s="46" t="str">
        <f t="shared" si="0"/>
        <v>$AF$6:$AF$100</v>
      </c>
      <c r="AG5" s="46" t="str">
        <f t="shared" si="0"/>
        <v>$AG$6:$AG$100</v>
      </c>
      <c r="AH5" s="46" t="str">
        <f t="shared" si="0"/>
        <v>$AH$6:$AH$100</v>
      </c>
      <c r="AI5" s="46" t="str">
        <f t="shared" si="0"/>
        <v>$AI$6:$AI$100</v>
      </c>
      <c r="AJ5" s="46" t="str">
        <f t="shared" si="0"/>
        <v>$AJ$6:$AJ$100</v>
      </c>
      <c r="AK5" s="46" t="str">
        <f t="shared" si="0"/>
        <v>$AK$6:$AK$100</v>
      </c>
      <c r="AL5" s="46" t="str">
        <f t="shared" si="0"/>
        <v>$AL$6:$AL$100</v>
      </c>
      <c r="AM5" s="46" t="str">
        <f t="shared" si="0"/>
        <v>$AM$6:$AM$100</v>
      </c>
      <c r="AN5" s="46" t="str">
        <f t="shared" si="0"/>
        <v>$AN$6:$AN$100</v>
      </c>
      <c r="AO5" s="46" t="str">
        <f t="shared" si="0"/>
        <v>$AO$6:$AO$100</v>
      </c>
      <c r="AP5" s="46" t="str">
        <f t="shared" si="0"/>
        <v>$AP$6:$AP$100</v>
      </c>
      <c r="AQ5" s="46" t="str">
        <f t="shared" si="0"/>
        <v>$AQ$6:$AQ$100</v>
      </c>
      <c r="AR5" s="46" t="str">
        <f t="shared" si="0"/>
        <v>$AR$6:$AR$100</v>
      </c>
      <c r="AS5" s="46" t="str">
        <f t="shared" si="0"/>
        <v>$AS$6:$AS$100</v>
      </c>
      <c r="AT5" s="46" t="str">
        <f t="shared" si="0"/>
        <v>$AT$6:$AT$100</v>
      </c>
      <c r="AU5" s="46" t="str">
        <f t="shared" si="0"/>
        <v>$AU$6:$AU$100</v>
      </c>
      <c r="AV5" s="46" t="str">
        <f t="shared" si="0"/>
        <v>$AV$6:$AV$100</v>
      </c>
      <c r="AW5" s="46" t="str">
        <f t="shared" si="0"/>
        <v>$AW$6:$AW$100</v>
      </c>
      <c r="AX5" s="46" t="str">
        <f t="shared" si="0"/>
        <v>$AX$6:$AX$100</v>
      </c>
      <c r="AY5" s="46" t="str">
        <f t="shared" si="0"/>
        <v>$AY$6:$AY$100</v>
      </c>
      <c r="AZ5" s="46" t="str">
        <f t="shared" si="0"/>
        <v>$AZ$6:$AZ$100</v>
      </c>
      <c r="BA5" s="46" t="str">
        <f t="shared" si="0"/>
        <v>$BA$6:$BA$100</v>
      </c>
      <c r="BB5" s="46" t="str">
        <f t="shared" si="0"/>
        <v>$BB$6:$BB$100</v>
      </c>
      <c r="BC5" s="46" t="str">
        <f t="shared" si="0"/>
        <v>$BC$6:$BC$100</v>
      </c>
      <c r="BD5" s="46" t="str">
        <f t="shared" si="0"/>
        <v>$BD$6:$BD$100</v>
      </c>
      <c r="BE5" s="46" t="str">
        <f t="shared" si="0"/>
        <v>$BE$6:$BE$100</v>
      </c>
      <c r="BF5" s="46" t="str">
        <f t="shared" si="0"/>
        <v>$BF$6:$BF$100</v>
      </c>
      <c r="BG5" s="46" t="str">
        <f t="shared" si="0"/>
        <v>$BG$6:$BG$100</v>
      </c>
      <c r="BH5" s="46" t="str">
        <f t="shared" si="0"/>
        <v>$BH$6:$BH$100</v>
      </c>
      <c r="BI5" s="46" t="str">
        <f t="shared" si="0"/>
        <v>$BI$6:$BI$100</v>
      </c>
      <c r="BJ5" s="46" t="str">
        <f t="shared" si="0"/>
        <v>$BJ$6:$BJ$100</v>
      </c>
      <c r="BK5" s="46" t="str">
        <f t="shared" si="0"/>
        <v>$BK$6:$BK$100</v>
      </c>
      <c r="BL5" s="46" t="str">
        <f t="shared" si="0"/>
        <v>$BL$6:$BL$100</v>
      </c>
      <c r="BM5" s="46" t="str">
        <f t="shared" si="0"/>
        <v>$BM$6:$BM$100</v>
      </c>
      <c r="BN5" s="46" t="str">
        <f t="shared" si="0"/>
        <v>$BN$6:$BN$100</v>
      </c>
      <c r="BO5" s="46" t="str">
        <f t="shared" si="0"/>
        <v>$BO$6:$BO$100</v>
      </c>
      <c r="BP5" s="46" t="str">
        <f t="shared" si="0"/>
        <v>$BP$6:$BP$100</v>
      </c>
      <c r="BQ5" s="46" t="str">
        <f t="shared" si="0"/>
        <v>$BQ$6:$BQ$100</v>
      </c>
      <c r="BR5" s="46" t="str">
        <f t="shared" si="0"/>
        <v>$BR$6:$BR$100</v>
      </c>
      <c r="BS5" s="46" t="str">
        <f t="shared" si="0"/>
        <v>$BS$6:$BS$100</v>
      </c>
      <c r="BT5" s="46" t="str">
        <f t="shared" si="0"/>
        <v>$BT$6:$BT$100</v>
      </c>
      <c r="BU5" s="46" t="str">
        <f t="shared" si="0"/>
        <v>$BU$6:$BU$100</v>
      </c>
      <c r="BV5" s="46" t="str">
        <f t="shared" si="0"/>
        <v>$BV$6:$BV$100</v>
      </c>
      <c r="BW5" s="46" t="str">
        <f t="shared" si="0"/>
        <v>$BW$6:$BW$100</v>
      </c>
      <c r="BX5" s="46"/>
    </row>
    <row r="6" spans="1:76" x14ac:dyDescent="0.25">
      <c r="F6" s="27">
        <v>5000</v>
      </c>
      <c r="G6" s="28">
        <v>2.8000000000000001E-2</v>
      </c>
      <c r="H6" s="29">
        <v>2E-3</v>
      </c>
      <c r="K6" s="2">
        <v>6300</v>
      </c>
      <c r="L6" s="2">
        <v>2.7E-2</v>
      </c>
      <c r="M6" s="2">
        <v>2E-3</v>
      </c>
      <c r="N6" s="2" t="s">
        <v>102</v>
      </c>
      <c r="O6" s="2"/>
      <c r="P6" s="2"/>
      <c r="Q6" s="2">
        <v>2</v>
      </c>
      <c r="R6" s="49" t="s">
        <v>147</v>
      </c>
      <c r="S6" s="49">
        <v>12.5</v>
      </c>
      <c r="T6" s="49">
        <v>150</v>
      </c>
      <c r="U6" s="2">
        <v>125</v>
      </c>
      <c r="V6" s="2">
        <v>0</v>
      </c>
      <c r="W6" s="2">
        <v>0</v>
      </c>
      <c r="X6" s="2" t="s">
        <v>125</v>
      </c>
      <c r="Y6" s="2" t="s">
        <v>73</v>
      </c>
      <c r="Z6" s="2"/>
      <c r="AA6" s="2">
        <v>1</v>
      </c>
      <c r="AB6" s="50" t="s">
        <v>158</v>
      </c>
      <c r="AC6" s="50">
        <v>12.5</v>
      </c>
      <c r="AD6" s="50">
        <v>150</v>
      </c>
      <c r="AE6" s="2">
        <v>100</v>
      </c>
      <c r="AF6" s="2">
        <v>0</v>
      </c>
      <c r="AG6" s="2">
        <v>0</v>
      </c>
      <c r="AH6" s="2" t="s">
        <v>130</v>
      </c>
      <c r="AI6" s="2" t="s">
        <v>106</v>
      </c>
      <c r="AJ6" s="2">
        <v>0</v>
      </c>
      <c r="AK6" s="2">
        <v>3</v>
      </c>
      <c r="AL6" s="50" t="s">
        <v>154</v>
      </c>
      <c r="AM6" s="50">
        <v>12.5</v>
      </c>
      <c r="AN6" s="50">
        <v>150</v>
      </c>
      <c r="AO6" s="2">
        <v>100</v>
      </c>
      <c r="AP6" s="2">
        <v>0</v>
      </c>
      <c r="AQ6" s="2">
        <v>0</v>
      </c>
      <c r="AR6" s="2" t="s">
        <v>131</v>
      </c>
      <c r="AS6" s="2" t="s">
        <v>129</v>
      </c>
      <c r="AT6" s="2">
        <v>4</v>
      </c>
      <c r="AU6" s="2"/>
      <c r="AV6" s="48">
        <v>50</v>
      </c>
      <c r="AW6" s="2">
        <v>0</v>
      </c>
      <c r="AX6" s="2">
        <v>0</v>
      </c>
      <c r="AY6" s="2" t="s">
        <v>132</v>
      </c>
      <c r="AZ6" s="2" t="s">
        <v>126</v>
      </c>
      <c r="BA6" s="2"/>
      <c r="BB6" s="2">
        <v>5</v>
      </c>
      <c r="BC6" s="2">
        <v>5000</v>
      </c>
      <c r="BD6" s="2">
        <v>0</v>
      </c>
      <c r="BE6" s="2">
        <v>0</v>
      </c>
      <c r="BF6" s="2" t="s">
        <v>133</v>
      </c>
      <c r="BG6" s="2" t="str">
        <f t="shared" ref="BG6:BG36" si="1">"ТТИ-А "&amp;BC6&amp;"/5А 5ВА 0,5S"</f>
        <v>ТТИ-А 5000/5А 5ВА 0,5S</v>
      </c>
      <c r="BI6">
        <v>6</v>
      </c>
      <c r="BJ6" s="2">
        <v>100</v>
      </c>
      <c r="BK6" s="2">
        <v>0</v>
      </c>
      <c r="BL6" s="2">
        <v>0</v>
      </c>
      <c r="BM6" s="2" t="s">
        <v>134</v>
      </c>
      <c r="BN6" s="2" t="s">
        <v>128</v>
      </c>
      <c r="BO6" s="2"/>
      <c r="BP6" s="2">
        <v>7</v>
      </c>
      <c r="BQ6" s="2">
        <v>80</v>
      </c>
      <c r="BR6" s="2">
        <v>0</v>
      </c>
      <c r="BS6" s="2">
        <v>0</v>
      </c>
      <c r="BT6" s="2" t="s">
        <v>135</v>
      </c>
      <c r="BU6" s="2" t="s">
        <v>136</v>
      </c>
      <c r="BV6" s="2"/>
      <c r="BW6" s="2">
        <v>8</v>
      </c>
      <c r="BX6" s="2"/>
    </row>
    <row r="7" spans="1:76" x14ac:dyDescent="0.25">
      <c r="F7" s="27">
        <v>4000</v>
      </c>
      <c r="G7" s="28">
        <v>0.1</v>
      </c>
      <c r="H7" s="29">
        <v>0.05</v>
      </c>
      <c r="K7" s="2">
        <v>5000</v>
      </c>
      <c r="L7" s="2">
        <v>2.8000000000000001E-2</v>
      </c>
      <c r="M7" s="2">
        <v>2E-3</v>
      </c>
      <c r="N7" s="2" t="s">
        <v>102</v>
      </c>
      <c r="O7" s="2"/>
      <c r="P7" s="2"/>
      <c r="Q7" s="2">
        <v>2</v>
      </c>
      <c r="R7" s="49" t="s">
        <v>147</v>
      </c>
      <c r="S7" s="49">
        <v>12.5</v>
      </c>
      <c r="T7" s="49">
        <v>150</v>
      </c>
      <c r="U7" s="2">
        <v>100</v>
      </c>
      <c r="V7" s="2">
        <v>0</v>
      </c>
      <c r="W7" s="2">
        <v>0</v>
      </c>
      <c r="X7" s="2" t="s">
        <v>125</v>
      </c>
      <c r="Y7" s="2" t="s">
        <v>73</v>
      </c>
      <c r="Z7" s="2"/>
      <c r="AA7" s="2">
        <v>1</v>
      </c>
      <c r="AB7" s="50" t="s">
        <v>158</v>
      </c>
      <c r="AC7" s="50">
        <v>12.5</v>
      </c>
      <c r="AD7" s="50">
        <v>150</v>
      </c>
      <c r="AE7" s="2">
        <v>63</v>
      </c>
      <c r="AF7" s="2">
        <v>0</v>
      </c>
      <c r="AG7" s="2">
        <v>0</v>
      </c>
      <c r="AH7" s="2" t="s">
        <v>130</v>
      </c>
      <c r="AI7" s="2" t="s">
        <v>106</v>
      </c>
      <c r="AJ7" s="2">
        <v>0</v>
      </c>
      <c r="AK7" s="2">
        <v>3</v>
      </c>
      <c r="AL7" s="50" t="s">
        <v>154</v>
      </c>
      <c r="AM7" s="50">
        <v>12.5</v>
      </c>
      <c r="AN7" s="50">
        <v>150</v>
      </c>
      <c r="AO7" s="2">
        <v>80</v>
      </c>
      <c r="AP7" s="2">
        <v>0</v>
      </c>
      <c r="AQ7" s="2">
        <v>0</v>
      </c>
      <c r="AR7" s="2" t="s">
        <v>131</v>
      </c>
      <c r="AS7" s="2" t="s">
        <v>129</v>
      </c>
      <c r="AT7" s="2">
        <v>4</v>
      </c>
      <c r="AU7" s="2"/>
      <c r="AV7" s="48">
        <v>40</v>
      </c>
      <c r="AW7" s="2">
        <v>0</v>
      </c>
      <c r="AX7" s="2">
        <v>0</v>
      </c>
      <c r="AY7" s="2" t="s">
        <v>132</v>
      </c>
      <c r="AZ7" s="2" t="s">
        <v>126</v>
      </c>
      <c r="BA7" s="2"/>
      <c r="BB7" s="2">
        <v>5</v>
      </c>
      <c r="BC7" s="2">
        <v>4000</v>
      </c>
      <c r="BD7" s="2">
        <v>0</v>
      </c>
      <c r="BE7" s="2">
        <v>0</v>
      </c>
      <c r="BF7" s="2" t="s">
        <v>133</v>
      </c>
      <c r="BG7" s="2" t="str">
        <f t="shared" si="1"/>
        <v>ТТИ-А 4000/5А 5ВА 0,5S</v>
      </c>
      <c r="BH7" s="2"/>
      <c r="BI7">
        <v>6</v>
      </c>
      <c r="BJ7" s="2">
        <v>60</v>
      </c>
      <c r="BK7" s="2">
        <v>0</v>
      </c>
      <c r="BL7" s="2">
        <v>0</v>
      </c>
      <c r="BM7" s="2" t="s">
        <v>134</v>
      </c>
      <c r="BN7" s="2" t="s">
        <v>127</v>
      </c>
      <c r="BO7" s="2"/>
      <c r="BP7" s="2">
        <v>7</v>
      </c>
      <c r="BQ7" s="2">
        <v>63</v>
      </c>
      <c r="BR7" s="2">
        <v>0</v>
      </c>
      <c r="BS7" s="2">
        <v>0</v>
      </c>
      <c r="BT7" s="2" t="s">
        <v>135</v>
      </c>
      <c r="BU7" s="2" t="s">
        <v>136</v>
      </c>
      <c r="BV7" s="2"/>
      <c r="BW7" s="2">
        <v>8</v>
      </c>
      <c r="BX7" s="2"/>
    </row>
    <row r="8" spans="1:76" ht="15.75" thickBot="1" x14ac:dyDescent="0.3">
      <c r="F8" s="27">
        <v>3200</v>
      </c>
      <c r="G8" s="28">
        <v>0.12</v>
      </c>
      <c r="H8" s="29">
        <v>0.06</v>
      </c>
      <c r="K8" s="2">
        <v>4000</v>
      </c>
      <c r="L8" s="2">
        <v>0.1</v>
      </c>
      <c r="M8" s="2">
        <v>0.05</v>
      </c>
      <c r="N8" s="2" t="s">
        <v>102</v>
      </c>
      <c r="O8" s="2"/>
      <c r="P8" s="2"/>
      <c r="Q8" s="2">
        <v>2</v>
      </c>
      <c r="R8" s="49" t="s">
        <v>147</v>
      </c>
      <c r="S8" s="49">
        <v>12.5</v>
      </c>
      <c r="T8" s="49">
        <v>150</v>
      </c>
      <c r="U8" s="2">
        <v>63</v>
      </c>
      <c r="V8" s="2">
        <v>0</v>
      </c>
      <c r="W8" s="2">
        <v>0</v>
      </c>
      <c r="X8" s="2" t="s">
        <v>125</v>
      </c>
      <c r="Y8" s="2" t="s">
        <v>73</v>
      </c>
      <c r="Z8" s="2"/>
      <c r="AA8" s="2">
        <v>1</v>
      </c>
      <c r="AB8" s="50" t="s">
        <v>158</v>
      </c>
      <c r="AC8" s="50">
        <v>12.5</v>
      </c>
      <c r="AD8" s="50">
        <v>150</v>
      </c>
      <c r="AE8" s="2">
        <v>50</v>
      </c>
      <c r="AF8" s="2">
        <v>0</v>
      </c>
      <c r="AG8" s="2">
        <v>0</v>
      </c>
      <c r="AH8" s="2" t="s">
        <v>130</v>
      </c>
      <c r="AI8" s="2" t="s">
        <v>106</v>
      </c>
      <c r="AJ8" s="2">
        <v>0</v>
      </c>
      <c r="AK8" s="2">
        <v>3</v>
      </c>
      <c r="AL8" s="50" t="s">
        <v>154</v>
      </c>
      <c r="AM8" s="50">
        <v>12.5</v>
      </c>
      <c r="AN8" s="50">
        <v>150</v>
      </c>
      <c r="AO8" s="2">
        <v>63</v>
      </c>
      <c r="AP8" s="2">
        <v>0</v>
      </c>
      <c r="AQ8" s="2">
        <v>0</v>
      </c>
      <c r="AR8" s="2" t="s">
        <v>131</v>
      </c>
      <c r="AS8" s="2" t="s">
        <v>129</v>
      </c>
      <c r="AT8" s="2">
        <v>4</v>
      </c>
      <c r="AU8" s="2"/>
      <c r="AV8" s="2">
        <v>32</v>
      </c>
      <c r="AW8" s="2">
        <v>0</v>
      </c>
      <c r="AX8" s="2">
        <v>0</v>
      </c>
      <c r="AY8" s="2" t="s">
        <v>132</v>
      </c>
      <c r="AZ8" s="2" t="s">
        <v>126</v>
      </c>
      <c r="BA8" s="2"/>
      <c r="BB8" s="2">
        <v>5</v>
      </c>
      <c r="BC8" s="2">
        <v>3000</v>
      </c>
      <c r="BD8" s="2">
        <v>0</v>
      </c>
      <c r="BE8" s="2">
        <v>0</v>
      </c>
      <c r="BF8" s="2" t="s">
        <v>133</v>
      </c>
      <c r="BG8" s="2" t="str">
        <f t="shared" si="1"/>
        <v>ТТИ-А 3000/5А 5ВА 0,5S</v>
      </c>
      <c r="BH8" s="2"/>
      <c r="BI8">
        <v>6</v>
      </c>
      <c r="BJ8" s="2">
        <v>0</v>
      </c>
      <c r="BK8" s="2">
        <v>0</v>
      </c>
      <c r="BL8" s="2">
        <v>0</v>
      </c>
      <c r="BM8" s="2"/>
      <c r="BN8" s="2"/>
      <c r="BO8" s="2"/>
      <c r="BP8" s="2"/>
      <c r="BQ8" s="2">
        <v>50</v>
      </c>
      <c r="BR8" s="2">
        <v>0</v>
      </c>
      <c r="BS8" s="2">
        <v>0</v>
      </c>
      <c r="BT8" s="2" t="s">
        <v>135</v>
      </c>
      <c r="BU8" s="2" t="s">
        <v>136</v>
      </c>
      <c r="BV8" s="2"/>
      <c r="BW8" s="2">
        <v>8</v>
      </c>
      <c r="BX8" s="2"/>
    </row>
    <row r="9" spans="1:76" ht="15.75" thickBot="1" x14ac:dyDescent="0.3">
      <c r="A9" s="184" t="s">
        <v>3</v>
      </c>
      <c r="B9" s="185"/>
      <c r="F9" s="27">
        <v>2500</v>
      </c>
      <c r="G9" s="28">
        <v>0.13</v>
      </c>
      <c r="H9" s="29">
        <v>7.0000000000000007E-2</v>
      </c>
      <c r="K9" s="2">
        <v>3200</v>
      </c>
      <c r="L9" s="2">
        <v>0.12</v>
      </c>
      <c r="M9" s="2">
        <v>0.06</v>
      </c>
      <c r="N9" s="2" t="s">
        <v>102</v>
      </c>
      <c r="O9" s="2"/>
      <c r="P9" s="2"/>
      <c r="Q9" s="2">
        <v>2</v>
      </c>
      <c r="R9" s="49" t="s">
        <v>147</v>
      </c>
      <c r="S9" s="49">
        <v>12.5</v>
      </c>
      <c r="T9" s="49">
        <v>150</v>
      </c>
      <c r="U9" s="2">
        <v>40</v>
      </c>
      <c r="V9" s="2">
        <v>0</v>
      </c>
      <c r="W9" s="2">
        <v>0</v>
      </c>
      <c r="X9" s="2" t="s">
        <v>125</v>
      </c>
      <c r="Y9" s="2" t="s">
        <v>73</v>
      </c>
      <c r="Z9" s="2"/>
      <c r="AA9" s="2">
        <v>1</v>
      </c>
      <c r="AB9" s="50" t="s">
        <v>158</v>
      </c>
      <c r="AC9" s="50">
        <v>12.5</v>
      </c>
      <c r="AD9" s="50">
        <v>150</v>
      </c>
      <c r="AE9" s="2">
        <v>40</v>
      </c>
      <c r="AF9" s="2">
        <v>0</v>
      </c>
      <c r="AG9" s="2">
        <v>0</v>
      </c>
      <c r="AH9" s="2" t="s">
        <v>130</v>
      </c>
      <c r="AI9" s="2" t="s">
        <v>106</v>
      </c>
      <c r="AJ9" s="2">
        <v>0</v>
      </c>
      <c r="AK9" s="2">
        <v>3</v>
      </c>
      <c r="AL9" s="50" t="s">
        <v>154</v>
      </c>
      <c r="AM9" s="50">
        <v>12.5</v>
      </c>
      <c r="AN9" s="50">
        <v>150</v>
      </c>
      <c r="AO9" s="2">
        <v>50</v>
      </c>
      <c r="AP9" s="2">
        <v>0</v>
      </c>
      <c r="AQ9" s="2">
        <v>0</v>
      </c>
      <c r="AR9" s="2" t="s">
        <v>131</v>
      </c>
      <c r="AS9" s="2" t="s">
        <v>129</v>
      </c>
      <c r="AT9" s="2">
        <v>4</v>
      </c>
      <c r="AU9" s="2"/>
      <c r="AV9" s="2">
        <v>25</v>
      </c>
      <c r="AW9" s="2">
        <v>0</v>
      </c>
      <c r="AX9" s="2">
        <v>0</v>
      </c>
      <c r="AY9" s="2" t="s">
        <v>132</v>
      </c>
      <c r="AZ9" s="2" t="s">
        <v>126</v>
      </c>
      <c r="BA9" s="2"/>
      <c r="BB9" s="2">
        <v>5</v>
      </c>
      <c r="BC9" s="2">
        <v>2000</v>
      </c>
      <c r="BD9" s="2">
        <v>0</v>
      </c>
      <c r="BE9" s="2">
        <v>0</v>
      </c>
      <c r="BF9" s="2" t="s">
        <v>133</v>
      </c>
      <c r="BG9" s="2" t="str">
        <f t="shared" si="1"/>
        <v>ТТИ-А 2000/5А 5ВА 0,5S</v>
      </c>
      <c r="BH9" s="2"/>
      <c r="BI9">
        <v>6</v>
      </c>
      <c r="BJ9" s="2">
        <v>0</v>
      </c>
      <c r="BK9" s="2">
        <v>0</v>
      </c>
      <c r="BL9" s="2">
        <v>0</v>
      </c>
      <c r="BM9" s="2"/>
      <c r="BN9" s="2"/>
      <c r="BO9" s="2"/>
      <c r="BP9" s="2"/>
      <c r="BQ9" s="2">
        <v>40</v>
      </c>
      <c r="BR9" s="2">
        <v>0</v>
      </c>
      <c r="BS9" s="2">
        <v>0</v>
      </c>
      <c r="BT9" s="2" t="s">
        <v>135</v>
      </c>
      <c r="BU9" s="2" t="s">
        <v>136</v>
      </c>
      <c r="BV9" s="2"/>
      <c r="BW9" s="2">
        <v>8</v>
      </c>
      <c r="BX9" s="2"/>
    </row>
    <row r="10" spans="1:76" x14ac:dyDescent="0.25">
      <c r="A10" s="4" t="s">
        <v>23</v>
      </c>
      <c r="B10" s="39" t="s">
        <v>27</v>
      </c>
      <c r="F10" s="27">
        <v>2000</v>
      </c>
      <c r="G10" s="28">
        <v>0.13500000000000001</v>
      </c>
      <c r="H10" s="29">
        <v>7.4999999999999997E-2</v>
      </c>
      <c r="K10" s="2">
        <v>2500</v>
      </c>
      <c r="L10" s="2">
        <v>0.13</v>
      </c>
      <c r="M10" s="2">
        <v>7.0000000000000007E-2</v>
      </c>
      <c r="N10" s="2" t="s">
        <v>102</v>
      </c>
      <c r="O10" s="2"/>
      <c r="P10" s="2"/>
      <c r="Q10" s="2">
        <v>2</v>
      </c>
      <c r="R10" s="49" t="s">
        <v>147</v>
      </c>
      <c r="S10" s="49">
        <v>12.5</v>
      </c>
      <c r="T10" s="49">
        <v>150</v>
      </c>
      <c r="U10" s="2">
        <v>32</v>
      </c>
      <c r="V10" s="2">
        <v>0</v>
      </c>
      <c r="W10" s="2">
        <v>0</v>
      </c>
      <c r="X10" s="2" t="s">
        <v>125</v>
      </c>
      <c r="Y10" s="2" t="s">
        <v>73</v>
      </c>
      <c r="Z10" s="2"/>
      <c r="AA10" s="2">
        <v>1</v>
      </c>
      <c r="AB10" s="50" t="s">
        <v>158</v>
      </c>
      <c r="AC10" s="50">
        <v>12.5</v>
      </c>
      <c r="AD10" s="50">
        <v>150</v>
      </c>
      <c r="AE10" s="2">
        <v>32</v>
      </c>
      <c r="AF10" s="2">
        <v>0</v>
      </c>
      <c r="AG10" s="2">
        <v>0</v>
      </c>
      <c r="AH10" s="2" t="s">
        <v>130</v>
      </c>
      <c r="AI10" s="2" t="s">
        <v>106</v>
      </c>
      <c r="AJ10" s="2">
        <v>0</v>
      </c>
      <c r="AK10" s="2">
        <v>3</v>
      </c>
      <c r="AL10" s="50" t="s">
        <v>154</v>
      </c>
      <c r="AM10" s="50">
        <v>12.5</v>
      </c>
      <c r="AN10" s="50">
        <v>150</v>
      </c>
      <c r="AO10" s="2">
        <v>40</v>
      </c>
      <c r="AP10" s="2">
        <v>0</v>
      </c>
      <c r="AQ10" s="2">
        <v>0</v>
      </c>
      <c r="AR10" s="2" t="s">
        <v>131</v>
      </c>
      <c r="AS10" s="2" t="s">
        <v>129</v>
      </c>
      <c r="AT10" s="2">
        <v>4</v>
      </c>
      <c r="AU10" s="2"/>
      <c r="AV10" s="2">
        <v>20</v>
      </c>
      <c r="AW10" s="2">
        <v>0</v>
      </c>
      <c r="AX10" s="2">
        <v>0</v>
      </c>
      <c r="AY10" s="2" t="s">
        <v>132</v>
      </c>
      <c r="AZ10" s="2" t="s">
        <v>126</v>
      </c>
      <c r="BA10" s="2"/>
      <c r="BB10" s="2">
        <v>5</v>
      </c>
      <c r="BC10" s="2">
        <v>1600</v>
      </c>
      <c r="BD10" s="2">
        <v>0</v>
      </c>
      <c r="BE10" s="2">
        <v>0</v>
      </c>
      <c r="BF10" s="2" t="s">
        <v>133</v>
      </c>
      <c r="BG10" s="2" t="str">
        <f t="shared" si="1"/>
        <v>ТТИ-А 1600/5А 5ВА 0,5S</v>
      </c>
      <c r="BH10" s="2"/>
      <c r="BI10">
        <v>6</v>
      </c>
      <c r="BJ10" s="2">
        <v>0</v>
      </c>
      <c r="BK10" s="2">
        <v>0</v>
      </c>
      <c r="BL10" s="2">
        <v>0</v>
      </c>
      <c r="BM10" s="2"/>
      <c r="BN10" s="2"/>
      <c r="BO10" s="2"/>
      <c r="BP10" s="2"/>
      <c r="BQ10" s="2">
        <v>32</v>
      </c>
      <c r="BR10" s="2">
        <v>0</v>
      </c>
      <c r="BS10" s="2">
        <v>0</v>
      </c>
      <c r="BT10" s="2" t="s">
        <v>135</v>
      </c>
      <c r="BU10" s="2" t="s">
        <v>136</v>
      </c>
      <c r="BV10" s="2"/>
      <c r="BW10" s="2">
        <v>8</v>
      </c>
      <c r="BX10" s="2"/>
    </row>
    <row r="11" spans="1:76" x14ac:dyDescent="0.25">
      <c r="A11" s="41" t="s">
        <v>24</v>
      </c>
      <c r="B11" s="42" t="s">
        <v>28</v>
      </c>
      <c r="F11" s="27">
        <v>1600</v>
      </c>
      <c r="G11" s="28">
        <v>0.14000000000000001</v>
      </c>
      <c r="H11" s="29">
        <v>0.08</v>
      </c>
      <c r="K11" s="2">
        <v>2000</v>
      </c>
      <c r="L11" s="2">
        <v>0.13500000000000001</v>
      </c>
      <c r="M11" s="2">
        <v>7.4999999999999997E-2</v>
      </c>
      <c r="N11" s="2" t="s">
        <v>102</v>
      </c>
      <c r="O11" s="2"/>
      <c r="P11" s="2"/>
      <c r="Q11" s="2">
        <v>2</v>
      </c>
      <c r="R11" s="49" t="s">
        <v>147</v>
      </c>
      <c r="S11" s="49">
        <v>12.5</v>
      </c>
      <c r="T11" s="49">
        <v>150</v>
      </c>
      <c r="U11" s="2">
        <v>25</v>
      </c>
      <c r="V11" s="2">
        <v>0</v>
      </c>
      <c r="W11" s="2">
        <v>0</v>
      </c>
      <c r="X11" s="2" t="s">
        <v>125</v>
      </c>
      <c r="Y11" s="2" t="s">
        <v>73</v>
      </c>
      <c r="Z11" s="2"/>
      <c r="AA11" s="2">
        <v>1</v>
      </c>
      <c r="AB11" s="50" t="s">
        <v>158</v>
      </c>
      <c r="AC11" s="50">
        <v>12.5</v>
      </c>
      <c r="AD11" s="50">
        <v>150</v>
      </c>
      <c r="AE11" s="2">
        <v>25</v>
      </c>
      <c r="AF11" s="2">
        <v>0</v>
      </c>
      <c r="AG11" s="2">
        <v>0</v>
      </c>
      <c r="AH11" s="2" t="s">
        <v>130</v>
      </c>
      <c r="AI11" s="2" t="s">
        <v>106</v>
      </c>
      <c r="AJ11" s="2">
        <v>0</v>
      </c>
      <c r="AK11" s="2">
        <v>3</v>
      </c>
      <c r="AL11" s="50" t="s">
        <v>154</v>
      </c>
      <c r="AM11" s="50">
        <v>12.5</v>
      </c>
      <c r="AN11" s="50">
        <v>150</v>
      </c>
      <c r="AO11" s="2">
        <v>32</v>
      </c>
      <c r="AP11" s="2">
        <v>0</v>
      </c>
      <c r="AQ11" s="2">
        <v>0</v>
      </c>
      <c r="AR11" s="2" t="s">
        <v>131</v>
      </c>
      <c r="AS11" s="2" t="s">
        <v>129</v>
      </c>
      <c r="AT11" s="2">
        <v>4</v>
      </c>
      <c r="AU11" s="2"/>
      <c r="AV11" s="2">
        <v>16</v>
      </c>
      <c r="AW11" s="2">
        <v>0</v>
      </c>
      <c r="AX11" s="2">
        <v>0</v>
      </c>
      <c r="AY11" s="48" t="s">
        <v>132</v>
      </c>
      <c r="AZ11" s="48" t="s">
        <v>126</v>
      </c>
      <c r="BA11" s="2"/>
      <c r="BB11" s="2"/>
      <c r="BC11" s="2">
        <v>1500</v>
      </c>
      <c r="BD11" s="2">
        <v>0</v>
      </c>
      <c r="BE11" s="2">
        <v>0</v>
      </c>
      <c r="BF11" s="2" t="s">
        <v>133</v>
      </c>
      <c r="BG11" s="2" t="str">
        <f t="shared" si="1"/>
        <v>ТТИ-А 1500/5А 5ВА 0,5S</v>
      </c>
      <c r="BH11" s="2"/>
      <c r="BI11">
        <v>6</v>
      </c>
      <c r="BJ11" s="2">
        <v>0</v>
      </c>
      <c r="BK11" s="2">
        <v>0</v>
      </c>
      <c r="BL11" s="2">
        <v>0</v>
      </c>
      <c r="BM11" s="2"/>
      <c r="BN11" s="2"/>
      <c r="BO11" s="2"/>
      <c r="BP11" s="2"/>
      <c r="BQ11" s="2">
        <v>25</v>
      </c>
      <c r="BR11" s="2">
        <v>0</v>
      </c>
      <c r="BS11" s="2">
        <v>0</v>
      </c>
      <c r="BT11" s="2" t="s">
        <v>135</v>
      </c>
      <c r="BU11" s="2" t="s">
        <v>136</v>
      </c>
      <c r="BV11" s="2"/>
      <c r="BW11" s="2">
        <v>8</v>
      </c>
      <c r="BX11" s="2"/>
    </row>
    <row r="12" spans="1:76" x14ac:dyDescent="0.25">
      <c r="A12" s="41" t="s">
        <v>25</v>
      </c>
      <c r="B12" s="42" t="s">
        <v>29</v>
      </c>
      <c r="F12" s="27">
        <v>1250</v>
      </c>
      <c r="G12" s="28">
        <v>0.2</v>
      </c>
      <c r="H12" s="29">
        <v>0.09</v>
      </c>
      <c r="K12" s="2">
        <v>1600</v>
      </c>
      <c r="L12" s="2">
        <v>0.14000000000000001</v>
      </c>
      <c r="M12" s="2">
        <v>0.08</v>
      </c>
      <c r="N12" s="2" t="s">
        <v>102</v>
      </c>
      <c r="O12" s="2"/>
      <c r="P12" s="2"/>
      <c r="Q12" s="2">
        <v>2</v>
      </c>
      <c r="R12" s="49" t="s">
        <v>147</v>
      </c>
      <c r="S12" s="49">
        <v>12.5</v>
      </c>
      <c r="T12" s="49">
        <v>150</v>
      </c>
      <c r="U12" s="2">
        <v>20</v>
      </c>
      <c r="V12" s="2">
        <v>0</v>
      </c>
      <c r="W12" s="2">
        <v>0</v>
      </c>
      <c r="X12" s="2" t="s">
        <v>125</v>
      </c>
      <c r="Y12" s="2" t="s">
        <v>73</v>
      </c>
      <c r="Z12" s="2"/>
      <c r="AA12" s="2">
        <v>1</v>
      </c>
      <c r="AB12" s="50" t="s">
        <v>158</v>
      </c>
      <c r="AC12" s="50">
        <v>12.5</v>
      </c>
      <c r="AD12" s="50">
        <v>150</v>
      </c>
      <c r="AE12" s="2">
        <v>20</v>
      </c>
      <c r="AF12" s="2">
        <v>0</v>
      </c>
      <c r="AG12" s="2">
        <v>0</v>
      </c>
      <c r="AH12" s="2" t="s">
        <v>130</v>
      </c>
      <c r="AI12" s="2" t="s">
        <v>106</v>
      </c>
      <c r="AJ12" s="2">
        <v>0</v>
      </c>
      <c r="AK12" s="2">
        <v>3</v>
      </c>
      <c r="AL12" s="50" t="s">
        <v>154</v>
      </c>
      <c r="AM12" s="50">
        <v>12.5</v>
      </c>
      <c r="AN12" s="50">
        <v>150</v>
      </c>
      <c r="AO12" s="2">
        <v>25</v>
      </c>
      <c r="AP12" s="2">
        <v>0</v>
      </c>
      <c r="AQ12" s="2">
        <v>0</v>
      </c>
      <c r="AR12" s="2" t="s">
        <v>131</v>
      </c>
      <c r="AS12" s="2" t="s">
        <v>129</v>
      </c>
      <c r="AT12" s="2">
        <v>4</v>
      </c>
      <c r="AU12" s="2"/>
      <c r="AV12" s="2">
        <v>10</v>
      </c>
      <c r="AW12" s="2">
        <v>0</v>
      </c>
      <c r="AX12" s="2">
        <v>0</v>
      </c>
      <c r="AY12" s="48" t="s">
        <v>132</v>
      </c>
      <c r="AZ12" s="48" t="s">
        <v>126</v>
      </c>
      <c r="BA12" s="2"/>
      <c r="BB12" s="2"/>
      <c r="BC12" s="2">
        <v>1250</v>
      </c>
      <c r="BD12" s="2">
        <v>0</v>
      </c>
      <c r="BE12" s="2">
        <v>0</v>
      </c>
      <c r="BF12" s="2" t="s">
        <v>133</v>
      </c>
      <c r="BG12" s="2" t="str">
        <f t="shared" si="1"/>
        <v>ТТИ-А 1250/5А 5ВА 0,5S</v>
      </c>
      <c r="BH12" s="2"/>
      <c r="BI12">
        <v>6</v>
      </c>
      <c r="BJ12" s="2">
        <v>0</v>
      </c>
      <c r="BK12" s="2">
        <v>0</v>
      </c>
      <c r="BL12" s="2">
        <v>0</v>
      </c>
      <c r="BM12" s="2"/>
      <c r="BN12" s="2"/>
      <c r="BO12" s="2"/>
      <c r="BP12" s="2"/>
      <c r="BQ12" s="2">
        <v>16</v>
      </c>
      <c r="BR12" s="2">
        <v>0</v>
      </c>
      <c r="BS12" s="2">
        <v>0</v>
      </c>
      <c r="BT12" s="2" t="s">
        <v>135</v>
      </c>
      <c r="BU12" s="2" t="s">
        <v>136</v>
      </c>
      <c r="BV12" s="2"/>
      <c r="BW12" s="2">
        <v>8</v>
      </c>
      <c r="BX12" s="2"/>
    </row>
    <row r="13" spans="1:76" ht="15.75" thickBot="1" x14ac:dyDescent="0.3">
      <c r="A13" s="7" t="s">
        <v>26</v>
      </c>
      <c r="B13" s="40" t="s">
        <v>30</v>
      </c>
      <c r="F13" s="27">
        <v>1000</v>
      </c>
      <c r="G13" s="28">
        <v>0.25</v>
      </c>
      <c r="H13" s="29">
        <v>0.1</v>
      </c>
      <c r="K13" s="2">
        <v>1250</v>
      </c>
      <c r="L13" s="2">
        <v>0.2</v>
      </c>
      <c r="M13" s="2">
        <v>0.09</v>
      </c>
      <c r="N13" s="2" t="s">
        <v>102</v>
      </c>
      <c r="O13" s="2"/>
      <c r="P13" s="2"/>
      <c r="Q13" s="2">
        <v>2</v>
      </c>
      <c r="R13" s="49" t="s">
        <v>147</v>
      </c>
      <c r="S13" s="49">
        <v>12.5</v>
      </c>
      <c r="T13" s="49">
        <v>150</v>
      </c>
      <c r="U13" s="2">
        <v>0</v>
      </c>
      <c r="V13" s="2">
        <v>0</v>
      </c>
      <c r="W13" s="2">
        <v>0</v>
      </c>
      <c r="X13" s="2"/>
      <c r="Y13" s="2"/>
      <c r="Z13" s="2"/>
      <c r="AA13" s="2"/>
      <c r="AB13" s="50" t="s">
        <v>158</v>
      </c>
      <c r="AC13" s="50">
        <v>12.5</v>
      </c>
      <c r="AD13" s="50">
        <v>150</v>
      </c>
      <c r="AE13" s="2">
        <v>16</v>
      </c>
      <c r="AF13" s="2">
        <v>0</v>
      </c>
      <c r="AG13" s="2">
        <v>0</v>
      </c>
      <c r="AH13" s="2" t="s">
        <v>130</v>
      </c>
      <c r="AI13" s="2" t="s">
        <v>106</v>
      </c>
      <c r="AJ13" s="2">
        <v>0</v>
      </c>
      <c r="AK13" s="2">
        <v>3</v>
      </c>
      <c r="AL13" s="50" t="s">
        <v>154</v>
      </c>
      <c r="AM13" s="50">
        <v>12.5</v>
      </c>
      <c r="AN13" s="50">
        <v>150</v>
      </c>
      <c r="AO13" s="2">
        <v>16</v>
      </c>
      <c r="AP13" s="2">
        <v>0</v>
      </c>
      <c r="AQ13" s="2">
        <v>0</v>
      </c>
      <c r="AR13" s="2" t="s">
        <v>131</v>
      </c>
      <c r="AS13" s="2" t="s">
        <v>129</v>
      </c>
      <c r="AT13" s="2">
        <v>4</v>
      </c>
      <c r="AU13" s="2"/>
      <c r="AV13" s="2">
        <v>0</v>
      </c>
      <c r="AW13" s="2">
        <v>0</v>
      </c>
      <c r="AX13" s="2">
        <v>0</v>
      </c>
      <c r="AY13" s="2"/>
      <c r="AZ13" s="2"/>
      <c r="BA13" s="2"/>
      <c r="BB13" s="2"/>
      <c r="BC13" s="2">
        <v>1200</v>
      </c>
      <c r="BD13" s="2">
        <v>0</v>
      </c>
      <c r="BE13" s="2">
        <v>0</v>
      </c>
      <c r="BF13" s="2" t="s">
        <v>133</v>
      </c>
      <c r="BG13" s="2" t="str">
        <f t="shared" si="1"/>
        <v>ТТИ-А 1200/5А 5ВА 0,5S</v>
      </c>
      <c r="BH13" s="2"/>
      <c r="BI13">
        <v>6</v>
      </c>
      <c r="BJ13" s="2">
        <v>0</v>
      </c>
      <c r="BK13" s="2">
        <v>0</v>
      </c>
      <c r="BL13" s="2">
        <v>0</v>
      </c>
      <c r="BM13" s="2"/>
      <c r="BN13" s="2"/>
      <c r="BO13" s="2"/>
      <c r="BP13" s="2"/>
      <c r="BQ13" s="2">
        <v>12</v>
      </c>
      <c r="BR13" s="2">
        <v>0</v>
      </c>
      <c r="BS13" s="2">
        <v>0</v>
      </c>
      <c r="BT13" s="2" t="s">
        <v>135</v>
      </c>
      <c r="BU13" s="2" t="s">
        <v>136</v>
      </c>
      <c r="BV13" s="2"/>
      <c r="BW13" s="2">
        <v>8</v>
      </c>
      <c r="BX13" s="2"/>
    </row>
    <row r="14" spans="1:76" x14ac:dyDescent="0.25">
      <c r="F14" s="27">
        <v>800</v>
      </c>
      <c r="G14" s="28">
        <v>0.33</v>
      </c>
      <c r="H14" s="29">
        <v>0.115</v>
      </c>
      <c r="K14" s="2">
        <v>1000</v>
      </c>
      <c r="L14" s="2">
        <v>0.25</v>
      </c>
      <c r="M14" s="2">
        <v>0.1</v>
      </c>
      <c r="N14" s="2" t="s">
        <v>102</v>
      </c>
      <c r="O14" s="2"/>
      <c r="P14" s="2"/>
      <c r="Q14" s="2">
        <v>2</v>
      </c>
      <c r="R14" s="49" t="s">
        <v>147</v>
      </c>
      <c r="S14" s="49">
        <v>12.5</v>
      </c>
      <c r="T14" s="49">
        <v>150</v>
      </c>
      <c r="U14" s="2">
        <v>0</v>
      </c>
      <c r="V14" s="2">
        <v>0</v>
      </c>
      <c r="W14" s="2">
        <v>0</v>
      </c>
      <c r="X14" s="2"/>
      <c r="Y14" s="2"/>
      <c r="Z14" s="2"/>
      <c r="AA14" s="2"/>
      <c r="AB14" s="50" t="s">
        <v>158</v>
      </c>
      <c r="AC14" s="50">
        <v>12.5</v>
      </c>
      <c r="AD14" s="50">
        <v>150</v>
      </c>
      <c r="AE14" s="47">
        <v>10</v>
      </c>
      <c r="AF14" s="2">
        <v>0</v>
      </c>
      <c r="AG14" s="2">
        <v>0</v>
      </c>
      <c r="AH14" s="2" t="s">
        <v>130</v>
      </c>
      <c r="AI14" s="2" t="s">
        <v>106</v>
      </c>
      <c r="AJ14" s="2">
        <v>0</v>
      </c>
      <c r="AK14" s="2">
        <v>3</v>
      </c>
      <c r="AL14" s="50" t="s">
        <v>154</v>
      </c>
      <c r="AM14" s="50">
        <v>12.5</v>
      </c>
      <c r="AN14" s="50">
        <v>150</v>
      </c>
      <c r="AO14" s="47">
        <v>0</v>
      </c>
      <c r="AP14" s="2">
        <v>0</v>
      </c>
      <c r="AQ14" s="2">
        <v>0</v>
      </c>
      <c r="AR14" s="2"/>
      <c r="AS14" s="2"/>
      <c r="AT14" s="2"/>
      <c r="AU14" s="2"/>
      <c r="AV14" s="2">
        <v>0</v>
      </c>
      <c r="AW14" s="2">
        <v>0</v>
      </c>
      <c r="AX14" s="2">
        <v>0</v>
      </c>
      <c r="AY14" s="2"/>
      <c r="AZ14" s="2"/>
      <c r="BA14" s="2"/>
      <c r="BB14" s="2"/>
      <c r="BC14" s="47">
        <v>1000</v>
      </c>
      <c r="BD14" s="2">
        <v>0</v>
      </c>
      <c r="BE14" s="2">
        <v>0</v>
      </c>
      <c r="BF14" s="2" t="s">
        <v>133</v>
      </c>
      <c r="BG14" s="2" t="str">
        <f t="shared" si="1"/>
        <v>ТТИ-А 1000/5А 5ВА 0,5S</v>
      </c>
      <c r="BH14" s="2"/>
      <c r="BI14">
        <v>6</v>
      </c>
      <c r="BJ14" s="2">
        <v>0</v>
      </c>
      <c r="BK14" s="2">
        <v>0</v>
      </c>
      <c r="BL14" s="2">
        <v>0</v>
      </c>
      <c r="BM14" s="2"/>
      <c r="BN14" s="2"/>
      <c r="BO14" s="2"/>
      <c r="BP14" s="2"/>
      <c r="BQ14" s="47">
        <v>10</v>
      </c>
      <c r="BR14" s="2">
        <v>0</v>
      </c>
      <c r="BS14" s="2">
        <v>0</v>
      </c>
      <c r="BT14" s="2" t="s">
        <v>135</v>
      </c>
      <c r="BU14" s="2" t="s">
        <v>136</v>
      </c>
      <c r="BV14" s="2"/>
      <c r="BW14" s="2">
        <v>8</v>
      </c>
      <c r="BX14" s="2"/>
    </row>
    <row r="15" spans="1:76" x14ac:dyDescent="0.25">
      <c r="F15" s="27">
        <v>630</v>
      </c>
      <c r="G15" s="28">
        <v>0.41</v>
      </c>
      <c r="H15" s="29">
        <v>0.13</v>
      </c>
      <c r="K15" s="2">
        <v>800</v>
      </c>
      <c r="L15" s="2">
        <v>0.33</v>
      </c>
      <c r="M15" s="2">
        <v>0.115</v>
      </c>
      <c r="N15" s="2" t="s">
        <v>102</v>
      </c>
      <c r="O15" s="2"/>
      <c r="P15" s="2"/>
      <c r="Q15" s="2">
        <v>2</v>
      </c>
      <c r="R15" s="49" t="s">
        <v>147</v>
      </c>
      <c r="S15" s="49">
        <v>12.5</v>
      </c>
      <c r="T15" s="49">
        <v>150</v>
      </c>
      <c r="U15" s="2">
        <v>0</v>
      </c>
      <c r="V15" s="2">
        <v>0</v>
      </c>
      <c r="W15" s="2">
        <v>0</v>
      </c>
      <c r="X15" s="2"/>
      <c r="Y15" s="2"/>
      <c r="Z15" s="2"/>
      <c r="AA15" s="2"/>
      <c r="AB15" s="50" t="s">
        <v>158</v>
      </c>
      <c r="AC15" s="50">
        <v>12.5</v>
      </c>
      <c r="AD15" s="50">
        <v>150</v>
      </c>
      <c r="AE15" s="47">
        <v>6</v>
      </c>
      <c r="AF15" s="2">
        <v>0</v>
      </c>
      <c r="AG15" s="2">
        <v>0</v>
      </c>
      <c r="AH15" s="2" t="s">
        <v>130</v>
      </c>
      <c r="AI15" s="2" t="s">
        <v>106</v>
      </c>
      <c r="AJ15" s="2">
        <v>0</v>
      </c>
      <c r="AK15" s="2">
        <v>3</v>
      </c>
      <c r="AL15" s="50" t="s">
        <v>154</v>
      </c>
      <c r="AM15" s="50">
        <v>12.5</v>
      </c>
      <c r="AN15" s="50">
        <v>150</v>
      </c>
      <c r="AO15" s="47">
        <v>0</v>
      </c>
      <c r="AP15" s="2">
        <v>0</v>
      </c>
      <c r="AQ15" s="2">
        <v>0</v>
      </c>
      <c r="AR15" s="2"/>
      <c r="AS15" s="2"/>
      <c r="AT15" s="2"/>
      <c r="AU15" s="2"/>
      <c r="AV15" s="2">
        <v>0</v>
      </c>
      <c r="AW15" s="2">
        <v>0</v>
      </c>
      <c r="AX15" s="2">
        <v>0</v>
      </c>
      <c r="AY15" s="2"/>
      <c r="AZ15" s="2"/>
      <c r="BA15" s="2"/>
      <c r="BB15" s="2"/>
      <c r="BC15" s="47">
        <v>800</v>
      </c>
      <c r="BD15" s="2">
        <v>0</v>
      </c>
      <c r="BE15" s="2">
        <v>0</v>
      </c>
      <c r="BF15" s="2" t="s">
        <v>133</v>
      </c>
      <c r="BG15" s="2" t="str">
        <f t="shared" si="1"/>
        <v>ТТИ-А 800/5А 5ВА 0,5S</v>
      </c>
      <c r="BH15" s="2"/>
      <c r="BI15">
        <v>6</v>
      </c>
      <c r="BJ15" s="2">
        <v>0</v>
      </c>
      <c r="BK15" s="2">
        <v>0</v>
      </c>
      <c r="BL15" s="2">
        <v>0</v>
      </c>
      <c r="BM15" s="2"/>
      <c r="BN15" s="2"/>
      <c r="BO15" s="2"/>
      <c r="BP15" s="2"/>
      <c r="BQ15" s="47">
        <v>8</v>
      </c>
      <c r="BR15" s="2">
        <v>0</v>
      </c>
      <c r="BS15" s="2">
        <v>0</v>
      </c>
      <c r="BT15" s="2" t="s">
        <v>135</v>
      </c>
      <c r="BU15" s="2" t="s">
        <v>136</v>
      </c>
      <c r="BV15" s="2"/>
      <c r="BW15" s="2">
        <v>8</v>
      </c>
      <c r="BX15" s="2"/>
    </row>
    <row r="16" spans="1:76" x14ac:dyDescent="0.25">
      <c r="F16" s="27">
        <v>400</v>
      </c>
      <c r="G16" s="28">
        <v>0.65</v>
      </c>
      <c r="H16" s="29">
        <v>0.01</v>
      </c>
      <c r="K16" s="2">
        <v>630</v>
      </c>
      <c r="L16" s="2">
        <v>0.41</v>
      </c>
      <c r="M16" s="2">
        <v>0.13</v>
      </c>
      <c r="N16" s="2" t="s">
        <v>102</v>
      </c>
      <c r="O16" s="2"/>
      <c r="P16" s="2"/>
      <c r="Q16" s="2">
        <v>2</v>
      </c>
      <c r="R16" s="49" t="s">
        <v>147</v>
      </c>
      <c r="S16" s="49">
        <v>12.5</v>
      </c>
      <c r="T16" s="49">
        <v>150</v>
      </c>
      <c r="U16" s="2">
        <v>0</v>
      </c>
      <c r="V16" s="2">
        <v>0</v>
      </c>
      <c r="W16" s="2">
        <v>0</v>
      </c>
      <c r="X16" s="2"/>
      <c r="Y16" s="2"/>
      <c r="Z16" s="2"/>
      <c r="AA16" s="2"/>
      <c r="AB16" s="50" t="s">
        <v>158</v>
      </c>
      <c r="AC16" s="50">
        <v>12.5</v>
      </c>
      <c r="AD16" s="50">
        <v>150</v>
      </c>
      <c r="AE16" s="47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/>
      <c r="AL16" s="50" t="s">
        <v>154</v>
      </c>
      <c r="AM16" s="50">
        <v>12.5</v>
      </c>
      <c r="AN16" s="50">
        <v>150</v>
      </c>
      <c r="AO16" s="47">
        <v>0</v>
      </c>
      <c r="AP16" s="2">
        <v>0</v>
      </c>
      <c r="AQ16" s="2">
        <v>0</v>
      </c>
      <c r="AR16" s="2"/>
      <c r="AS16" s="2"/>
      <c r="AT16" s="2"/>
      <c r="AU16" s="2"/>
      <c r="AV16" s="2">
        <v>0</v>
      </c>
      <c r="AW16" s="2">
        <v>0</v>
      </c>
      <c r="AX16" s="2">
        <v>0</v>
      </c>
      <c r="AY16" s="2"/>
      <c r="AZ16" s="2"/>
      <c r="BA16" s="2"/>
      <c r="BB16" s="2"/>
      <c r="BC16" s="47">
        <v>750</v>
      </c>
      <c r="BD16" s="2">
        <v>0</v>
      </c>
      <c r="BE16" s="2">
        <v>0</v>
      </c>
      <c r="BF16" s="2" t="s">
        <v>133</v>
      </c>
      <c r="BG16" s="2" t="str">
        <f t="shared" si="1"/>
        <v>ТТИ-А 750/5А 5ВА 0,5S</v>
      </c>
      <c r="BH16" s="2"/>
      <c r="BI16">
        <v>6</v>
      </c>
      <c r="BJ16" s="2">
        <v>0</v>
      </c>
      <c r="BK16" s="2">
        <v>0</v>
      </c>
      <c r="BL16" s="2">
        <v>0</v>
      </c>
      <c r="BM16" s="2"/>
      <c r="BN16" s="2"/>
      <c r="BO16" s="2"/>
      <c r="BP16" s="2"/>
      <c r="BQ16" s="47">
        <v>6</v>
      </c>
      <c r="BR16" s="2">
        <v>0</v>
      </c>
      <c r="BS16" s="2">
        <v>0</v>
      </c>
      <c r="BT16" s="2" t="s">
        <v>135</v>
      </c>
      <c r="BU16" s="2" t="s">
        <v>136</v>
      </c>
      <c r="BV16" s="2"/>
      <c r="BW16" s="2">
        <v>8</v>
      </c>
      <c r="BX16" s="2"/>
    </row>
    <row r="17" spans="6:76" x14ac:dyDescent="0.25">
      <c r="F17" s="27">
        <v>250</v>
      </c>
      <c r="G17" s="28">
        <v>0.875</v>
      </c>
      <c r="H17" s="29">
        <v>0.255</v>
      </c>
      <c r="K17" s="2">
        <v>400</v>
      </c>
      <c r="L17" s="2">
        <v>0.65</v>
      </c>
      <c r="M17" s="2">
        <v>0.01</v>
      </c>
      <c r="N17" s="2" t="s">
        <v>102</v>
      </c>
      <c r="O17" s="2"/>
      <c r="P17" s="2"/>
      <c r="Q17" s="2">
        <v>2</v>
      </c>
      <c r="R17" s="49" t="s">
        <v>147</v>
      </c>
      <c r="S17" s="49">
        <v>12.5</v>
      </c>
      <c r="T17" s="49">
        <v>150</v>
      </c>
      <c r="U17" s="2">
        <v>0</v>
      </c>
      <c r="V17" s="2">
        <v>0</v>
      </c>
      <c r="W17" s="2">
        <v>0</v>
      </c>
      <c r="X17" s="2"/>
      <c r="Y17" s="2"/>
      <c r="Z17" s="2"/>
      <c r="AA17" s="2"/>
      <c r="AB17" s="50" t="s">
        <v>158</v>
      </c>
      <c r="AC17" s="50">
        <v>12.5</v>
      </c>
      <c r="AD17" s="50">
        <v>150</v>
      </c>
      <c r="AE17" s="47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/>
      <c r="AL17" s="50" t="s">
        <v>154</v>
      </c>
      <c r="AM17" s="50">
        <v>12.5</v>
      </c>
      <c r="AN17" s="50">
        <v>150</v>
      </c>
      <c r="AO17" s="47">
        <v>0</v>
      </c>
      <c r="AP17" s="2">
        <v>0</v>
      </c>
      <c r="AQ17" s="2">
        <v>0</v>
      </c>
      <c r="AR17" s="2"/>
      <c r="AS17" s="2"/>
      <c r="AT17" s="2"/>
      <c r="AU17" s="2"/>
      <c r="AV17" s="2">
        <v>0</v>
      </c>
      <c r="AW17" s="2">
        <v>0</v>
      </c>
      <c r="AX17" s="2">
        <v>0</v>
      </c>
      <c r="AY17" s="2"/>
      <c r="AZ17" s="2"/>
      <c r="BA17" s="2"/>
      <c r="BB17" s="2"/>
      <c r="BC17" s="47">
        <v>600</v>
      </c>
      <c r="BD17" s="2">
        <v>0</v>
      </c>
      <c r="BE17" s="2">
        <v>0</v>
      </c>
      <c r="BF17" s="2" t="s">
        <v>133</v>
      </c>
      <c r="BG17" s="2" t="str">
        <f t="shared" si="1"/>
        <v>ТТИ-А 600/5А 5ВА 0,5S</v>
      </c>
      <c r="BH17" s="2"/>
      <c r="BI17">
        <v>6</v>
      </c>
      <c r="BJ17" s="2">
        <v>0</v>
      </c>
      <c r="BK17" s="2">
        <v>0</v>
      </c>
      <c r="BL17" s="2">
        <v>0</v>
      </c>
      <c r="BM17" s="2"/>
      <c r="BN17" s="2"/>
      <c r="BO17" s="2"/>
      <c r="BP17" s="2"/>
      <c r="BQ17" s="47">
        <v>4</v>
      </c>
      <c r="BR17" s="2">
        <v>0</v>
      </c>
      <c r="BS17" s="2">
        <v>0</v>
      </c>
      <c r="BT17" s="2" t="s">
        <v>135</v>
      </c>
      <c r="BU17" s="2" t="s">
        <v>136</v>
      </c>
      <c r="BV17" s="2"/>
      <c r="BW17" s="2">
        <v>8</v>
      </c>
      <c r="BX17" s="2"/>
    </row>
    <row r="18" spans="6:76" x14ac:dyDescent="0.25">
      <c r="F18" s="27">
        <v>200</v>
      </c>
      <c r="G18" s="28">
        <v>1.1000000000000001</v>
      </c>
      <c r="H18" s="29">
        <v>0.5</v>
      </c>
      <c r="K18" s="2">
        <v>250</v>
      </c>
      <c r="L18" s="2">
        <v>0.875</v>
      </c>
      <c r="M18" s="2">
        <v>0.255</v>
      </c>
      <c r="N18" s="2" t="s">
        <v>102</v>
      </c>
      <c r="O18" s="2"/>
      <c r="P18" s="2"/>
      <c r="Q18" s="2">
        <v>2</v>
      </c>
      <c r="R18" s="49" t="s">
        <v>147</v>
      </c>
      <c r="S18" s="49">
        <v>12.5</v>
      </c>
      <c r="T18" s="49">
        <v>150</v>
      </c>
      <c r="U18" s="2">
        <v>0</v>
      </c>
      <c r="V18" s="2">
        <v>0</v>
      </c>
      <c r="W18" s="2">
        <v>0</v>
      </c>
      <c r="X18" s="2"/>
      <c r="Y18" s="2"/>
      <c r="Z18" s="2"/>
      <c r="AA18" s="2"/>
      <c r="AB18" s="50" t="s">
        <v>158</v>
      </c>
      <c r="AC18" s="50">
        <v>12.5</v>
      </c>
      <c r="AD18" s="50">
        <v>150</v>
      </c>
      <c r="AE18" s="47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/>
      <c r="AL18" s="50" t="s">
        <v>154</v>
      </c>
      <c r="AM18" s="50">
        <v>12.5</v>
      </c>
      <c r="AN18" s="50">
        <v>150</v>
      </c>
      <c r="AO18" s="47">
        <v>0</v>
      </c>
      <c r="AP18" s="2">
        <v>0</v>
      </c>
      <c r="AQ18" s="2">
        <v>0</v>
      </c>
      <c r="AR18" s="2"/>
      <c r="AS18" s="2"/>
      <c r="AT18" s="2"/>
      <c r="AU18" s="2"/>
      <c r="AV18" s="2">
        <v>0</v>
      </c>
      <c r="AW18" s="2">
        <v>0</v>
      </c>
      <c r="AX18" s="2">
        <v>0</v>
      </c>
      <c r="AY18" s="2"/>
      <c r="AZ18" s="2"/>
      <c r="BA18" s="2"/>
      <c r="BB18" s="2"/>
      <c r="BC18" s="47">
        <v>500</v>
      </c>
      <c r="BD18" s="2">
        <v>0</v>
      </c>
      <c r="BE18" s="2">
        <v>0</v>
      </c>
      <c r="BF18" s="2" t="s">
        <v>133</v>
      </c>
      <c r="BG18" s="2" t="str">
        <f t="shared" si="1"/>
        <v>ТТИ-А 500/5А 5ВА 0,5S</v>
      </c>
      <c r="BH18" s="2"/>
      <c r="BI18">
        <v>6</v>
      </c>
      <c r="BJ18" s="2">
        <v>0</v>
      </c>
      <c r="BK18" s="2">
        <v>0</v>
      </c>
      <c r="BL18" s="2">
        <v>0</v>
      </c>
      <c r="BM18" s="2"/>
      <c r="BN18" s="2"/>
      <c r="BO18" s="2"/>
      <c r="BP18" s="2"/>
      <c r="BQ18" s="47">
        <v>2.5</v>
      </c>
      <c r="BR18" s="2">
        <v>0</v>
      </c>
      <c r="BS18" s="2">
        <v>0</v>
      </c>
      <c r="BT18" s="2" t="s">
        <v>135</v>
      </c>
      <c r="BU18" s="2" t="s">
        <v>136</v>
      </c>
      <c r="BV18" s="2"/>
      <c r="BW18" s="2">
        <v>8</v>
      </c>
      <c r="BX18" s="2"/>
    </row>
    <row r="19" spans="6:76" x14ac:dyDescent="0.25">
      <c r="F19" s="27">
        <v>160</v>
      </c>
      <c r="G19" s="28">
        <v>1.3</v>
      </c>
      <c r="H19" s="29">
        <v>0.7</v>
      </c>
      <c r="K19" s="2">
        <v>200</v>
      </c>
      <c r="L19" s="2">
        <v>1.1000000000000001</v>
      </c>
      <c r="M19" s="2">
        <v>0.5</v>
      </c>
      <c r="N19" s="2" t="s">
        <v>102</v>
      </c>
      <c r="O19" s="2"/>
      <c r="P19" s="2"/>
      <c r="Q19" s="2">
        <v>2</v>
      </c>
      <c r="R19" s="49" t="s">
        <v>147</v>
      </c>
      <c r="S19" s="49">
        <v>12.5</v>
      </c>
      <c r="T19" s="49">
        <v>150</v>
      </c>
      <c r="U19" s="2">
        <v>0</v>
      </c>
      <c r="V19" s="2">
        <v>0</v>
      </c>
      <c r="W19" s="2">
        <v>0</v>
      </c>
      <c r="X19" s="2"/>
      <c r="Y19" s="2"/>
      <c r="Z19" s="2"/>
      <c r="AA19" s="2"/>
      <c r="AB19" s="50" t="s">
        <v>158</v>
      </c>
      <c r="AC19" s="50">
        <v>12.5</v>
      </c>
      <c r="AD19" s="50">
        <v>150</v>
      </c>
      <c r="AE19" s="47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/>
      <c r="AL19" s="50" t="s">
        <v>154</v>
      </c>
      <c r="AM19" s="50">
        <v>12.5</v>
      </c>
      <c r="AN19" s="50">
        <v>150</v>
      </c>
      <c r="AO19" s="47">
        <v>0</v>
      </c>
      <c r="AP19" s="2">
        <v>0</v>
      </c>
      <c r="AQ19" s="2">
        <v>0</v>
      </c>
      <c r="AR19" s="2"/>
      <c r="AS19" s="2"/>
      <c r="AT19" s="2"/>
      <c r="AU19" s="2"/>
      <c r="AV19" s="2">
        <v>0</v>
      </c>
      <c r="AW19" s="2">
        <v>0</v>
      </c>
      <c r="AX19" s="2">
        <v>0</v>
      </c>
      <c r="AY19" s="2"/>
      <c r="AZ19" s="2"/>
      <c r="BA19" s="2"/>
      <c r="BB19" s="2"/>
      <c r="BC19" s="47">
        <v>400</v>
      </c>
      <c r="BD19" s="2">
        <v>0</v>
      </c>
      <c r="BE19" s="2">
        <v>0</v>
      </c>
      <c r="BF19" s="2" t="s">
        <v>133</v>
      </c>
      <c r="BG19" s="2" t="str">
        <f t="shared" si="1"/>
        <v>ТТИ-А 400/5А 5ВА 0,5S</v>
      </c>
      <c r="BH19" s="2"/>
      <c r="BI19">
        <v>6</v>
      </c>
      <c r="BJ19" s="2">
        <v>0</v>
      </c>
      <c r="BK19" s="2">
        <v>0</v>
      </c>
      <c r="BL19" s="2">
        <v>0</v>
      </c>
      <c r="BM19" s="2"/>
      <c r="BN19" s="2"/>
      <c r="BO19" s="2"/>
      <c r="BP19" s="2"/>
      <c r="BQ19" s="47">
        <v>1.6</v>
      </c>
      <c r="BR19" s="2">
        <v>0</v>
      </c>
      <c r="BS19" s="2">
        <v>0</v>
      </c>
      <c r="BT19" s="2" t="s">
        <v>135</v>
      </c>
      <c r="BU19" s="2" t="s">
        <v>136</v>
      </c>
      <c r="BV19" s="2"/>
      <c r="BW19" s="2">
        <v>8</v>
      </c>
      <c r="BX19" s="2"/>
    </row>
    <row r="20" spans="6:76" x14ac:dyDescent="0.25">
      <c r="F20" s="27">
        <v>125</v>
      </c>
      <c r="G20" s="28">
        <v>1.7250000000000001</v>
      </c>
      <c r="H20" s="29">
        <v>0.95</v>
      </c>
      <c r="K20" s="2">
        <v>160</v>
      </c>
      <c r="L20" s="2">
        <v>1.3</v>
      </c>
      <c r="M20" s="2">
        <v>0.7</v>
      </c>
      <c r="N20" s="2" t="s">
        <v>102</v>
      </c>
      <c r="O20" s="2"/>
      <c r="P20" s="2"/>
      <c r="Q20" s="2">
        <v>2</v>
      </c>
      <c r="R20" s="49" t="s">
        <v>147</v>
      </c>
      <c r="S20" s="49">
        <v>12.5</v>
      </c>
      <c r="T20" s="49">
        <v>150</v>
      </c>
      <c r="U20" s="2">
        <v>0</v>
      </c>
      <c r="V20" s="2">
        <v>0</v>
      </c>
      <c r="W20" s="2">
        <v>0</v>
      </c>
      <c r="X20" s="2"/>
      <c r="Y20" s="2"/>
      <c r="Z20" s="2"/>
      <c r="AA20" s="2"/>
      <c r="AB20" s="50" t="s">
        <v>158</v>
      </c>
      <c r="AC20" s="50">
        <v>12.5</v>
      </c>
      <c r="AD20" s="50">
        <v>150</v>
      </c>
      <c r="AE20" s="47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/>
      <c r="AL20" s="50" t="s">
        <v>154</v>
      </c>
      <c r="AM20" s="50">
        <v>12.5</v>
      </c>
      <c r="AN20" s="50">
        <v>150</v>
      </c>
      <c r="AO20" s="47">
        <v>0</v>
      </c>
      <c r="AP20" s="2">
        <v>0</v>
      </c>
      <c r="AQ20" s="2">
        <v>0</v>
      </c>
      <c r="AR20" s="2"/>
      <c r="AS20" s="2"/>
      <c r="AT20" s="2"/>
      <c r="AU20" s="2"/>
      <c r="AV20" s="2">
        <v>0</v>
      </c>
      <c r="AW20" s="2">
        <v>0</v>
      </c>
      <c r="AX20" s="2">
        <v>0</v>
      </c>
      <c r="AY20" s="2"/>
      <c r="AZ20" s="2"/>
      <c r="BA20" s="2"/>
      <c r="BB20" s="2"/>
      <c r="BC20" s="47">
        <v>300</v>
      </c>
      <c r="BD20" s="2">
        <v>0</v>
      </c>
      <c r="BE20" s="2">
        <v>0</v>
      </c>
      <c r="BF20" s="2" t="s">
        <v>133</v>
      </c>
      <c r="BG20" s="2" t="str">
        <f t="shared" si="1"/>
        <v>ТТИ-А 300/5А 5ВА 0,5S</v>
      </c>
      <c r="BH20" s="2"/>
      <c r="BI20">
        <v>6</v>
      </c>
      <c r="BJ20" s="2">
        <v>0</v>
      </c>
      <c r="BK20" s="2">
        <v>0</v>
      </c>
      <c r="BL20" s="2">
        <v>0</v>
      </c>
      <c r="BM20" s="2"/>
      <c r="BN20" s="2"/>
      <c r="BO20" s="2"/>
      <c r="BP20" s="2"/>
      <c r="BQ20" s="47">
        <v>1</v>
      </c>
      <c r="BR20" s="2">
        <v>0</v>
      </c>
      <c r="BS20" s="2">
        <v>0</v>
      </c>
      <c r="BT20" s="2" t="s">
        <v>135</v>
      </c>
      <c r="BU20" s="2" t="s">
        <v>136</v>
      </c>
      <c r="BV20" s="2"/>
      <c r="BW20" s="2">
        <v>8</v>
      </c>
      <c r="BX20" s="2"/>
    </row>
    <row r="21" spans="6:76" x14ac:dyDescent="0.25">
      <c r="F21" s="27">
        <v>100</v>
      </c>
      <c r="G21" s="28">
        <v>2.15</v>
      </c>
      <c r="H21" s="29">
        <v>1.2</v>
      </c>
      <c r="K21" s="2">
        <v>125</v>
      </c>
      <c r="L21" s="2">
        <v>1.7250000000000001</v>
      </c>
      <c r="M21" s="2">
        <v>0.95</v>
      </c>
      <c r="N21" s="2" t="s">
        <v>102</v>
      </c>
      <c r="O21" s="2"/>
      <c r="P21" s="2"/>
      <c r="Q21" s="2">
        <v>2</v>
      </c>
      <c r="R21" s="49" t="s">
        <v>147</v>
      </c>
      <c r="S21" s="49">
        <v>12.5</v>
      </c>
      <c r="T21" s="49">
        <v>150</v>
      </c>
      <c r="U21" s="2">
        <v>0</v>
      </c>
      <c r="V21" s="2">
        <v>0</v>
      </c>
      <c r="W21" s="2">
        <v>0</v>
      </c>
      <c r="X21" s="2"/>
      <c r="Y21" s="2"/>
      <c r="Z21" s="2"/>
      <c r="AA21" s="2"/>
      <c r="AB21" s="50" t="s">
        <v>158</v>
      </c>
      <c r="AC21" s="50">
        <v>12.5</v>
      </c>
      <c r="AD21" s="50">
        <v>150</v>
      </c>
      <c r="AE21" s="47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/>
      <c r="AL21" s="50" t="s">
        <v>154</v>
      </c>
      <c r="AM21" s="50">
        <v>12.5</v>
      </c>
      <c r="AN21" s="50">
        <v>150</v>
      </c>
      <c r="AO21" s="47">
        <v>0</v>
      </c>
      <c r="AP21" s="2">
        <v>0</v>
      </c>
      <c r="AQ21" s="2">
        <v>0</v>
      </c>
      <c r="AR21" s="2"/>
      <c r="AS21" s="2"/>
      <c r="AT21" s="2"/>
      <c r="AU21" s="2"/>
      <c r="AV21" s="2">
        <v>0</v>
      </c>
      <c r="AW21" s="2">
        <v>0</v>
      </c>
      <c r="AX21" s="2">
        <v>0</v>
      </c>
      <c r="AY21" s="2"/>
      <c r="AZ21" s="2"/>
      <c r="BA21" s="2"/>
      <c r="BB21" s="2"/>
      <c r="BC21" s="47">
        <v>250</v>
      </c>
      <c r="BD21" s="2">
        <v>0</v>
      </c>
      <c r="BE21" s="2">
        <v>0</v>
      </c>
      <c r="BF21" s="2" t="s">
        <v>133</v>
      </c>
      <c r="BG21" s="2" t="str">
        <f t="shared" si="1"/>
        <v>ТТИ-А 250/5А 5ВА 0,5S</v>
      </c>
      <c r="BH21" s="2"/>
      <c r="BI21">
        <v>6</v>
      </c>
      <c r="BJ21" s="2">
        <v>0</v>
      </c>
      <c r="BK21" s="2">
        <v>0</v>
      </c>
      <c r="BL21" s="2">
        <v>0</v>
      </c>
      <c r="BM21" s="2"/>
      <c r="BN21" s="2"/>
      <c r="BO21" s="2"/>
      <c r="BP21" s="2"/>
      <c r="BQ21" s="47">
        <v>0.6</v>
      </c>
      <c r="BR21" s="2">
        <v>0</v>
      </c>
      <c r="BS21" s="2">
        <v>0</v>
      </c>
      <c r="BT21" s="2" t="s">
        <v>135</v>
      </c>
      <c r="BU21" s="2" t="s">
        <v>136</v>
      </c>
      <c r="BV21" s="2"/>
      <c r="BW21" s="2">
        <v>8</v>
      </c>
      <c r="BX21" s="2"/>
    </row>
    <row r="22" spans="6:76" x14ac:dyDescent="0.25">
      <c r="F22" s="27">
        <v>80</v>
      </c>
      <c r="G22" s="28">
        <v>2.83</v>
      </c>
      <c r="H22" s="29">
        <v>1.6</v>
      </c>
      <c r="K22" s="2">
        <v>100</v>
      </c>
      <c r="L22" s="2">
        <v>2.15</v>
      </c>
      <c r="M22" s="2">
        <v>1.2</v>
      </c>
      <c r="N22" s="2" t="s">
        <v>102</v>
      </c>
      <c r="O22" s="2"/>
      <c r="P22" s="2"/>
      <c r="Q22" s="2">
        <v>2</v>
      </c>
      <c r="R22" s="49" t="s">
        <v>147</v>
      </c>
      <c r="S22" s="49">
        <v>12.5</v>
      </c>
      <c r="T22" s="49">
        <v>150</v>
      </c>
      <c r="U22" s="2">
        <v>0</v>
      </c>
      <c r="V22" s="2">
        <v>0</v>
      </c>
      <c r="W22" s="2">
        <v>0</v>
      </c>
      <c r="X22" s="2"/>
      <c r="Y22" s="2"/>
      <c r="Z22" s="2"/>
      <c r="AA22" s="2"/>
      <c r="AB22" s="50" t="s">
        <v>158</v>
      </c>
      <c r="AC22" s="50">
        <v>12.5</v>
      </c>
      <c r="AD22" s="50">
        <v>150</v>
      </c>
      <c r="AE22" s="47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/>
      <c r="AL22" s="50" t="s">
        <v>154</v>
      </c>
      <c r="AM22" s="50">
        <v>12.5</v>
      </c>
      <c r="AN22" s="50">
        <v>150</v>
      </c>
      <c r="AO22" s="47">
        <v>0</v>
      </c>
      <c r="AP22" s="2">
        <v>0</v>
      </c>
      <c r="AQ22" s="2">
        <v>0</v>
      </c>
      <c r="AR22" s="2"/>
      <c r="AS22" s="2"/>
      <c r="AT22" s="2"/>
      <c r="AU22" s="2"/>
      <c r="AV22" s="2">
        <v>0</v>
      </c>
      <c r="AW22" s="2">
        <v>0</v>
      </c>
      <c r="AX22" s="2">
        <v>0</v>
      </c>
      <c r="AY22" s="2"/>
      <c r="AZ22" s="2"/>
      <c r="BA22" s="2"/>
      <c r="BB22" s="2"/>
      <c r="BC22" s="47">
        <v>200</v>
      </c>
      <c r="BD22" s="2">
        <v>0</v>
      </c>
      <c r="BE22" s="2">
        <v>0</v>
      </c>
      <c r="BF22" s="2" t="s">
        <v>133</v>
      </c>
      <c r="BG22" s="2" t="str">
        <f t="shared" si="1"/>
        <v>ТТИ-А 200/5А 5ВА 0,5S</v>
      </c>
      <c r="BH22" s="2"/>
      <c r="BI22">
        <v>6</v>
      </c>
      <c r="BJ22" s="2">
        <v>0</v>
      </c>
      <c r="BK22" s="2">
        <v>0</v>
      </c>
      <c r="BL22" s="2">
        <v>0</v>
      </c>
      <c r="BM22" s="2"/>
      <c r="BN22" s="2"/>
      <c r="BO22" s="2"/>
      <c r="BP22" s="2"/>
      <c r="BQ22" s="2">
        <v>0</v>
      </c>
      <c r="BR22" s="2">
        <v>0</v>
      </c>
      <c r="BS22" s="2">
        <v>0</v>
      </c>
      <c r="BT22" s="2">
        <v>0</v>
      </c>
      <c r="BU22" s="2"/>
      <c r="BV22" s="2"/>
      <c r="BW22" s="2"/>
      <c r="BX22" s="2"/>
    </row>
    <row r="23" spans="6:76" x14ac:dyDescent="0.25">
      <c r="F23" s="27">
        <v>63</v>
      </c>
      <c r="G23" s="28">
        <v>3.5</v>
      </c>
      <c r="H23" s="29">
        <v>2</v>
      </c>
      <c r="K23" s="2">
        <v>80</v>
      </c>
      <c r="L23" s="2">
        <v>2.83</v>
      </c>
      <c r="M23" s="2">
        <v>1.6</v>
      </c>
      <c r="N23" s="2" t="s">
        <v>102</v>
      </c>
      <c r="O23" s="2"/>
      <c r="P23" s="2"/>
      <c r="Q23" s="2">
        <v>2</v>
      </c>
      <c r="R23" s="49" t="s">
        <v>147</v>
      </c>
      <c r="S23" s="49">
        <v>12.5</v>
      </c>
      <c r="T23" s="49">
        <v>150</v>
      </c>
      <c r="U23" s="2">
        <v>0</v>
      </c>
      <c r="V23" s="2">
        <v>0</v>
      </c>
      <c r="W23" s="2">
        <v>0</v>
      </c>
      <c r="X23" s="2"/>
      <c r="Y23" s="2"/>
      <c r="Z23" s="2"/>
      <c r="AA23" s="2"/>
      <c r="AB23" s="50" t="s">
        <v>158</v>
      </c>
      <c r="AC23" s="50">
        <v>12.5</v>
      </c>
      <c r="AD23" s="50">
        <v>150</v>
      </c>
      <c r="AE23" s="47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/>
      <c r="AL23" s="50" t="s">
        <v>154</v>
      </c>
      <c r="AM23" s="50">
        <v>12.5</v>
      </c>
      <c r="AN23" s="50">
        <v>150</v>
      </c>
      <c r="AO23" s="47">
        <v>0</v>
      </c>
      <c r="AP23" s="2">
        <v>0</v>
      </c>
      <c r="AQ23" s="2">
        <v>0</v>
      </c>
      <c r="AR23" s="2"/>
      <c r="AS23" s="2"/>
      <c r="AT23" s="2"/>
      <c r="AU23" s="2"/>
      <c r="AV23" s="2">
        <v>0</v>
      </c>
      <c r="AW23" s="2">
        <v>0</v>
      </c>
      <c r="AX23" s="2">
        <v>0</v>
      </c>
      <c r="AY23" s="2"/>
      <c r="AZ23" s="2"/>
      <c r="BA23" s="2"/>
      <c r="BB23" s="2"/>
      <c r="BC23" s="47">
        <v>150</v>
      </c>
      <c r="BD23" s="2">
        <v>0</v>
      </c>
      <c r="BE23" s="2">
        <v>0</v>
      </c>
      <c r="BF23" s="2" t="s">
        <v>133</v>
      </c>
      <c r="BG23" s="2" t="str">
        <f t="shared" si="1"/>
        <v>ТТИ-А 150/5А 5ВА 0,5S</v>
      </c>
      <c r="BH23" s="2"/>
      <c r="BI23">
        <v>6</v>
      </c>
      <c r="BJ23" s="2">
        <v>0</v>
      </c>
      <c r="BK23" s="2">
        <v>0</v>
      </c>
      <c r="BL23" s="2">
        <v>0</v>
      </c>
      <c r="BM23" s="2"/>
      <c r="BN23" s="2"/>
      <c r="BO23" s="2"/>
      <c r="BP23" s="2"/>
      <c r="BQ23" s="2">
        <v>0</v>
      </c>
      <c r="BR23" s="2">
        <v>0</v>
      </c>
      <c r="BS23" s="2">
        <v>0</v>
      </c>
      <c r="BT23" s="2">
        <v>0</v>
      </c>
      <c r="BU23" s="2"/>
      <c r="BV23" s="2"/>
      <c r="BW23" s="2"/>
      <c r="BX23" s="2"/>
    </row>
    <row r="24" spans="6:76" x14ac:dyDescent="0.25">
      <c r="F24" s="27">
        <v>50</v>
      </c>
      <c r="G24" s="28">
        <v>7</v>
      </c>
      <c r="H24" s="29">
        <v>4.5</v>
      </c>
      <c r="K24" s="2">
        <v>63</v>
      </c>
      <c r="L24" s="2">
        <v>3.5</v>
      </c>
      <c r="M24" s="2">
        <v>2</v>
      </c>
      <c r="N24" s="2" t="s">
        <v>102</v>
      </c>
      <c r="O24" s="2" t="s">
        <v>71</v>
      </c>
      <c r="P24" s="2"/>
      <c r="Q24" s="2">
        <v>2</v>
      </c>
      <c r="R24" s="49" t="s">
        <v>147</v>
      </c>
      <c r="S24" s="49">
        <v>12.5</v>
      </c>
      <c r="T24" s="49">
        <v>150</v>
      </c>
      <c r="U24" s="2">
        <v>0</v>
      </c>
      <c r="V24" s="2">
        <v>0</v>
      </c>
      <c r="W24" s="2">
        <v>0</v>
      </c>
      <c r="X24" s="2"/>
      <c r="Y24" s="2"/>
      <c r="Z24" s="2"/>
      <c r="AA24" s="2"/>
      <c r="AB24" s="50" t="s">
        <v>158</v>
      </c>
      <c r="AC24" s="50">
        <v>12.5</v>
      </c>
      <c r="AD24" s="50">
        <v>150</v>
      </c>
      <c r="AE24" s="47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/>
      <c r="AL24" s="50" t="s">
        <v>154</v>
      </c>
      <c r="AM24" s="50">
        <v>12.5</v>
      </c>
      <c r="AN24" s="50">
        <v>150</v>
      </c>
      <c r="AO24" s="47">
        <v>0</v>
      </c>
      <c r="AP24" s="2">
        <v>0</v>
      </c>
      <c r="AQ24" s="2">
        <v>0</v>
      </c>
      <c r="AR24" s="2"/>
      <c r="AS24" s="2"/>
      <c r="AT24" s="2"/>
      <c r="AU24" s="2"/>
      <c r="AV24" s="2">
        <v>0</v>
      </c>
      <c r="AW24" s="2">
        <v>0</v>
      </c>
      <c r="AX24" s="2">
        <v>0</v>
      </c>
      <c r="AY24" s="2"/>
      <c r="AZ24" s="2"/>
      <c r="BA24" s="2"/>
      <c r="BB24" s="2"/>
      <c r="BC24" s="47">
        <v>125</v>
      </c>
      <c r="BD24" s="2">
        <v>0</v>
      </c>
      <c r="BE24" s="2">
        <v>0</v>
      </c>
      <c r="BF24" s="2" t="s">
        <v>133</v>
      </c>
      <c r="BG24" s="2" t="str">
        <f t="shared" si="1"/>
        <v>ТТИ-А 125/5А 5ВА 0,5S</v>
      </c>
      <c r="BH24" s="2"/>
      <c r="BI24">
        <v>6</v>
      </c>
      <c r="BJ24" s="2">
        <v>0</v>
      </c>
      <c r="BK24" s="2">
        <v>0</v>
      </c>
      <c r="BL24" s="2">
        <v>0</v>
      </c>
      <c r="BM24" s="2"/>
      <c r="BN24" s="2"/>
      <c r="BO24" s="2"/>
      <c r="BP24" s="2"/>
      <c r="BQ24" s="2">
        <v>0</v>
      </c>
      <c r="BR24" s="2">
        <v>0</v>
      </c>
      <c r="BS24" s="2">
        <v>0</v>
      </c>
      <c r="BT24" s="2">
        <v>0</v>
      </c>
      <c r="BU24" s="2"/>
      <c r="BV24" s="2"/>
      <c r="BW24" s="2"/>
      <c r="BX24" s="2"/>
    </row>
    <row r="25" spans="6:76" x14ac:dyDescent="0.25">
      <c r="F25" s="27">
        <v>40</v>
      </c>
      <c r="G25" s="30">
        <v>10.5</v>
      </c>
      <c r="H25" s="31">
        <v>7</v>
      </c>
      <c r="K25" s="2">
        <v>50</v>
      </c>
      <c r="L25" s="2">
        <v>7</v>
      </c>
      <c r="M25" s="2">
        <v>4.5</v>
      </c>
      <c r="N25" s="2" t="s">
        <v>102</v>
      </c>
      <c r="O25" s="2" t="s">
        <v>71</v>
      </c>
      <c r="P25" s="2"/>
      <c r="Q25" s="2">
        <v>2</v>
      </c>
      <c r="R25" s="49" t="s">
        <v>147</v>
      </c>
      <c r="S25" s="49">
        <v>12.5</v>
      </c>
      <c r="T25" s="49">
        <v>150</v>
      </c>
      <c r="U25" s="2">
        <v>0</v>
      </c>
      <c r="V25" s="2">
        <v>0</v>
      </c>
      <c r="W25" s="2">
        <v>0</v>
      </c>
      <c r="X25" s="2"/>
      <c r="Y25" s="2"/>
      <c r="Z25" s="2"/>
      <c r="AA25" s="2"/>
      <c r="AB25" s="50" t="s">
        <v>158</v>
      </c>
      <c r="AC25" s="50">
        <v>12.5</v>
      </c>
      <c r="AD25" s="50">
        <v>150</v>
      </c>
      <c r="AE25" s="47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/>
      <c r="AL25" s="50" t="s">
        <v>154</v>
      </c>
      <c r="AM25" s="50">
        <v>12.5</v>
      </c>
      <c r="AN25" s="50">
        <v>150</v>
      </c>
      <c r="AO25" s="47">
        <v>0</v>
      </c>
      <c r="AP25" s="2">
        <v>0</v>
      </c>
      <c r="AQ25" s="2">
        <v>0</v>
      </c>
      <c r="AR25" s="2"/>
      <c r="AS25" s="2"/>
      <c r="AT25" s="2"/>
      <c r="AU25" s="2"/>
      <c r="AV25" s="2">
        <v>0</v>
      </c>
      <c r="AW25" s="2">
        <v>0</v>
      </c>
      <c r="AX25" s="2">
        <v>0</v>
      </c>
      <c r="AY25" s="2"/>
      <c r="AZ25" s="2"/>
      <c r="BA25" s="2"/>
      <c r="BB25" s="2"/>
      <c r="BC25" s="47">
        <v>120</v>
      </c>
      <c r="BD25" s="2">
        <v>0</v>
      </c>
      <c r="BE25" s="2">
        <v>0</v>
      </c>
      <c r="BF25" s="2" t="s">
        <v>133</v>
      </c>
      <c r="BG25" s="2" t="str">
        <f t="shared" si="1"/>
        <v>ТТИ-А 120/5А 5ВА 0,5S</v>
      </c>
      <c r="BH25" s="2"/>
      <c r="BI25">
        <v>6</v>
      </c>
      <c r="BJ25" s="2">
        <v>0</v>
      </c>
      <c r="BK25" s="2">
        <v>0</v>
      </c>
      <c r="BL25" s="2">
        <v>0</v>
      </c>
      <c r="BM25" s="2"/>
      <c r="BN25" s="2"/>
      <c r="BO25" s="2"/>
      <c r="BP25" s="2"/>
      <c r="BQ25" s="2">
        <v>0</v>
      </c>
      <c r="BR25" s="2">
        <v>0</v>
      </c>
      <c r="BS25" s="2">
        <v>0</v>
      </c>
      <c r="BT25" s="2">
        <v>0</v>
      </c>
      <c r="BU25" s="2"/>
      <c r="BV25" s="2"/>
      <c r="BW25" s="2"/>
      <c r="BX25" s="2"/>
    </row>
    <row r="26" spans="6:76" x14ac:dyDescent="0.25">
      <c r="F26" s="27">
        <v>32</v>
      </c>
      <c r="G26" s="30">
        <v>14</v>
      </c>
      <c r="H26" s="31">
        <v>9.5</v>
      </c>
      <c r="K26" s="2">
        <v>40</v>
      </c>
      <c r="L26" s="2">
        <v>10.5</v>
      </c>
      <c r="M26" s="2">
        <v>7</v>
      </c>
      <c r="N26" s="2" t="s">
        <v>102</v>
      </c>
      <c r="O26" s="2" t="s">
        <v>71</v>
      </c>
      <c r="P26" s="2"/>
      <c r="Q26" s="2">
        <v>2</v>
      </c>
      <c r="R26" s="49" t="s">
        <v>147</v>
      </c>
      <c r="S26" s="49">
        <v>12.5</v>
      </c>
      <c r="T26" s="49">
        <v>150</v>
      </c>
      <c r="U26" s="2">
        <v>0</v>
      </c>
      <c r="V26" s="2">
        <v>0</v>
      </c>
      <c r="W26" s="2">
        <v>0</v>
      </c>
      <c r="X26" s="2"/>
      <c r="Y26" s="2"/>
      <c r="Z26" s="2"/>
      <c r="AA26" s="2"/>
      <c r="AB26" s="50" t="s">
        <v>158</v>
      </c>
      <c r="AC26" s="50">
        <v>12.5</v>
      </c>
      <c r="AD26" s="50">
        <v>150</v>
      </c>
      <c r="AE26" s="47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/>
      <c r="AL26" s="50" t="s">
        <v>154</v>
      </c>
      <c r="AM26" s="50">
        <v>12.5</v>
      </c>
      <c r="AN26" s="50">
        <v>150</v>
      </c>
      <c r="AO26" s="47">
        <v>0</v>
      </c>
      <c r="AP26" s="2">
        <v>0</v>
      </c>
      <c r="AQ26" s="2">
        <v>0</v>
      </c>
      <c r="AR26" s="2"/>
      <c r="AS26" s="2"/>
      <c r="AT26" s="2"/>
      <c r="AU26" s="2"/>
      <c r="AV26" s="2">
        <v>0</v>
      </c>
      <c r="AW26" s="2">
        <v>0</v>
      </c>
      <c r="AX26" s="2">
        <v>0</v>
      </c>
      <c r="AY26" s="2"/>
      <c r="AZ26" s="2"/>
      <c r="BA26" s="2"/>
      <c r="BB26" s="2"/>
      <c r="BC26" s="47">
        <v>100</v>
      </c>
      <c r="BD26" s="2">
        <v>0</v>
      </c>
      <c r="BE26" s="2">
        <v>0</v>
      </c>
      <c r="BF26" s="2" t="s">
        <v>133</v>
      </c>
      <c r="BG26" s="2" t="str">
        <f t="shared" si="1"/>
        <v>ТТИ-А 100/5А 5ВА 0,5S</v>
      </c>
      <c r="BH26" s="2"/>
      <c r="BI26">
        <v>6</v>
      </c>
      <c r="BJ26" s="2">
        <v>0</v>
      </c>
      <c r="BK26" s="2">
        <v>0</v>
      </c>
      <c r="BL26" s="2">
        <v>0</v>
      </c>
      <c r="BM26" s="2"/>
      <c r="BN26" s="2"/>
      <c r="BO26" s="2"/>
      <c r="BP26" s="2"/>
      <c r="BQ26" s="2">
        <v>0</v>
      </c>
      <c r="BR26" s="2">
        <v>0</v>
      </c>
      <c r="BS26" s="2">
        <v>0</v>
      </c>
      <c r="BT26" s="2">
        <v>0</v>
      </c>
      <c r="BU26" s="2"/>
      <c r="BV26" s="2"/>
      <c r="BW26" s="2"/>
      <c r="BX26" s="2"/>
    </row>
    <row r="27" spans="6:76" x14ac:dyDescent="0.25">
      <c r="F27" s="27">
        <v>25</v>
      </c>
      <c r="G27" s="30">
        <v>17.5</v>
      </c>
      <c r="H27" s="31">
        <v>12</v>
      </c>
      <c r="K27" s="2">
        <v>32</v>
      </c>
      <c r="L27" s="2">
        <v>14</v>
      </c>
      <c r="M27" s="2">
        <v>9.5</v>
      </c>
      <c r="N27" s="2" t="s">
        <v>102</v>
      </c>
      <c r="O27" s="2" t="s">
        <v>71</v>
      </c>
      <c r="P27" s="2"/>
      <c r="Q27" s="2">
        <v>2</v>
      </c>
      <c r="R27" s="49" t="s">
        <v>147</v>
      </c>
      <c r="S27" s="49">
        <v>12.5</v>
      </c>
      <c r="T27" s="49">
        <v>150</v>
      </c>
      <c r="U27" s="2">
        <v>0</v>
      </c>
      <c r="V27" s="2">
        <v>0</v>
      </c>
      <c r="W27" s="2">
        <v>0</v>
      </c>
      <c r="X27" s="2"/>
      <c r="Y27" s="2"/>
      <c r="Z27" s="2"/>
      <c r="AA27" s="2"/>
      <c r="AB27" s="50" t="s">
        <v>158</v>
      </c>
      <c r="AC27" s="50">
        <v>12.5</v>
      </c>
      <c r="AD27" s="50">
        <v>150</v>
      </c>
      <c r="AE27" s="47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/>
      <c r="AL27" s="50" t="s">
        <v>154</v>
      </c>
      <c r="AM27" s="50">
        <v>12.5</v>
      </c>
      <c r="AN27" s="50">
        <v>150</v>
      </c>
      <c r="AO27" s="47">
        <v>0</v>
      </c>
      <c r="AP27" s="2">
        <v>0</v>
      </c>
      <c r="AQ27" s="2">
        <v>0</v>
      </c>
      <c r="AR27" s="2"/>
      <c r="AS27" s="2"/>
      <c r="AT27" s="2"/>
      <c r="AU27" s="2"/>
      <c r="AV27" s="2">
        <v>0</v>
      </c>
      <c r="AW27" s="2">
        <v>0</v>
      </c>
      <c r="AX27" s="2">
        <v>0</v>
      </c>
      <c r="AY27" s="2"/>
      <c r="AZ27" s="2"/>
      <c r="BA27" s="2"/>
      <c r="BB27" s="2"/>
      <c r="BC27" s="47">
        <v>80</v>
      </c>
      <c r="BD27" s="2">
        <v>0</v>
      </c>
      <c r="BE27" s="2">
        <v>0</v>
      </c>
      <c r="BF27" s="2" t="s">
        <v>133</v>
      </c>
      <c r="BG27" s="2" t="str">
        <f t="shared" si="1"/>
        <v>ТТИ-А 80/5А 5ВА 0,5S</v>
      </c>
      <c r="BH27" s="2"/>
      <c r="BI27">
        <v>6</v>
      </c>
      <c r="BJ27" s="2">
        <v>0</v>
      </c>
      <c r="BK27" s="2">
        <v>0</v>
      </c>
      <c r="BL27" s="2">
        <v>0</v>
      </c>
      <c r="BM27" s="2"/>
      <c r="BN27" s="2"/>
      <c r="BO27" s="2"/>
      <c r="BP27" s="2"/>
      <c r="BQ27" s="2">
        <v>0</v>
      </c>
      <c r="BR27" s="2">
        <v>0</v>
      </c>
      <c r="BS27" s="2">
        <v>0</v>
      </c>
      <c r="BT27" s="2">
        <v>0</v>
      </c>
      <c r="BU27" s="2"/>
      <c r="BV27" s="2"/>
      <c r="BW27" s="2"/>
      <c r="BX27" s="2"/>
    </row>
    <row r="28" spans="6:76" x14ac:dyDescent="0.25">
      <c r="F28" s="27">
        <v>20</v>
      </c>
      <c r="G28" s="30">
        <v>21</v>
      </c>
      <c r="H28" s="31">
        <v>14.5</v>
      </c>
      <c r="K28" s="2">
        <v>25</v>
      </c>
      <c r="L28" s="2">
        <v>17.5</v>
      </c>
      <c r="M28" s="2">
        <v>12</v>
      </c>
      <c r="N28" s="2" t="s">
        <v>102</v>
      </c>
      <c r="O28" s="2" t="s">
        <v>71</v>
      </c>
      <c r="P28" s="2"/>
      <c r="Q28" s="2">
        <v>2</v>
      </c>
      <c r="R28" s="49" t="s">
        <v>147</v>
      </c>
      <c r="S28" s="49">
        <v>12.5</v>
      </c>
      <c r="T28" s="49">
        <v>150</v>
      </c>
      <c r="U28" s="2">
        <v>0</v>
      </c>
      <c r="V28" s="2">
        <v>0</v>
      </c>
      <c r="W28" s="2">
        <v>0</v>
      </c>
      <c r="X28" s="2"/>
      <c r="Y28" s="2"/>
      <c r="Z28" s="2"/>
      <c r="AA28" s="2"/>
      <c r="AB28" s="50" t="s">
        <v>158</v>
      </c>
      <c r="AC28" s="50">
        <v>12.5</v>
      </c>
      <c r="AD28" s="50">
        <v>150</v>
      </c>
      <c r="AE28" s="47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/>
      <c r="AL28" s="50" t="s">
        <v>154</v>
      </c>
      <c r="AM28" s="50">
        <v>12.5</v>
      </c>
      <c r="AN28" s="50">
        <v>150</v>
      </c>
      <c r="AO28" s="47">
        <v>0</v>
      </c>
      <c r="AP28" s="2">
        <v>0</v>
      </c>
      <c r="AQ28" s="2">
        <v>0</v>
      </c>
      <c r="AR28" s="2"/>
      <c r="AS28" s="2"/>
      <c r="AT28" s="2"/>
      <c r="AU28" s="2"/>
      <c r="AV28" s="2">
        <v>0</v>
      </c>
      <c r="AW28" s="2">
        <v>0</v>
      </c>
      <c r="AX28" s="2">
        <v>0</v>
      </c>
      <c r="AY28" s="2"/>
      <c r="AZ28" s="2"/>
      <c r="BA28" s="2"/>
      <c r="BB28" s="2"/>
      <c r="BC28" s="47">
        <v>75</v>
      </c>
      <c r="BD28" s="2">
        <v>0</v>
      </c>
      <c r="BE28" s="2">
        <v>0</v>
      </c>
      <c r="BF28" s="2" t="s">
        <v>133</v>
      </c>
      <c r="BG28" s="2" t="str">
        <f t="shared" si="1"/>
        <v>ТТИ-А 75/5А 5ВА 0,5S</v>
      </c>
      <c r="BH28" s="2"/>
      <c r="BI28">
        <v>6</v>
      </c>
      <c r="BJ28" s="2">
        <v>0</v>
      </c>
      <c r="BK28" s="2">
        <v>0</v>
      </c>
      <c r="BL28" s="2">
        <v>0</v>
      </c>
      <c r="BM28" s="2"/>
      <c r="BN28" s="2"/>
      <c r="BO28" s="2"/>
      <c r="BP28" s="2"/>
      <c r="BQ28" s="2">
        <v>0</v>
      </c>
      <c r="BR28" s="2">
        <v>0</v>
      </c>
      <c r="BS28" s="2">
        <v>0</v>
      </c>
      <c r="BT28" s="2">
        <v>0</v>
      </c>
      <c r="BU28" s="2"/>
      <c r="BV28" s="2"/>
      <c r="BW28" s="2"/>
      <c r="BX28" s="2"/>
    </row>
    <row r="29" spans="6:76" x14ac:dyDescent="0.25">
      <c r="F29" s="27">
        <v>16</v>
      </c>
      <c r="G29" s="30">
        <v>24.5</v>
      </c>
      <c r="H29" s="31">
        <v>17</v>
      </c>
      <c r="K29" s="2">
        <v>20</v>
      </c>
      <c r="L29" s="2">
        <v>21</v>
      </c>
      <c r="M29" s="2">
        <v>14.5</v>
      </c>
      <c r="N29" s="2" t="s">
        <v>102</v>
      </c>
      <c r="O29" s="2" t="s">
        <v>71</v>
      </c>
      <c r="P29" s="2"/>
      <c r="Q29" s="2">
        <v>2</v>
      </c>
      <c r="R29" s="49" t="s">
        <v>147</v>
      </c>
      <c r="S29" s="49">
        <v>12.5</v>
      </c>
      <c r="T29" s="49">
        <v>150</v>
      </c>
      <c r="U29" s="2">
        <v>0</v>
      </c>
      <c r="V29" s="2">
        <v>0</v>
      </c>
      <c r="W29" s="2">
        <v>0</v>
      </c>
      <c r="X29" s="2"/>
      <c r="Y29" s="2"/>
      <c r="Z29" s="2"/>
      <c r="AA29" s="2"/>
      <c r="AB29" s="50" t="s">
        <v>158</v>
      </c>
      <c r="AC29" s="50">
        <v>12.5</v>
      </c>
      <c r="AD29" s="50">
        <v>150</v>
      </c>
      <c r="AE29" s="47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/>
      <c r="AL29" s="50" t="s">
        <v>154</v>
      </c>
      <c r="AM29" s="50">
        <v>12.5</v>
      </c>
      <c r="AN29" s="50">
        <v>150</v>
      </c>
      <c r="AO29" s="47">
        <v>0</v>
      </c>
      <c r="AP29" s="2">
        <v>0</v>
      </c>
      <c r="AQ29" s="2">
        <v>0</v>
      </c>
      <c r="AR29" s="2"/>
      <c r="AS29" s="2"/>
      <c r="AT29" s="2"/>
      <c r="AU29" s="2"/>
      <c r="AV29" s="2">
        <v>0</v>
      </c>
      <c r="AW29" s="2">
        <v>0</v>
      </c>
      <c r="AX29" s="2">
        <v>0</v>
      </c>
      <c r="AY29" s="2"/>
      <c r="AZ29" s="2"/>
      <c r="BA29" s="2"/>
      <c r="BB29" s="2"/>
      <c r="BC29" s="47">
        <v>60</v>
      </c>
      <c r="BD29" s="2">
        <v>0</v>
      </c>
      <c r="BE29" s="2">
        <v>0</v>
      </c>
      <c r="BF29" s="2" t="s">
        <v>133</v>
      </c>
      <c r="BG29" s="2" t="str">
        <f t="shared" si="1"/>
        <v>ТТИ-А 60/5А 5ВА 0,5S</v>
      </c>
      <c r="BH29" s="2"/>
      <c r="BI29">
        <v>6</v>
      </c>
      <c r="BJ29" s="2">
        <v>0</v>
      </c>
      <c r="BK29" s="2">
        <v>0</v>
      </c>
      <c r="BL29" s="2">
        <v>0</v>
      </c>
      <c r="BM29" s="2"/>
      <c r="BN29" s="2"/>
      <c r="BO29" s="2"/>
      <c r="BP29" s="2"/>
      <c r="BQ29" s="2">
        <v>0</v>
      </c>
      <c r="BR29" s="2">
        <v>0</v>
      </c>
      <c r="BS29" s="2">
        <v>0</v>
      </c>
      <c r="BT29" s="2">
        <v>0</v>
      </c>
      <c r="BU29" s="2"/>
      <c r="BV29" s="2"/>
      <c r="BW29" s="2"/>
      <c r="BX29" s="2"/>
    </row>
    <row r="30" spans="6:76" x14ac:dyDescent="0.25">
      <c r="F30" s="27">
        <v>10</v>
      </c>
      <c r="G30" s="30">
        <v>31.5</v>
      </c>
      <c r="H30" s="31">
        <v>22</v>
      </c>
      <c r="K30" s="2">
        <v>16</v>
      </c>
      <c r="L30" s="2">
        <v>24.5</v>
      </c>
      <c r="M30" s="2">
        <v>17</v>
      </c>
      <c r="N30" s="2" t="s">
        <v>102</v>
      </c>
      <c r="O30" s="2" t="s">
        <v>71</v>
      </c>
      <c r="P30" s="2"/>
      <c r="Q30" s="2">
        <v>2</v>
      </c>
      <c r="R30" s="49" t="s">
        <v>147</v>
      </c>
      <c r="S30" s="49">
        <v>12.5</v>
      </c>
      <c r="T30" s="49">
        <v>150</v>
      </c>
      <c r="U30" s="2">
        <v>0</v>
      </c>
      <c r="V30" s="2">
        <v>0</v>
      </c>
      <c r="W30" s="2">
        <v>0</v>
      </c>
      <c r="X30" s="2"/>
      <c r="Y30" s="2"/>
      <c r="Z30" s="2"/>
      <c r="AA30" s="2"/>
      <c r="AB30" s="50" t="s">
        <v>158</v>
      </c>
      <c r="AC30" s="50">
        <v>12.5</v>
      </c>
      <c r="AD30" s="50">
        <v>150</v>
      </c>
      <c r="AE30" s="47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/>
      <c r="AL30" s="50" t="s">
        <v>154</v>
      </c>
      <c r="AM30" s="50">
        <v>12.5</v>
      </c>
      <c r="AN30" s="50">
        <v>150</v>
      </c>
      <c r="AO30" s="47">
        <v>0</v>
      </c>
      <c r="AP30" s="2">
        <v>0</v>
      </c>
      <c r="AQ30" s="2">
        <v>0</v>
      </c>
      <c r="AR30" s="2"/>
      <c r="AS30" s="2"/>
      <c r="AT30" s="2"/>
      <c r="AU30" s="2"/>
      <c r="AV30" s="2">
        <v>0</v>
      </c>
      <c r="AW30" s="2">
        <v>0</v>
      </c>
      <c r="AX30" s="2">
        <v>0</v>
      </c>
      <c r="AY30" s="2"/>
      <c r="AZ30" s="2"/>
      <c r="BA30" s="2"/>
      <c r="BB30" s="2"/>
      <c r="BC30" s="47">
        <v>50</v>
      </c>
      <c r="BD30" s="2">
        <v>0</v>
      </c>
      <c r="BE30" s="2">
        <v>0</v>
      </c>
      <c r="BF30" s="2" t="s">
        <v>133</v>
      </c>
      <c r="BG30" s="2" t="str">
        <f t="shared" si="1"/>
        <v>ТТИ-А 50/5А 5ВА 0,5S</v>
      </c>
      <c r="BH30" s="2"/>
      <c r="BI30">
        <v>6</v>
      </c>
      <c r="BJ30" s="2">
        <v>0</v>
      </c>
      <c r="BK30" s="2">
        <v>0</v>
      </c>
      <c r="BL30" s="2">
        <v>0</v>
      </c>
      <c r="BM30" s="2"/>
      <c r="BN30" s="2"/>
      <c r="BO30" s="2"/>
      <c r="BP30" s="2"/>
      <c r="BQ30" s="2">
        <v>0</v>
      </c>
      <c r="BR30" s="2">
        <v>0</v>
      </c>
      <c r="BS30" s="2">
        <v>0</v>
      </c>
      <c r="BT30" s="2">
        <v>0</v>
      </c>
      <c r="BU30" s="2"/>
      <c r="BV30" s="2"/>
      <c r="BW30" s="2"/>
      <c r="BX30" s="2"/>
    </row>
    <row r="31" spans="6:76" x14ac:dyDescent="0.25">
      <c r="F31" s="27">
        <v>6</v>
      </c>
      <c r="G31" s="30">
        <v>35</v>
      </c>
      <c r="H31" s="31">
        <v>24.5</v>
      </c>
      <c r="K31" s="2">
        <v>10</v>
      </c>
      <c r="L31" s="2">
        <v>31.5</v>
      </c>
      <c r="M31" s="2">
        <v>22</v>
      </c>
      <c r="N31" s="2" t="s">
        <v>102</v>
      </c>
      <c r="O31" s="2" t="s">
        <v>71</v>
      </c>
      <c r="P31" s="2"/>
      <c r="Q31" s="2">
        <v>2</v>
      </c>
      <c r="R31" s="49" t="s">
        <v>147</v>
      </c>
      <c r="S31" s="49">
        <v>12.5</v>
      </c>
      <c r="T31" s="49">
        <v>150</v>
      </c>
      <c r="U31" s="2">
        <v>0</v>
      </c>
      <c r="V31" s="2">
        <v>0</v>
      </c>
      <c r="W31" s="2">
        <v>0</v>
      </c>
      <c r="X31" s="2"/>
      <c r="Y31" s="2"/>
      <c r="Z31" s="2"/>
      <c r="AA31" s="2"/>
      <c r="AB31" s="50" t="s">
        <v>158</v>
      </c>
      <c r="AC31" s="50">
        <v>12.5</v>
      </c>
      <c r="AD31" s="50">
        <v>150</v>
      </c>
      <c r="AE31" s="47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/>
      <c r="AL31" s="50" t="s">
        <v>154</v>
      </c>
      <c r="AM31" s="50">
        <v>12.5</v>
      </c>
      <c r="AN31" s="50">
        <v>150</v>
      </c>
      <c r="AO31" s="47">
        <v>0</v>
      </c>
      <c r="AP31" s="2">
        <v>0</v>
      </c>
      <c r="AQ31" s="2">
        <v>0</v>
      </c>
      <c r="AR31" s="2"/>
      <c r="AS31" s="2"/>
      <c r="AT31" s="2"/>
      <c r="AU31" s="2"/>
      <c r="AV31" s="2">
        <v>0</v>
      </c>
      <c r="AW31" s="2">
        <v>0</v>
      </c>
      <c r="AX31" s="2">
        <v>0</v>
      </c>
      <c r="AY31" s="2"/>
      <c r="AZ31" s="2"/>
      <c r="BA31" s="2"/>
      <c r="BB31" s="2"/>
      <c r="BC31" s="47">
        <v>40</v>
      </c>
      <c r="BD31" s="2">
        <v>0</v>
      </c>
      <c r="BE31" s="2">
        <v>0</v>
      </c>
      <c r="BF31" s="2" t="s">
        <v>133</v>
      </c>
      <c r="BG31" s="2" t="str">
        <f t="shared" si="1"/>
        <v>ТТИ-А 40/5А 5ВА 0,5S</v>
      </c>
      <c r="BH31" s="2"/>
      <c r="BI31">
        <v>6</v>
      </c>
      <c r="BJ31" s="2">
        <v>0</v>
      </c>
      <c r="BK31" s="2">
        <v>0</v>
      </c>
      <c r="BL31" s="2">
        <v>0</v>
      </c>
      <c r="BM31" s="2"/>
      <c r="BN31" s="2"/>
      <c r="BO31" s="2"/>
      <c r="BP31" s="2"/>
      <c r="BQ31" s="2">
        <v>0</v>
      </c>
      <c r="BR31" s="2">
        <v>0</v>
      </c>
      <c r="BS31" s="2">
        <v>0</v>
      </c>
      <c r="BT31" s="2">
        <v>0</v>
      </c>
      <c r="BU31" s="2"/>
      <c r="BV31" s="2"/>
      <c r="BW31" s="2"/>
      <c r="BX31" s="2"/>
    </row>
    <row r="32" spans="6:76" x14ac:dyDescent="0.25">
      <c r="F32" s="27">
        <v>4</v>
      </c>
      <c r="G32" s="30">
        <v>38.5</v>
      </c>
      <c r="H32" s="31">
        <v>27</v>
      </c>
      <c r="K32" s="2">
        <v>6</v>
      </c>
      <c r="L32" s="2">
        <v>35</v>
      </c>
      <c r="M32" s="2">
        <v>24.5</v>
      </c>
      <c r="N32" s="2" t="s">
        <v>102</v>
      </c>
      <c r="O32" s="2" t="s">
        <v>71</v>
      </c>
      <c r="P32" s="2"/>
      <c r="Q32" s="2">
        <v>2</v>
      </c>
      <c r="R32" s="49" t="s">
        <v>147</v>
      </c>
      <c r="S32" s="49">
        <v>12.5</v>
      </c>
      <c r="T32" s="49">
        <v>150</v>
      </c>
      <c r="U32" s="2">
        <v>0</v>
      </c>
      <c r="V32" s="2">
        <v>0</v>
      </c>
      <c r="W32" s="2">
        <v>0</v>
      </c>
      <c r="X32" s="2"/>
      <c r="Y32" s="2"/>
      <c r="Z32" s="2"/>
      <c r="AA32" s="2"/>
      <c r="AB32" s="50" t="s">
        <v>158</v>
      </c>
      <c r="AC32" s="50">
        <v>12.5</v>
      </c>
      <c r="AD32" s="50">
        <v>150</v>
      </c>
      <c r="AE32" s="47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/>
      <c r="AL32" s="50" t="s">
        <v>154</v>
      </c>
      <c r="AM32" s="50">
        <v>12.5</v>
      </c>
      <c r="AN32" s="50">
        <v>150</v>
      </c>
      <c r="AO32" s="47">
        <v>0</v>
      </c>
      <c r="AP32" s="2">
        <v>0</v>
      </c>
      <c r="AQ32" s="2">
        <v>0</v>
      </c>
      <c r="AR32" s="2"/>
      <c r="AS32" s="2"/>
      <c r="AT32" s="2"/>
      <c r="AU32" s="2"/>
      <c r="AV32" s="2">
        <v>0</v>
      </c>
      <c r="AW32" s="2">
        <v>0</v>
      </c>
      <c r="AX32" s="2">
        <v>0</v>
      </c>
      <c r="AY32" s="2"/>
      <c r="AZ32" s="2"/>
      <c r="BA32" s="2"/>
      <c r="BB32" s="2"/>
      <c r="BC32" s="47">
        <v>30</v>
      </c>
      <c r="BD32" s="2">
        <v>0</v>
      </c>
      <c r="BE32" s="2">
        <v>0</v>
      </c>
      <c r="BF32" s="2" t="s">
        <v>133</v>
      </c>
      <c r="BG32" s="2" t="str">
        <f t="shared" si="1"/>
        <v>ТТИ-А 30/5А 5ВА 0,5S</v>
      </c>
      <c r="BH32" s="2"/>
      <c r="BI32">
        <v>6</v>
      </c>
      <c r="BJ32" s="2">
        <v>0</v>
      </c>
      <c r="BK32" s="2">
        <v>0</v>
      </c>
      <c r="BL32" s="2">
        <v>0</v>
      </c>
      <c r="BM32" s="2"/>
      <c r="BN32" s="2"/>
      <c r="BO32" s="2"/>
      <c r="BP32" s="2"/>
      <c r="BQ32" s="2">
        <v>0</v>
      </c>
      <c r="BR32" s="2">
        <v>0</v>
      </c>
      <c r="BS32" s="2">
        <v>0</v>
      </c>
      <c r="BT32" s="2">
        <v>0</v>
      </c>
      <c r="BU32" s="2"/>
      <c r="BV32" s="2"/>
      <c r="BW32" s="2"/>
      <c r="BX32" s="2"/>
    </row>
    <row r="33" spans="6:76" x14ac:dyDescent="0.25">
      <c r="F33" s="27">
        <v>2</v>
      </c>
      <c r="G33" s="30">
        <v>42</v>
      </c>
      <c r="H33" s="31">
        <v>29.5</v>
      </c>
      <c r="K33" s="2">
        <v>4</v>
      </c>
      <c r="L33" s="2">
        <v>38.5</v>
      </c>
      <c r="M33" s="2">
        <v>27</v>
      </c>
      <c r="N33" s="2" t="s">
        <v>102</v>
      </c>
      <c r="O33" s="2" t="s">
        <v>71</v>
      </c>
      <c r="P33" s="2"/>
      <c r="Q33" s="2">
        <v>2</v>
      </c>
      <c r="R33" s="49" t="s">
        <v>147</v>
      </c>
      <c r="S33" s="49">
        <v>12.5</v>
      </c>
      <c r="T33" s="49">
        <v>150</v>
      </c>
      <c r="U33" s="2">
        <v>0</v>
      </c>
      <c r="V33" s="2">
        <v>0</v>
      </c>
      <c r="W33" s="2">
        <v>0</v>
      </c>
      <c r="X33" s="2"/>
      <c r="Y33" s="2"/>
      <c r="Z33" s="2"/>
      <c r="AA33" s="2"/>
      <c r="AB33" s="50" t="s">
        <v>158</v>
      </c>
      <c r="AC33" s="50">
        <v>12.5</v>
      </c>
      <c r="AD33" s="50">
        <v>150</v>
      </c>
      <c r="AE33" s="47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/>
      <c r="AL33" s="50" t="s">
        <v>154</v>
      </c>
      <c r="AM33" s="50">
        <v>12.5</v>
      </c>
      <c r="AN33" s="50">
        <v>150</v>
      </c>
      <c r="AO33" s="47">
        <v>0</v>
      </c>
      <c r="AP33" s="2">
        <v>0</v>
      </c>
      <c r="AQ33" s="2">
        <v>0</v>
      </c>
      <c r="AR33" s="2"/>
      <c r="AS33" s="2"/>
      <c r="AT33" s="2"/>
      <c r="AU33" s="2"/>
      <c r="AV33" s="2">
        <v>0</v>
      </c>
      <c r="AW33" s="2">
        <v>0</v>
      </c>
      <c r="AX33" s="2">
        <v>0</v>
      </c>
      <c r="AY33" s="2"/>
      <c r="AZ33" s="2"/>
      <c r="BA33" s="2"/>
      <c r="BB33" s="2"/>
      <c r="BC33" s="47">
        <v>25</v>
      </c>
      <c r="BD33" s="2">
        <v>0</v>
      </c>
      <c r="BE33" s="2">
        <v>0</v>
      </c>
      <c r="BF33" s="2" t="s">
        <v>133</v>
      </c>
      <c r="BG33" s="2" t="str">
        <f t="shared" si="1"/>
        <v>ТТИ-А 25/5А 5ВА 0,5S</v>
      </c>
      <c r="BH33" s="2"/>
      <c r="BI33">
        <v>6</v>
      </c>
      <c r="BJ33" s="2">
        <v>0</v>
      </c>
      <c r="BK33" s="2">
        <v>0</v>
      </c>
      <c r="BL33" s="2">
        <v>0</v>
      </c>
      <c r="BM33" s="2"/>
      <c r="BN33" s="2"/>
      <c r="BO33" s="2"/>
      <c r="BP33" s="2"/>
      <c r="BQ33" s="2">
        <v>0</v>
      </c>
      <c r="BR33" s="2">
        <v>0</v>
      </c>
      <c r="BS33" s="2">
        <v>0</v>
      </c>
      <c r="BT33" s="2">
        <v>0</v>
      </c>
      <c r="BU33" s="2"/>
      <c r="BV33" s="2"/>
      <c r="BW33" s="2"/>
      <c r="BX33" s="2"/>
    </row>
    <row r="34" spans="6:76" x14ac:dyDescent="0.25">
      <c r="F34" s="27">
        <v>1.6</v>
      </c>
      <c r="G34" s="30">
        <v>45.5</v>
      </c>
      <c r="H34" s="31">
        <v>32</v>
      </c>
      <c r="K34" s="2">
        <v>2</v>
      </c>
      <c r="L34" s="2">
        <v>42</v>
      </c>
      <c r="M34" s="2">
        <v>29.5</v>
      </c>
      <c r="N34" s="2" t="s">
        <v>102</v>
      </c>
      <c r="O34" s="2" t="s">
        <v>71</v>
      </c>
      <c r="P34" s="2"/>
      <c r="Q34" s="2">
        <v>2</v>
      </c>
      <c r="R34" s="49" t="s">
        <v>147</v>
      </c>
      <c r="S34" s="49">
        <v>12.5</v>
      </c>
      <c r="T34" s="49">
        <v>150</v>
      </c>
      <c r="U34" s="2">
        <v>0</v>
      </c>
      <c r="V34" s="2">
        <v>0</v>
      </c>
      <c r="W34" s="2">
        <v>0</v>
      </c>
      <c r="X34" s="2"/>
      <c r="Y34" s="2"/>
      <c r="Z34" s="2"/>
      <c r="AA34" s="2"/>
      <c r="AB34" s="50" t="s">
        <v>158</v>
      </c>
      <c r="AC34" s="50">
        <v>12.5</v>
      </c>
      <c r="AD34" s="50">
        <v>150</v>
      </c>
      <c r="AE34" s="47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/>
      <c r="AL34" s="50" t="s">
        <v>154</v>
      </c>
      <c r="AM34" s="50">
        <v>12.5</v>
      </c>
      <c r="AN34" s="50">
        <v>150</v>
      </c>
      <c r="AO34" s="47">
        <v>0</v>
      </c>
      <c r="AP34" s="2">
        <v>0</v>
      </c>
      <c r="AQ34" s="2">
        <v>0</v>
      </c>
      <c r="AR34" s="2"/>
      <c r="AS34" s="2"/>
      <c r="AT34" s="2"/>
      <c r="AU34" s="2"/>
      <c r="AV34" s="2">
        <v>0</v>
      </c>
      <c r="AW34" s="2">
        <v>0</v>
      </c>
      <c r="AX34" s="2">
        <v>0</v>
      </c>
      <c r="AY34" s="2"/>
      <c r="AZ34" s="2"/>
      <c r="BA34" s="2"/>
      <c r="BB34" s="2"/>
      <c r="BC34" s="47">
        <v>20</v>
      </c>
      <c r="BD34" s="2">
        <v>0</v>
      </c>
      <c r="BE34" s="2">
        <v>0</v>
      </c>
      <c r="BF34" s="2" t="s">
        <v>133</v>
      </c>
      <c r="BG34" s="2" t="str">
        <f t="shared" si="1"/>
        <v>ТТИ-А 20/5А 5ВА 0,5S</v>
      </c>
      <c r="BH34" s="2"/>
      <c r="BI34">
        <v>6</v>
      </c>
      <c r="BJ34" s="2">
        <v>0</v>
      </c>
      <c r="BK34" s="2">
        <v>0</v>
      </c>
      <c r="BL34" s="2">
        <v>0</v>
      </c>
      <c r="BM34" s="2"/>
      <c r="BN34" s="2"/>
      <c r="BO34" s="2"/>
      <c r="BP34" s="2"/>
      <c r="BQ34" s="2">
        <v>0</v>
      </c>
      <c r="BR34" s="2">
        <v>0</v>
      </c>
      <c r="BS34" s="2">
        <v>0</v>
      </c>
      <c r="BT34" s="2">
        <v>0</v>
      </c>
      <c r="BU34" s="2"/>
      <c r="BV34" s="2"/>
      <c r="BW34" s="2"/>
      <c r="BX34" s="2"/>
    </row>
    <row r="35" spans="6:76" x14ac:dyDescent="0.25">
      <c r="F35" s="32">
        <v>1</v>
      </c>
      <c r="G35" s="30">
        <v>47.25</v>
      </c>
      <c r="H35" s="31">
        <v>33.25</v>
      </c>
      <c r="K35" s="2">
        <v>1.6</v>
      </c>
      <c r="L35" s="2">
        <v>45.5</v>
      </c>
      <c r="M35" s="2">
        <v>32</v>
      </c>
      <c r="N35" s="2" t="s">
        <v>102</v>
      </c>
      <c r="O35" s="2" t="s">
        <v>71</v>
      </c>
      <c r="P35" s="2"/>
      <c r="Q35" s="2">
        <v>2</v>
      </c>
      <c r="R35" s="49" t="s">
        <v>147</v>
      </c>
      <c r="S35" s="49">
        <v>12.5</v>
      </c>
      <c r="T35" s="49">
        <v>150</v>
      </c>
      <c r="U35" s="2">
        <v>0</v>
      </c>
      <c r="V35" s="2">
        <v>0</v>
      </c>
      <c r="W35" s="2">
        <v>0</v>
      </c>
      <c r="X35" s="2"/>
      <c r="Y35" s="2"/>
      <c r="Z35" s="2"/>
      <c r="AA35" s="2"/>
      <c r="AB35" s="50" t="s">
        <v>158</v>
      </c>
      <c r="AC35" s="50">
        <v>12.5</v>
      </c>
      <c r="AD35" s="50">
        <v>150</v>
      </c>
      <c r="AE35" s="47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/>
      <c r="AL35" s="50" t="s">
        <v>154</v>
      </c>
      <c r="AM35" s="50">
        <v>12.5</v>
      </c>
      <c r="AN35" s="50">
        <v>150</v>
      </c>
      <c r="AO35" s="47">
        <v>0</v>
      </c>
      <c r="AP35" s="2">
        <v>0</v>
      </c>
      <c r="AQ35" s="2">
        <v>0</v>
      </c>
      <c r="AR35" s="2"/>
      <c r="AS35" s="2"/>
      <c r="AT35" s="2"/>
      <c r="AU35" s="2"/>
      <c r="AV35" s="2">
        <v>0</v>
      </c>
      <c r="AW35" s="2">
        <v>0</v>
      </c>
      <c r="AX35" s="2">
        <v>0</v>
      </c>
      <c r="AY35" s="2"/>
      <c r="AZ35" s="2"/>
      <c r="BA35" s="2"/>
      <c r="BB35" s="2"/>
      <c r="BC35" s="47">
        <v>15</v>
      </c>
      <c r="BD35" s="2">
        <v>0</v>
      </c>
      <c r="BE35" s="2">
        <v>0</v>
      </c>
      <c r="BF35" s="2" t="s">
        <v>133</v>
      </c>
      <c r="BG35" s="2" t="str">
        <f t="shared" si="1"/>
        <v>ТТИ-А 15/5А 5ВА 0,5S</v>
      </c>
      <c r="BH35" s="2"/>
      <c r="BI35">
        <v>6</v>
      </c>
      <c r="BJ35" s="2">
        <v>0</v>
      </c>
      <c r="BK35" s="2">
        <v>0</v>
      </c>
      <c r="BL35" s="2">
        <v>0</v>
      </c>
      <c r="BM35" s="2"/>
      <c r="BN35" s="2"/>
      <c r="BO35" s="2"/>
      <c r="BP35" s="2"/>
      <c r="BQ35" s="2">
        <v>0</v>
      </c>
      <c r="BR35" s="2">
        <v>0</v>
      </c>
      <c r="BS35" s="2">
        <v>0</v>
      </c>
      <c r="BT35" s="2">
        <v>0</v>
      </c>
      <c r="BU35" s="2"/>
      <c r="BV35" s="2"/>
      <c r="BW35" s="2"/>
      <c r="BX35" s="2"/>
    </row>
    <row r="36" spans="6:76" ht="15.75" thickBot="1" x14ac:dyDescent="0.3">
      <c r="F36" s="33">
        <v>0.4</v>
      </c>
      <c r="G36" s="34">
        <v>49</v>
      </c>
      <c r="H36" s="35">
        <v>34.5</v>
      </c>
      <c r="K36" s="2">
        <v>1</v>
      </c>
      <c r="L36" s="2">
        <v>47.25</v>
      </c>
      <c r="M36" s="2">
        <v>33.25</v>
      </c>
      <c r="N36" s="2" t="s">
        <v>102</v>
      </c>
      <c r="O36" s="2" t="s">
        <v>71</v>
      </c>
      <c r="P36" s="2"/>
      <c r="Q36" s="2">
        <v>2</v>
      </c>
      <c r="R36" s="49" t="s">
        <v>147</v>
      </c>
      <c r="S36" s="49">
        <v>12.5</v>
      </c>
      <c r="T36" s="49">
        <v>150</v>
      </c>
      <c r="U36" s="2">
        <v>0</v>
      </c>
      <c r="V36" s="2">
        <v>0</v>
      </c>
      <c r="W36" s="2">
        <v>0</v>
      </c>
      <c r="X36" s="2"/>
      <c r="Y36" s="2"/>
      <c r="Z36" s="2"/>
      <c r="AA36" s="2"/>
      <c r="AB36" s="50" t="s">
        <v>158</v>
      </c>
      <c r="AC36" s="50">
        <v>12.5</v>
      </c>
      <c r="AD36" s="50">
        <v>150</v>
      </c>
      <c r="AE36" s="47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/>
      <c r="AL36" s="50" t="s">
        <v>154</v>
      </c>
      <c r="AM36" s="50">
        <v>12.5</v>
      </c>
      <c r="AN36" s="50">
        <v>150</v>
      </c>
      <c r="AO36" s="47">
        <v>0</v>
      </c>
      <c r="AP36" s="2">
        <v>0</v>
      </c>
      <c r="AQ36" s="2">
        <v>0</v>
      </c>
      <c r="AR36" s="2"/>
      <c r="AS36" s="2"/>
      <c r="AT36" s="2"/>
      <c r="AU36" s="2"/>
      <c r="AV36" s="2">
        <v>0</v>
      </c>
      <c r="AW36" s="2">
        <v>0</v>
      </c>
      <c r="AX36" s="2">
        <v>0</v>
      </c>
      <c r="AY36" s="2"/>
      <c r="AZ36" s="2"/>
      <c r="BA36" s="2"/>
      <c r="BB36" s="2"/>
      <c r="BC36" s="47">
        <v>10</v>
      </c>
      <c r="BD36" s="2">
        <v>0</v>
      </c>
      <c r="BE36" s="2">
        <v>0</v>
      </c>
      <c r="BF36" s="2" t="s">
        <v>133</v>
      </c>
      <c r="BG36" s="2" t="str">
        <f t="shared" si="1"/>
        <v>ТТИ-А 10/5А 5ВА 0,5S</v>
      </c>
      <c r="BH36" s="2"/>
      <c r="BI36">
        <v>6</v>
      </c>
      <c r="BJ36" s="2">
        <v>0</v>
      </c>
      <c r="BK36" s="2">
        <v>0</v>
      </c>
      <c r="BL36" s="2">
        <v>0</v>
      </c>
      <c r="BM36" s="2"/>
      <c r="BN36" s="2"/>
      <c r="BO36" s="2"/>
      <c r="BP36" s="2"/>
      <c r="BQ36" s="2">
        <v>0</v>
      </c>
      <c r="BR36" s="2">
        <v>0</v>
      </c>
      <c r="BS36" s="2">
        <v>0</v>
      </c>
      <c r="BT36" s="2">
        <v>0</v>
      </c>
      <c r="BU36" s="2"/>
      <c r="BV36" s="2"/>
      <c r="BW36" s="2"/>
      <c r="BX36" s="2"/>
    </row>
    <row r="37" spans="6:76" x14ac:dyDescent="0.25">
      <c r="K37" s="2">
        <v>0.4</v>
      </c>
      <c r="L37" s="2">
        <v>49</v>
      </c>
      <c r="M37" s="2">
        <v>34.5</v>
      </c>
      <c r="N37" s="2" t="s">
        <v>102</v>
      </c>
      <c r="O37" s="2" t="s">
        <v>71</v>
      </c>
      <c r="P37" s="2"/>
      <c r="Q37" s="2">
        <v>2</v>
      </c>
      <c r="R37" s="49" t="s">
        <v>147</v>
      </c>
      <c r="S37" s="49">
        <v>12.5</v>
      </c>
      <c r="T37" s="49">
        <v>150</v>
      </c>
      <c r="U37" s="2">
        <v>0</v>
      </c>
      <c r="V37" s="2">
        <v>0</v>
      </c>
      <c r="W37" s="2">
        <v>0</v>
      </c>
      <c r="X37" s="2"/>
      <c r="Y37" s="2"/>
      <c r="Z37" s="2"/>
      <c r="AA37" s="2"/>
      <c r="AB37" s="50" t="s">
        <v>158</v>
      </c>
      <c r="AC37" s="50">
        <v>12.5</v>
      </c>
      <c r="AD37" s="50">
        <v>150</v>
      </c>
      <c r="AE37" s="47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/>
      <c r="AL37" s="50" t="s">
        <v>154</v>
      </c>
      <c r="AM37" s="50">
        <v>12.5</v>
      </c>
      <c r="AN37" s="50">
        <v>150</v>
      </c>
      <c r="AO37" s="47">
        <v>0</v>
      </c>
      <c r="AP37" s="2">
        <v>0</v>
      </c>
      <c r="AQ37" s="2">
        <v>0</v>
      </c>
      <c r="AR37" s="2"/>
      <c r="AS37" s="2"/>
      <c r="AT37" s="2"/>
      <c r="AU37" s="2"/>
      <c r="AV37" s="2">
        <v>0</v>
      </c>
      <c r="AW37" s="2">
        <v>0</v>
      </c>
      <c r="AX37" s="2">
        <v>0</v>
      </c>
      <c r="AY37" s="2"/>
      <c r="AZ37" s="2"/>
      <c r="BA37" s="2"/>
      <c r="BB37" s="2"/>
      <c r="BC37" s="47">
        <v>5</v>
      </c>
      <c r="BD37" s="2">
        <v>0</v>
      </c>
      <c r="BE37" s="2">
        <v>0</v>
      </c>
      <c r="BF37" s="2" t="s">
        <v>133</v>
      </c>
      <c r="BG37" s="2" t="str">
        <f>"ТТИ-А "&amp;BC37&amp;"/5А 5ВА 0,5S"</f>
        <v>ТТИ-А 5/5А 5ВА 0,5S</v>
      </c>
      <c r="BH37" s="2"/>
      <c r="BI37">
        <v>6</v>
      </c>
      <c r="BJ37" s="2">
        <v>0</v>
      </c>
      <c r="BK37" s="2">
        <v>0</v>
      </c>
      <c r="BL37" s="2">
        <v>0</v>
      </c>
      <c r="BM37" s="2"/>
      <c r="BN37" s="2"/>
      <c r="BO37" s="2"/>
      <c r="BP37" s="2"/>
      <c r="BQ37" s="2">
        <v>0</v>
      </c>
      <c r="BR37" s="2">
        <v>0</v>
      </c>
      <c r="BS37" s="2">
        <v>0</v>
      </c>
      <c r="BT37" s="2">
        <v>0</v>
      </c>
      <c r="BU37" s="2"/>
      <c r="BV37" s="2"/>
      <c r="BW37" s="2"/>
      <c r="BX37" s="2"/>
    </row>
    <row r="38" spans="6:76" x14ac:dyDescent="0.25"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49"/>
      <c r="S38" s="49"/>
      <c r="T38" s="49"/>
      <c r="U38" s="47">
        <v>0</v>
      </c>
      <c r="V38" s="2">
        <v>0</v>
      </c>
      <c r="W38" s="2">
        <v>0</v>
      </c>
      <c r="X38" s="2"/>
      <c r="Y38" s="2"/>
      <c r="Z38" s="2"/>
      <c r="AA38" s="2"/>
      <c r="AB38" s="50"/>
      <c r="AC38" s="50"/>
      <c r="AD38" s="50"/>
      <c r="AE38" s="47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/>
      <c r="AL38" s="50"/>
      <c r="AM38" s="50"/>
      <c r="AN38" s="50"/>
      <c r="AO38" s="2">
        <v>0</v>
      </c>
      <c r="AP38" s="2">
        <v>0</v>
      </c>
      <c r="AQ38" s="2">
        <v>0</v>
      </c>
      <c r="AR38" s="2"/>
      <c r="AS38" s="2"/>
      <c r="AT38" s="2"/>
      <c r="AU38" s="2"/>
      <c r="AV38" s="2">
        <v>0</v>
      </c>
      <c r="AW38" s="47">
        <v>0</v>
      </c>
      <c r="AX38" s="2">
        <v>0</v>
      </c>
      <c r="AY38" s="2"/>
      <c r="AZ38" s="2"/>
      <c r="BA38" s="2"/>
      <c r="BB38" s="2"/>
      <c r="BC38" s="2">
        <v>0</v>
      </c>
      <c r="BD38" s="47">
        <v>0</v>
      </c>
      <c r="BE38" s="2">
        <v>0</v>
      </c>
      <c r="BF38" s="2"/>
      <c r="BG38" s="2"/>
      <c r="BH38" s="2"/>
      <c r="BI38" s="2"/>
      <c r="BJ38" s="2">
        <v>0</v>
      </c>
      <c r="BK38" s="47">
        <v>0</v>
      </c>
      <c r="BL38" s="2">
        <v>0</v>
      </c>
      <c r="BM38" s="2"/>
      <c r="BN38" s="2"/>
      <c r="BO38" s="2"/>
      <c r="BP38" s="2"/>
      <c r="BQ38" s="2">
        <v>0</v>
      </c>
      <c r="BR38" s="2">
        <v>0</v>
      </c>
      <c r="BS38" s="2">
        <v>0</v>
      </c>
      <c r="BT38" s="2">
        <v>0</v>
      </c>
      <c r="BU38" s="2"/>
      <c r="BV38" s="2"/>
      <c r="BW38" s="2"/>
      <c r="BX38" s="2"/>
    </row>
    <row r="41" spans="6:76" ht="15.75" thickBot="1" x14ac:dyDescent="0.3"/>
    <row r="42" spans="6:76" ht="15.75" thickBot="1" x14ac:dyDescent="0.3">
      <c r="F42" s="178" t="s">
        <v>72</v>
      </c>
      <c r="G42" s="179"/>
      <c r="H42" s="180"/>
    </row>
    <row r="43" spans="6:76" ht="31.5" x14ac:dyDescent="0.25">
      <c r="F43" s="36" t="s">
        <v>20</v>
      </c>
      <c r="G43" s="37" t="s">
        <v>21</v>
      </c>
      <c r="H43" s="38" t="s">
        <v>22</v>
      </c>
    </row>
    <row r="44" spans="6:76" x14ac:dyDescent="0.25">
      <c r="F44" s="27">
        <v>125</v>
      </c>
      <c r="G44" s="28"/>
      <c r="H44" s="29"/>
    </row>
    <row r="45" spans="6:76" x14ac:dyDescent="0.25">
      <c r="F45" s="27">
        <v>100</v>
      </c>
      <c r="G45" s="28"/>
      <c r="H45" s="29"/>
    </row>
    <row r="46" spans="6:76" x14ac:dyDescent="0.25">
      <c r="F46" s="27">
        <v>63</v>
      </c>
      <c r="G46" s="28"/>
      <c r="H46" s="29"/>
    </row>
    <row r="47" spans="6:76" x14ac:dyDescent="0.25">
      <c r="F47" s="27">
        <v>40</v>
      </c>
      <c r="G47" s="28"/>
      <c r="H47" s="29"/>
    </row>
    <row r="48" spans="6:76" x14ac:dyDescent="0.25">
      <c r="F48" s="27">
        <v>32</v>
      </c>
      <c r="G48" s="28"/>
      <c r="H48" s="29"/>
    </row>
    <row r="49" spans="3:8" x14ac:dyDescent="0.25">
      <c r="F49" s="27">
        <v>25</v>
      </c>
      <c r="G49" s="28"/>
      <c r="H49" s="29"/>
    </row>
    <row r="50" spans="3:8" x14ac:dyDescent="0.25">
      <c r="F50" s="27">
        <v>20</v>
      </c>
      <c r="G50" s="28"/>
      <c r="H50" s="29"/>
    </row>
    <row r="55" spans="3:8" ht="15.75" thickBot="1" x14ac:dyDescent="0.3"/>
    <row r="56" spans="3:8" ht="15.75" thickBot="1" x14ac:dyDescent="0.3">
      <c r="C56" s="178" t="s">
        <v>437</v>
      </c>
      <c r="D56" s="179"/>
      <c r="E56" s="180"/>
    </row>
  </sheetData>
  <mergeCells count="6">
    <mergeCell ref="K3:BX3"/>
    <mergeCell ref="C56:E56"/>
    <mergeCell ref="A3:C3"/>
    <mergeCell ref="F3:H3"/>
    <mergeCell ref="A9:B9"/>
    <mergeCell ref="F42:H42"/>
  </mergeCells>
  <phoneticPr fontId="7" type="noConversion"/>
  <conditionalFormatting sqref="K6:M37 U13:Z37 U6:W12 Y6:AA6 Y7:Z12 AA7:AA37 BJ6:BR37 BU6:BX37 AW6:BG6 AO13:BH37 AO6:AU12 AV8:AV12 AW7:BH12 AE6:AG37">
    <cfRule type="cellIs" dxfId="79" priority="25" operator="equal">
      <formula>0</formula>
    </cfRule>
  </conditionalFormatting>
  <conditionalFormatting sqref="K38:M38 U38:AG38 AO38:AP38">
    <cfRule type="cellIs" dxfId="78" priority="24" operator="equal">
      <formula>0</formula>
    </cfRule>
  </conditionalFormatting>
  <conditionalFormatting sqref="AQ38:AW38">
    <cfRule type="cellIs" dxfId="77" priority="23" operator="equal">
      <formula>0</formula>
    </cfRule>
  </conditionalFormatting>
  <conditionalFormatting sqref="AX38:BR38 BU38:BX38">
    <cfRule type="cellIs" dxfId="76" priority="22" operator="equal">
      <formula>0</formula>
    </cfRule>
  </conditionalFormatting>
  <conditionalFormatting sqref="N6:T37">
    <cfRule type="cellIs" dxfId="75" priority="21" operator="equal">
      <formula>0</formula>
    </cfRule>
  </conditionalFormatting>
  <conditionalFormatting sqref="N38:T38">
    <cfRule type="cellIs" dxfId="74" priority="20" operator="equal">
      <formula>0</formula>
    </cfRule>
  </conditionalFormatting>
  <conditionalFormatting sqref="AH6:AI15">
    <cfRule type="cellIs" dxfId="73" priority="19" operator="equal">
      <formula>0</formula>
    </cfRule>
  </conditionalFormatting>
  <conditionalFormatting sqref="AJ38:AN38">
    <cfRule type="cellIs" dxfId="72" priority="18" operator="equal">
      <formula>0</formula>
    </cfRule>
  </conditionalFormatting>
  <conditionalFormatting sqref="AH16:AH37">
    <cfRule type="cellIs" dxfId="71" priority="17" operator="equal">
      <formula>0</formula>
    </cfRule>
  </conditionalFormatting>
  <conditionalFormatting sqref="AH38">
    <cfRule type="cellIs" dxfId="70" priority="16" operator="equal">
      <formula>0</formula>
    </cfRule>
  </conditionalFormatting>
  <conditionalFormatting sqref="AI16:AI37">
    <cfRule type="cellIs" dxfId="69" priority="15" operator="equal">
      <formula>0</formula>
    </cfRule>
  </conditionalFormatting>
  <conditionalFormatting sqref="AI38">
    <cfRule type="cellIs" dxfId="68" priority="14" operator="equal">
      <formula>0</formula>
    </cfRule>
  </conditionalFormatting>
  <conditionalFormatting sqref="AJ6:AK6 AJ7 AK7:AK15">
    <cfRule type="cellIs" dxfId="67" priority="13" operator="equal">
      <formula>0</formula>
    </cfRule>
  </conditionalFormatting>
  <conditionalFormatting sqref="AJ8:AJ11">
    <cfRule type="cellIs" dxfId="66" priority="12" operator="equal">
      <formula>0</formula>
    </cfRule>
  </conditionalFormatting>
  <conditionalFormatting sqref="AJ12:AJ14">
    <cfRule type="cellIs" dxfId="65" priority="11" operator="equal">
      <formula>0</formula>
    </cfRule>
  </conditionalFormatting>
  <conditionalFormatting sqref="AJ16:AK36 AJ15">
    <cfRule type="cellIs" dxfId="64" priority="10" operator="equal">
      <formula>0</formula>
    </cfRule>
  </conditionalFormatting>
  <conditionalFormatting sqref="AJ37:AK37">
    <cfRule type="cellIs" dxfId="63" priority="9" operator="equal">
      <formula>0</formula>
    </cfRule>
  </conditionalFormatting>
  <conditionalFormatting sqref="BS6:BS37">
    <cfRule type="cellIs" dxfId="62" priority="8" operator="equal">
      <formula>0</formula>
    </cfRule>
  </conditionalFormatting>
  <conditionalFormatting sqref="BS38">
    <cfRule type="cellIs" dxfId="61" priority="7" operator="equal">
      <formula>0</formula>
    </cfRule>
  </conditionalFormatting>
  <conditionalFormatting sqref="BT6:BT37">
    <cfRule type="cellIs" dxfId="60" priority="6" operator="equal">
      <formula>0</formula>
    </cfRule>
  </conditionalFormatting>
  <conditionalFormatting sqref="BT38">
    <cfRule type="cellIs" dxfId="59" priority="5" operator="equal">
      <formula>0</formula>
    </cfRule>
  </conditionalFormatting>
  <conditionalFormatting sqref="X6:X12">
    <cfRule type="cellIs" dxfId="58" priority="4" operator="equal">
      <formula>0</formula>
    </cfRule>
  </conditionalFormatting>
  <conditionalFormatting sqref="AV6:AV7">
    <cfRule type="cellIs" dxfId="57" priority="3" operator="equal">
      <formula>0</formula>
    </cfRule>
  </conditionalFormatting>
  <conditionalFormatting sqref="AL6:AN37">
    <cfRule type="cellIs" dxfId="56" priority="2" operator="equal">
      <formula>0</formula>
    </cfRule>
  </conditionalFormatting>
  <conditionalFormatting sqref="AB6:AD37">
    <cfRule type="cellIs" dxfId="5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C41F-A7A1-44A1-BCA8-2DEB7768025B}">
  <dimension ref="A1:B5"/>
  <sheetViews>
    <sheetView workbookViewId="0">
      <selection activeCell="F35" sqref="F35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173</v>
      </c>
      <c r="B1" t="s">
        <v>340</v>
      </c>
    </row>
    <row r="2" spans="1:2" x14ac:dyDescent="0.25">
      <c r="A2" t="s">
        <v>174</v>
      </c>
      <c r="B2" t="s">
        <v>387</v>
      </c>
    </row>
    <row r="3" spans="1:2" x14ac:dyDescent="0.25">
      <c r="A3" t="s">
        <v>173</v>
      </c>
      <c r="B3" t="s">
        <v>356</v>
      </c>
    </row>
    <row r="4" spans="1:2" x14ac:dyDescent="0.25">
      <c r="A4" t="s">
        <v>174</v>
      </c>
      <c r="B4" t="s">
        <v>387</v>
      </c>
    </row>
    <row r="5" spans="1:2" x14ac:dyDescent="0.25">
      <c r="A5" t="s">
        <v>173</v>
      </c>
      <c r="B5" t="s">
        <v>357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A2:S6"/>
  <sheetViews>
    <sheetView workbookViewId="0">
      <selection activeCell="C6" sqref="C6"/>
    </sheetView>
  </sheetViews>
  <sheetFormatPr defaultRowHeight="15" x14ac:dyDescent="0.25"/>
  <cols>
    <col min="3" max="3" width="13.28515625" bestFit="1" customWidth="1"/>
    <col min="4" max="4" width="3.7109375" customWidth="1"/>
    <col min="5" max="6" width="12.7109375" customWidth="1"/>
    <col min="7" max="7" width="3.7109375" customWidth="1"/>
    <col min="8" max="11" width="12.7109375" customWidth="1"/>
    <col min="12" max="12" width="3.7109375" customWidth="1"/>
    <col min="13" max="18" width="12.7109375" customWidth="1"/>
  </cols>
  <sheetData>
    <row r="2" spans="1:19" x14ac:dyDescent="0.25">
      <c r="A2" s="1">
        <v>0</v>
      </c>
      <c r="B2" s="1">
        <f>A2+1</f>
        <v>1</v>
      </c>
      <c r="C2" s="1">
        <f t="shared" ref="C2:R2" si="0">B2+1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04">
        <f t="shared" si="0"/>
        <v>17</v>
      </c>
    </row>
    <row r="3" spans="1:19" ht="90" x14ac:dyDescent="0.25">
      <c r="C3" s="85"/>
      <c r="D3" s="195" t="s">
        <v>341</v>
      </c>
      <c r="E3" s="195"/>
      <c r="F3" s="195"/>
      <c r="G3" s="195" t="s">
        <v>342</v>
      </c>
      <c r="H3" s="195"/>
      <c r="I3" s="195"/>
      <c r="J3" s="95" t="s">
        <v>345</v>
      </c>
      <c r="K3" s="95" t="s">
        <v>343</v>
      </c>
      <c r="L3" s="195" t="s">
        <v>344</v>
      </c>
      <c r="M3" s="195"/>
      <c r="N3" s="195"/>
      <c r="O3" s="196" t="s">
        <v>353</v>
      </c>
      <c r="P3" s="196"/>
      <c r="Q3" s="196"/>
      <c r="R3" s="105" t="s">
        <v>354</v>
      </c>
    </row>
    <row r="4" spans="1:19" x14ac:dyDescent="0.25">
      <c r="C4" s="85"/>
      <c r="D4" s="51" t="s">
        <v>167</v>
      </c>
      <c r="E4" s="52" t="s">
        <v>165</v>
      </c>
      <c r="F4" s="53" t="s">
        <v>166</v>
      </c>
      <c r="G4" s="51" t="s">
        <v>167</v>
      </c>
      <c r="H4" s="52" t="s">
        <v>165</v>
      </c>
      <c r="I4" s="53" t="s">
        <v>166</v>
      </c>
      <c r="J4" s="52" t="s">
        <v>165</v>
      </c>
      <c r="K4" s="52" t="s">
        <v>165</v>
      </c>
      <c r="L4" s="51" t="s">
        <v>167</v>
      </c>
      <c r="M4" s="52" t="s">
        <v>165</v>
      </c>
      <c r="N4" s="53" t="s">
        <v>166</v>
      </c>
      <c r="O4" s="98" t="s">
        <v>167</v>
      </c>
      <c r="P4" s="99" t="s">
        <v>165</v>
      </c>
      <c r="Q4" s="100" t="s">
        <v>166</v>
      </c>
      <c r="R4" s="105"/>
    </row>
    <row r="5" spans="1:19" ht="45" x14ac:dyDescent="0.25">
      <c r="C5" s="94" t="s">
        <v>2</v>
      </c>
      <c r="D5" s="51"/>
      <c r="E5" s="52"/>
      <c r="F5" s="53"/>
      <c r="G5" s="51"/>
      <c r="H5" s="52"/>
      <c r="I5" s="53"/>
      <c r="J5" s="52"/>
      <c r="K5" s="52"/>
      <c r="L5" s="51"/>
      <c r="M5" s="52"/>
      <c r="N5" s="53"/>
      <c r="O5" s="98"/>
      <c r="P5" s="99"/>
      <c r="Q5" s="100"/>
      <c r="R5" s="105"/>
    </row>
    <row r="6" spans="1:19" x14ac:dyDescent="0.25">
      <c r="C6" s="82" t="s">
        <v>145</v>
      </c>
      <c r="D6" s="54" t="s">
        <v>348</v>
      </c>
      <c r="E6" s="52"/>
      <c r="F6" s="53"/>
      <c r="G6" s="54" t="s">
        <v>349</v>
      </c>
      <c r="H6" s="52"/>
      <c r="I6" s="53"/>
      <c r="J6" s="52" t="s">
        <v>346</v>
      </c>
      <c r="K6" s="52" t="s">
        <v>347</v>
      </c>
      <c r="L6" s="54" t="s">
        <v>350</v>
      </c>
      <c r="M6" s="52"/>
      <c r="N6" s="53"/>
      <c r="O6" s="54" t="s">
        <v>355</v>
      </c>
      <c r="P6" s="52"/>
      <c r="Q6" s="53"/>
      <c r="R6" s="105">
        <v>1</v>
      </c>
      <c r="S6" t="s">
        <v>146</v>
      </c>
    </row>
  </sheetData>
  <mergeCells count="4">
    <mergeCell ref="D3:F3"/>
    <mergeCell ref="L3:N3"/>
    <mergeCell ref="G3:I3"/>
    <mergeCell ref="O3:Q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016B-46A2-49B9-9A52-E38B657C2400}">
  <dimension ref="A4:Y7"/>
  <sheetViews>
    <sheetView workbookViewId="0">
      <selection activeCell="X7" sqref="X7"/>
    </sheetView>
  </sheetViews>
  <sheetFormatPr defaultRowHeight="15" x14ac:dyDescent="0.25"/>
  <cols>
    <col min="6" max="6" width="17" customWidth="1"/>
    <col min="14" max="14" width="20.42578125" customWidth="1"/>
    <col min="15" max="15" width="21.7109375" customWidth="1"/>
  </cols>
  <sheetData>
    <row r="4" spans="1:25" x14ac:dyDescent="0.25">
      <c r="A4" s="1">
        <v>0</v>
      </c>
      <c r="B4" s="1">
        <f>A4+1</f>
        <v>1</v>
      </c>
      <c r="C4" s="1">
        <f t="shared" ref="C4:X4" si="0">B4+1</f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 t="shared" si="0"/>
        <v>13</v>
      </c>
      <c r="O4" s="1">
        <f t="shared" si="0"/>
        <v>14</v>
      </c>
      <c r="P4" s="1">
        <f t="shared" si="0"/>
        <v>15</v>
      </c>
      <c r="Q4" s="104">
        <f t="shared" si="0"/>
        <v>16</v>
      </c>
      <c r="R4" s="1">
        <f t="shared" si="0"/>
        <v>17</v>
      </c>
      <c r="S4" s="1">
        <f t="shared" si="0"/>
        <v>18</v>
      </c>
      <c r="T4" s="1">
        <f t="shared" si="0"/>
        <v>19</v>
      </c>
      <c r="U4" s="1">
        <f t="shared" si="0"/>
        <v>20</v>
      </c>
      <c r="V4" s="1">
        <f t="shared" si="0"/>
        <v>21</v>
      </c>
      <c r="W4" s="1">
        <f t="shared" si="0"/>
        <v>22</v>
      </c>
      <c r="X4" s="1">
        <f t="shared" si="0"/>
        <v>23</v>
      </c>
    </row>
    <row r="5" spans="1:25" ht="150" x14ac:dyDescent="0.25">
      <c r="D5" s="97" t="s">
        <v>341</v>
      </c>
      <c r="E5" s="97" t="s">
        <v>342</v>
      </c>
      <c r="F5" s="97" t="s">
        <v>343</v>
      </c>
      <c r="G5" s="97" t="s">
        <v>353</v>
      </c>
      <c r="H5" s="97" t="s">
        <v>344</v>
      </c>
      <c r="I5" s="97" t="s">
        <v>358</v>
      </c>
      <c r="J5" s="97" t="s">
        <v>359</v>
      </c>
      <c r="K5" s="97" t="s">
        <v>360</v>
      </c>
      <c r="L5" s="97" t="s">
        <v>361</v>
      </c>
      <c r="M5" s="97" t="s">
        <v>362</v>
      </c>
      <c r="N5" s="97" t="s">
        <v>363</v>
      </c>
      <c r="O5" s="97" t="s">
        <v>364</v>
      </c>
      <c r="P5" s="97" t="s">
        <v>365</v>
      </c>
      <c r="Q5" s="103" t="s">
        <v>366</v>
      </c>
      <c r="R5" s="97" t="s">
        <v>367</v>
      </c>
      <c r="S5" s="97" t="s">
        <v>368</v>
      </c>
      <c r="T5" s="97" t="s">
        <v>369</v>
      </c>
      <c r="U5" s="97" t="s">
        <v>370</v>
      </c>
      <c r="V5" s="97" t="s">
        <v>353</v>
      </c>
      <c r="W5" s="97" t="s">
        <v>371</v>
      </c>
      <c r="X5" s="106" t="s">
        <v>390</v>
      </c>
    </row>
    <row r="6" spans="1:25" ht="60" x14ac:dyDescent="0.25">
      <c r="B6" s="101" t="s">
        <v>2</v>
      </c>
      <c r="C6" s="101"/>
      <c r="Q6" s="102"/>
      <c r="X6" s="107"/>
    </row>
    <row r="7" spans="1:25" x14ac:dyDescent="0.25">
      <c r="B7" t="s">
        <v>389</v>
      </c>
      <c r="C7" t="str">
        <f>IF(COUNTIF($B$7:B7,B7)=1,"&lt;zzzimport&gt;",1)</f>
        <v>&lt;zzzimport&gt;</v>
      </c>
      <c r="D7" s="1">
        <f>'&lt;zallcab&gt;EXPORT'!E6</f>
        <v>0</v>
      </c>
      <c r="E7" s="1">
        <f>'&lt;zallcab&gt;EXPORT'!H6</f>
        <v>0</v>
      </c>
      <c r="F7" s="1" t="str">
        <f>'&lt;zallcab&gt;EXPORT'!K6</f>
        <v>&lt;zcabdevfinish&gt;</v>
      </c>
      <c r="G7" s="1">
        <f>'&lt;zallcab&gt;EXPORT'!P6</f>
        <v>0</v>
      </c>
      <c r="H7" s="1">
        <f>'&lt;zallcab&gt;EXPORT'!M6</f>
        <v>0</v>
      </c>
      <c r="I7" s="1">
        <v>1</v>
      </c>
      <c r="J7" s="1" t="e">
        <f>INDEX(BDzallcab!$C$4:$C$9,MATCH(G7,BDzallcab!$B$4:$B$9))</f>
        <v>#N/A</v>
      </c>
      <c r="K7" s="1">
        <f>SUMIFS(I7:$I$700000,D7:$D$700000,D7,G7:$G$700000,G7)</f>
        <v>1</v>
      </c>
      <c r="L7" s="1">
        <f>MATCH(D7,$D$7:D7,0)</f>
        <v>1</v>
      </c>
      <c r="M7" s="1">
        <f>SUMIFS(I7:$I$700000,D7:$D$700000,D7)</f>
        <v>1</v>
      </c>
      <c r="N7" s="1" t="str">
        <f>INDEX($F$7:$F$700000,L7+M7-1)</f>
        <v>&lt;zcabdevfinish&gt;</v>
      </c>
      <c r="O7" s="1" t="str">
        <f>INDEX($N$7:$N$700000,MATCH(D7,$D$7:D7,0))</f>
        <v>&lt;zcabdevfinish&gt;</v>
      </c>
      <c r="P7" s="1">
        <f>SUMIFS($H$7:H7,$D$7:D7,D7,$G$7:G7,G7)</f>
        <v>0</v>
      </c>
      <c r="Q7" s="104">
        <f t="shared" ref="Q7" si="1">IF(K7=1,1,0)</f>
        <v>1</v>
      </c>
      <c r="R7" s="1">
        <f>IF(SUMIFS($Q$7:Q7,$D$7:D7,D7)=1,1,0)</f>
        <v>1</v>
      </c>
      <c r="S7" s="1">
        <f t="shared" ref="S7" si="2">IF(R7=1,D7," ")</f>
        <v>0</v>
      </c>
      <c r="T7" s="1">
        <f t="shared" ref="T7" si="3">IF(R7=1,E7," ")</f>
        <v>0</v>
      </c>
      <c r="U7" s="1" t="str">
        <f t="shared" ref="U7" si="4">IF(R7=1,O7," ")</f>
        <v>&lt;zcabdevfinish&gt;</v>
      </c>
      <c r="V7" s="1">
        <f>IF(Q7=1,G7," ")</f>
        <v>0</v>
      </c>
      <c r="W7" s="1">
        <f t="shared" ref="W7" si="5">IF(Q7=1,P7," ")</f>
        <v>0</v>
      </c>
      <c r="X7" s="108">
        <f>SUMIFS($H$7:$H$700000,$D$7:$D$700000,D7)</f>
        <v>0</v>
      </c>
      <c r="Y7" t="s">
        <v>193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8D85-B1DF-4F27-9824-4A9CEE766B5F}">
  <dimension ref="B4:S5"/>
  <sheetViews>
    <sheetView workbookViewId="0">
      <selection activeCell="G5" sqref="G5"/>
    </sheetView>
  </sheetViews>
  <sheetFormatPr defaultRowHeight="15" x14ac:dyDescent="0.25"/>
  <cols>
    <col min="7" max="7" width="20.28515625" customWidth="1"/>
  </cols>
  <sheetData>
    <row r="4" spans="2:19" x14ac:dyDescent="0.25">
      <c r="C4" s="1" t="s">
        <v>384</v>
      </c>
      <c r="D4" s="1" t="s">
        <v>168</v>
      </c>
      <c r="E4" s="1" t="s">
        <v>385</v>
      </c>
      <c r="F4" s="1" t="s">
        <v>353</v>
      </c>
      <c r="G4" s="1"/>
      <c r="H4" s="1" t="s">
        <v>344</v>
      </c>
    </row>
    <row r="5" spans="2:19" x14ac:dyDescent="0.25">
      <c r="B5" t="s">
        <v>388</v>
      </c>
      <c r="C5" s="1">
        <f>'&lt;zallcab&gt;CALC'!S7</f>
        <v>0</v>
      </c>
      <c r="D5" s="1">
        <f>'&lt;zallcab&gt;CALC'!T7</f>
        <v>0</v>
      </c>
      <c r="E5" s="1" t="str">
        <f>'&lt;zallcab&gt;CALC'!U7</f>
        <v>&lt;zcabdevfinish&gt;</v>
      </c>
      <c r="F5" s="1" t="e">
        <f>'&lt;zallcab&gt;CALC'!J7</f>
        <v>#N/A</v>
      </c>
      <c r="G5" s="1" t="s">
        <v>386</v>
      </c>
      <c r="H5" s="1">
        <f>'&lt;zallcab&gt;CALC'!W7</f>
        <v>0</v>
      </c>
      <c r="I5" t="s">
        <v>193</v>
      </c>
      <c r="K5" t="s">
        <v>213</v>
      </c>
      <c r="L5" s="1" t="s">
        <v>212</v>
      </c>
      <c r="M5" s="1">
        <v>60</v>
      </c>
      <c r="N5" s="1">
        <v>0</v>
      </c>
      <c r="O5" s="1">
        <v>1</v>
      </c>
      <c r="P5" s="1">
        <v>1</v>
      </c>
      <c r="S5" t="s">
        <v>195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E6AF-14E2-4CDD-BE66-209E502F0B4C}">
  <dimension ref="A1:B4"/>
  <sheetViews>
    <sheetView workbookViewId="0">
      <selection activeCell="B3" sqref="B3"/>
    </sheetView>
  </sheetViews>
  <sheetFormatPr defaultRowHeight="15" x14ac:dyDescent="0.25"/>
  <cols>
    <col min="1" max="1" width="20.85546875" customWidth="1"/>
  </cols>
  <sheetData>
    <row r="1" spans="1:2" x14ac:dyDescent="0.25">
      <c r="A1" t="s">
        <v>174</v>
      </c>
      <c r="B1" t="str">
        <f>"&lt;zsetvaluetocell toSheet=[zalldevEXPORT]  toCell=[F4] value=[&lt;zlight&gt;] calc=[after]"</f>
        <v>&lt;zsetvaluetocell toSheet=[zalldevEXPORT]  toCell=[F4] value=[&lt;zlight&gt;] calc=[after]</v>
      </c>
    </row>
    <row r="2" spans="1:2" x14ac:dyDescent="0.25">
      <c r="A2" t="s">
        <v>173</v>
      </c>
      <c r="B2" t="s">
        <v>410</v>
      </c>
    </row>
    <row r="3" spans="1:2" x14ac:dyDescent="0.25">
      <c r="A3" t="s">
        <v>173</v>
      </c>
      <c r="B3" t="s">
        <v>0</v>
      </c>
    </row>
    <row r="4" spans="1:2" x14ac:dyDescent="0.25">
      <c r="A4" t="s">
        <v>175</v>
      </c>
      <c r="B4" t="s">
        <v>324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FA54-8601-4F98-A939-D35DC81D32C1}">
  <dimension ref="A1:B6"/>
  <sheetViews>
    <sheetView workbookViewId="0">
      <selection activeCell="E14" sqref="E14"/>
    </sheetView>
  </sheetViews>
  <sheetFormatPr defaultRowHeight="15" x14ac:dyDescent="0.25"/>
  <sheetData>
    <row r="1" spans="1:2" x14ac:dyDescent="0.25">
      <c r="A1" t="s">
        <v>174</v>
      </c>
      <c r="B1" t="str">
        <f>"&lt;zsetformulatocell toSheet=[BD]  toCell=[A2] formula=[SUM(B4:B5)]"</f>
        <v>&lt;zsetformulatocell toSheet=[BD]  toCell=[A2] formula=[SUM(B4:B5)]</v>
      </c>
    </row>
    <row r="2" spans="1:2" x14ac:dyDescent="0.25">
      <c r="A2" t="s">
        <v>173</v>
      </c>
      <c r="B2" t="s">
        <v>0</v>
      </c>
    </row>
    <row r="3" spans="1:2" x14ac:dyDescent="0.25">
      <c r="A3" t="s">
        <v>175</v>
      </c>
      <c r="B3" t="s">
        <v>324</v>
      </c>
    </row>
    <row r="4" spans="1:2" x14ac:dyDescent="0.25">
      <c r="A4" t="s">
        <v>174</v>
      </c>
      <c r="B4" t="str">
        <f>"&lt;zsetformulatocell toSheet=[BD]  toCell=[A2] formula=[SUM(B4:B5)]"</f>
        <v>&lt;zsetformulatocell toSheet=[BD]  toCell=[A2] formula=[SUM(B4:B5)]</v>
      </c>
    </row>
    <row r="5" spans="1:2" x14ac:dyDescent="0.25">
      <c r="A5" t="s">
        <v>173</v>
      </c>
      <c r="B5" t="s">
        <v>0</v>
      </c>
    </row>
    <row r="6" spans="1:2" x14ac:dyDescent="0.25">
      <c r="A6" t="s">
        <v>175</v>
      </c>
      <c r="B6" t="s">
        <v>324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3D9D-2229-4BC6-AB0E-E63357D0D337}">
  <dimension ref="A3:N6"/>
  <sheetViews>
    <sheetView workbookViewId="0">
      <selection activeCell="D6" sqref="D6"/>
    </sheetView>
  </sheetViews>
  <sheetFormatPr defaultRowHeight="15" x14ac:dyDescent="0.25"/>
  <cols>
    <col min="3" max="3" width="14.5703125" customWidth="1"/>
  </cols>
  <sheetData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>
        <f>COLUMN(A1)-1</f>
        <v>0</v>
      </c>
      <c r="B4" s="1">
        <f t="shared" ref="B4:M4" si="0">COLUMN(B1)-1</f>
        <v>1</v>
      </c>
      <c r="C4" s="1">
        <f t="shared" si="0"/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>COLUMN(N1)-1</f>
        <v>13</v>
      </c>
    </row>
    <row r="5" spans="1:14" ht="63" customHeight="1" x14ac:dyDescent="0.25">
      <c r="D5" s="95" t="s">
        <v>1</v>
      </c>
      <c r="E5" s="95" t="s">
        <v>333</v>
      </c>
      <c r="F5" s="95" t="s">
        <v>168</v>
      </c>
      <c r="G5" s="95" t="s">
        <v>181</v>
      </c>
      <c r="H5" s="95" t="s">
        <v>7</v>
      </c>
      <c r="I5" s="95" t="s">
        <v>411</v>
      </c>
      <c r="J5" s="95" t="s">
        <v>412</v>
      </c>
      <c r="K5" s="95" t="s">
        <v>413</v>
      </c>
      <c r="L5" s="101"/>
      <c r="M5" s="101"/>
    </row>
    <row r="6" spans="1:14" x14ac:dyDescent="0.25">
      <c r="B6" t="s">
        <v>435</v>
      </c>
      <c r="C6" t="s">
        <v>328</v>
      </c>
      <c r="D6" s="52">
        <f>'&lt;zalldev&gt;EXPORT'!D11</f>
        <v>0</v>
      </c>
      <c r="E6" s="52">
        <f>'&lt;zalldev&gt;EXPORT'!G11</f>
        <v>0</v>
      </c>
      <c r="F6" s="52">
        <f>'&lt;zalldev&gt;EXPORT'!J11</f>
        <v>0</v>
      </c>
      <c r="G6" s="52">
        <f>'&lt;zalldev&gt;EXPORT'!M11</f>
        <v>0</v>
      </c>
      <c r="H6" s="52">
        <f>'&lt;zalldev&gt;EXPORT'!P11</f>
        <v>0</v>
      </c>
      <c r="I6" s="52" t="str">
        <f>'&lt;zalldev&gt;EXPORT'!AW11</f>
        <v>0</v>
      </c>
      <c r="J6" s="52">
        <f>'&lt;zalldev&gt;EXPORT'!AV11</f>
        <v>0</v>
      </c>
      <c r="K6" s="52">
        <v>1</v>
      </c>
      <c r="L6" t="s">
        <v>329</v>
      </c>
      <c r="M6" t="s">
        <v>193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844E-F661-46DB-A8DF-606C0C725DFB}">
  <dimension ref="A1:GB28"/>
  <sheetViews>
    <sheetView tabSelected="1" topLeftCell="Y1" workbookViewId="0">
      <selection activeCell="AX5" sqref="AX5"/>
    </sheetView>
  </sheetViews>
  <sheetFormatPr defaultRowHeight="15" x14ac:dyDescent="0.25"/>
  <cols>
    <col min="1" max="2" width="2.7109375" customWidth="1"/>
    <col min="3" max="3" width="4.85546875" customWidth="1"/>
    <col min="8" max="8" width="28.7109375" customWidth="1"/>
    <col min="9" max="10" width="29.42578125" customWidth="1"/>
    <col min="11" max="13" width="3.7109375" customWidth="1"/>
    <col min="14" max="14" width="25.7109375" customWidth="1"/>
    <col min="18" max="19" width="10.28515625" bestFit="1" customWidth="1"/>
    <col min="36" max="38" width="5.7109375" customWidth="1"/>
    <col min="44" max="46" width="5.7109375" customWidth="1"/>
    <col min="66" max="69" width="6.7109375" customWidth="1"/>
    <col min="70" max="70" width="12.7109375" customWidth="1"/>
    <col min="71" max="71" width="11.7109375" customWidth="1"/>
    <col min="81" max="81" width="10.28515625" bestFit="1" customWidth="1"/>
    <col min="82" max="86" width="10.28515625" customWidth="1"/>
    <col min="87" max="88" width="12.7109375" customWidth="1"/>
    <col min="90" max="90" width="12.85546875" customWidth="1"/>
    <col min="91" max="91" width="11.28515625" customWidth="1"/>
    <col min="100" max="100" width="9" customWidth="1"/>
    <col min="119" max="119" width="11" customWidth="1"/>
  </cols>
  <sheetData>
    <row r="1" spans="4:56" x14ac:dyDescent="0.25">
      <c r="D1" s="1">
        <f>'&lt;zlight&gt;'!F20</f>
        <v>0</v>
      </c>
      <c r="E1" s="1">
        <f ca="1">V6</f>
        <v>0</v>
      </c>
      <c r="F1" s="1">
        <f>V8</f>
        <v>0.92</v>
      </c>
      <c r="G1" s="1">
        <f>H11</f>
        <v>380</v>
      </c>
      <c r="H1" s="1" t="str">
        <f>H12</f>
        <v>АВС</v>
      </c>
    </row>
    <row r="4" spans="4:56" ht="18" customHeight="1" x14ac:dyDescent="0.25">
      <c r="D4" s="199" t="s">
        <v>323</v>
      </c>
      <c r="E4" s="199"/>
      <c r="F4" s="199"/>
      <c r="G4" s="199"/>
      <c r="H4" s="199"/>
      <c r="I4" s="86" t="s">
        <v>322</v>
      </c>
      <c r="J4" s="130"/>
      <c r="Q4" s="86"/>
      <c r="R4" s="199" t="s">
        <v>321</v>
      </c>
      <c r="S4" s="199"/>
      <c r="T4" s="199"/>
      <c r="U4" s="199"/>
      <c r="V4" s="199"/>
      <c r="W4" s="199"/>
      <c r="AA4" s="224" t="s">
        <v>455</v>
      </c>
      <c r="AB4" s="224"/>
      <c r="AV4" s="137" t="s">
        <v>417</v>
      </c>
      <c r="AW4" s="137" t="s">
        <v>418</v>
      </c>
      <c r="AX4" s="137" t="s">
        <v>168</v>
      </c>
      <c r="AY4" s="137" t="s">
        <v>416</v>
      </c>
      <c r="AZ4" s="137" t="s">
        <v>421</v>
      </c>
      <c r="BA4" s="137" t="s">
        <v>415</v>
      </c>
      <c r="BB4" s="137" t="s">
        <v>419</v>
      </c>
      <c r="BC4" s="137" t="s">
        <v>422</v>
      </c>
    </row>
    <row r="5" spans="4:56" x14ac:dyDescent="0.25">
      <c r="D5" s="200" t="s">
        <v>320</v>
      </c>
      <c r="E5" s="200"/>
      <c r="F5" s="200"/>
      <c r="G5" s="200"/>
      <c r="H5" s="152">
        <f>AV5</f>
        <v>0</v>
      </c>
      <c r="I5" s="85" t="s">
        <v>319</v>
      </c>
      <c r="J5" s="131"/>
      <c r="Q5" s="85" t="s">
        <v>318</v>
      </c>
      <c r="R5" s="198" t="s">
        <v>317</v>
      </c>
      <c r="S5" s="198"/>
      <c r="T5" s="198"/>
      <c r="U5" s="198"/>
      <c r="V5" s="198">
        <f ca="1">SUM($AD$26:$AD$900000)</f>
        <v>0</v>
      </c>
      <c r="W5" s="198"/>
      <c r="AA5" s="148" t="s">
        <v>440</v>
      </c>
      <c r="AB5" s="148">
        <v>100</v>
      </c>
      <c r="AU5" t="s">
        <v>414</v>
      </c>
      <c r="AV5" s="52">
        <f>'&lt;zlight&gt;TEMPGU'!D6</f>
        <v>0</v>
      </c>
      <c r="AW5" s="52">
        <f>'&lt;zlight&gt;TEMPGU'!E6</f>
        <v>0</v>
      </c>
      <c r="AX5" s="52">
        <f>'&lt;zlight&gt;TEMPGU'!F6</f>
        <v>0</v>
      </c>
      <c r="AY5" s="52">
        <f>'&lt;zlight&gt;TEMPGU'!G6</f>
        <v>0</v>
      </c>
      <c r="AZ5" s="52">
        <f>'&lt;zlight&gt;TEMPGU'!H6</f>
        <v>0</v>
      </c>
      <c r="BA5" s="52" t="str">
        <f>'&lt;zlight&gt;TEMPGU'!I6</f>
        <v>0</v>
      </c>
      <c r="BB5" s="52">
        <f>'&lt;zlight&gt;TEMPGU'!J6</f>
        <v>0</v>
      </c>
      <c r="BC5" s="138">
        <f>IF(BB5=0,0,1)</f>
        <v>0</v>
      </c>
      <c r="BD5" t="s">
        <v>193</v>
      </c>
    </row>
    <row r="6" spans="4:56" x14ac:dyDescent="0.25">
      <c r="D6" s="197" t="s">
        <v>316</v>
      </c>
      <c r="E6" s="197"/>
      <c r="F6" s="197"/>
      <c r="G6" s="197"/>
      <c r="H6" s="129" t="s">
        <v>462</v>
      </c>
      <c r="I6" s="85" t="s">
        <v>315</v>
      </c>
      <c r="J6" s="131"/>
      <c r="Q6" s="85">
        <v>63</v>
      </c>
      <c r="R6" s="198" t="s">
        <v>314</v>
      </c>
      <c r="S6" s="198"/>
      <c r="T6" s="198"/>
      <c r="U6" s="198"/>
      <c r="V6" s="198">
        <f ca="1">V5*V11</f>
        <v>0</v>
      </c>
      <c r="W6" s="198"/>
      <c r="AA6" s="148" t="s">
        <v>441</v>
      </c>
      <c r="AB6" s="148">
        <v>100</v>
      </c>
    </row>
    <row r="7" spans="4:56" x14ac:dyDescent="0.25">
      <c r="D7" s="201" t="s">
        <v>313</v>
      </c>
      <c r="E7" s="201"/>
      <c r="F7" s="201"/>
      <c r="G7" s="201"/>
      <c r="H7" s="82">
        <v>45399</v>
      </c>
      <c r="I7" s="85" t="s">
        <v>312</v>
      </c>
      <c r="J7" s="131"/>
      <c r="Q7" s="85">
        <v>32</v>
      </c>
      <c r="R7" s="198" t="s">
        <v>311</v>
      </c>
      <c r="S7" s="198"/>
      <c r="T7" s="198"/>
      <c r="U7" s="198"/>
      <c r="V7" s="198">
        <f ca="1">ROUNDUP((V6*1000)/(VLOOKUP(H11,BD!$B$4:$C$5,2,FALSE)*V8),2)</f>
        <v>0</v>
      </c>
      <c r="W7" s="198"/>
    </row>
    <row r="8" spans="4:56" x14ac:dyDescent="0.25">
      <c r="D8" s="201" t="s">
        <v>310</v>
      </c>
      <c r="E8" s="201"/>
      <c r="F8" s="201"/>
      <c r="G8" s="201"/>
      <c r="H8" s="82" t="s">
        <v>309</v>
      </c>
      <c r="I8" s="85" t="s">
        <v>308</v>
      </c>
      <c r="J8" s="131"/>
      <c r="Q8" s="85">
        <v>6</v>
      </c>
      <c r="R8" s="202" t="s">
        <v>307</v>
      </c>
      <c r="S8" s="203"/>
      <c r="T8" s="203"/>
      <c r="U8" s="204"/>
      <c r="V8" s="205">
        <v>0.92</v>
      </c>
      <c r="W8" s="205"/>
    </row>
    <row r="9" spans="4:56" x14ac:dyDescent="0.25">
      <c r="D9" s="201" t="s">
        <v>306</v>
      </c>
      <c r="E9" s="201"/>
      <c r="F9" s="201"/>
      <c r="G9" s="201"/>
      <c r="H9" s="82" t="s">
        <v>305</v>
      </c>
      <c r="I9" s="85" t="s">
        <v>304</v>
      </c>
      <c r="J9" s="131"/>
      <c r="Q9" s="85" t="s">
        <v>303</v>
      </c>
      <c r="R9" s="206" t="s">
        <v>302</v>
      </c>
      <c r="S9" s="206"/>
      <c r="T9" s="206"/>
      <c r="U9" s="206"/>
      <c r="V9" s="207"/>
      <c r="W9" s="207"/>
      <c r="Z9" t="s">
        <v>463</v>
      </c>
    </row>
    <row r="10" spans="4:56" x14ac:dyDescent="0.25">
      <c r="D10" s="201" t="s">
        <v>301</v>
      </c>
      <c r="E10" s="201"/>
      <c r="F10" s="201"/>
      <c r="G10" s="201"/>
      <c r="I10" s="85" t="s">
        <v>300</v>
      </c>
      <c r="J10" s="131"/>
      <c r="Q10" s="85">
        <v>4</v>
      </c>
      <c r="R10" s="206"/>
      <c r="S10" s="206"/>
      <c r="T10" s="206"/>
      <c r="U10" s="206"/>
      <c r="V10" s="207"/>
      <c r="W10" s="207"/>
      <c r="Z10" t="str">
        <f>"&lt;zsetformulatocell calc=[after] toSheet=[zalldevEXPORT]  toCell=["&amp;ADDRESS(ROW('&lt;zalldev&gt;EXPORT'!W11),COLUMN('&lt;zalldev&gt;EXPORT'!W11))&amp;"] formula=[fromSheet!"&amp;ADDRESS(ROW(X28),COLUMN(X28))&amp;"]"</f>
        <v>&lt;zsetformulatocell calc=[after] toSheet=[zalldevEXPORT]  toCell=[$W$11] formula=[fromSheet!$X$28]</v>
      </c>
    </row>
    <row r="11" spans="4:56" x14ac:dyDescent="0.25">
      <c r="D11" s="201" t="s">
        <v>299</v>
      </c>
      <c r="E11" s="201"/>
      <c r="F11" s="201"/>
      <c r="G11" s="201"/>
      <c r="H11" s="148">
        <v>380</v>
      </c>
      <c r="I11" s="85" t="s">
        <v>298</v>
      </c>
      <c r="J11" s="131"/>
      <c r="Q11" s="85" t="s">
        <v>297</v>
      </c>
      <c r="R11" s="208" t="s">
        <v>296</v>
      </c>
      <c r="S11" s="209"/>
      <c r="T11" s="209"/>
      <c r="U11" s="210"/>
      <c r="V11" s="211">
        <v>1</v>
      </c>
      <c r="W11" s="212"/>
    </row>
    <row r="12" spans="4:56" x14ac:dyDescent="0.25">
      <c r="D12" s="201" t="s">
        <v>295</v>
      </c>
      <c r="E12" s="201"/>
      <c r="F12" s="201"/>
      <c r="G12" s="201"/>
      <c r="H12" s="82" t="s">
        <v>294</v>
      </c>
      <c r="I12" s="85" t="s">
        <v>218</v>
      </c>
      <c r="J12" s="131"/>
      <c r="Q12" s="85" t="s">
        <v>293</v>
      </c>
      <c r="R12" s="213" t="s">
        <v>292</v>
      </c>
      <c r="S12" s="213"/>
      <c r="T12" s="213"/>
      <c r="U12" s="213"/>
      <c r="V12" s="213">
        <v>44.5</v>
      </c>
      <c r="W12" s="213"/>
    </row>
    <row r="13" spans="4:56" x14ac:dyDescent="0.25">
      <c r="D13" s="201" t="s">
        <v>291</v>
      </c>
      <c r="E13" s="201"/>
      <c r="F13" s="201"/>
      <c r="G13" s="201"/>
      <c r="H13" s="82" t="s">
        <v>290</v>
      </c>
      <c r="I13" s="83"/>
      <c r="J13" s="132"/>
      <c r="Q13" s="83"/>
      <c r="R13" s="213" t="s">
        <v>289</v>
      </c>
      <c r="S13" s="213"/>
      <c r="T13" s="213"/>
      <c r="U13" s="213"/>
      <c r="V13" s="213">
        <v>44.5</v>
      </c>
      <c r="W13" s="213"/>
    </row>
    <row r="14" spans="4:56" x14ac:dyDescent="0.25">
      <c r="D14" s="201" t="s">
        <v>288</v>
      </c>
      <c r="E14" s="201"/>
      <c r="F14" s="201"/>
      <c r="G14" s="201"/>
      <c r="H14" s="84" t="str">
        <f>'&lt;zlight&gt;'!G20&amp;"."&amp;'&lt;zlight&gt;'!H20</f>
        <v>.</v>
      </c>
      <c r="I14" s="83"/>
      <c r="J14" s="132"/>
      <c r="Q14" s="83"/>
      <c r="R14" s="213" t="s">
        <v>287</v>
      </c>
      <c r="S14" s="213"/>
      <c r="T14" s="213"/>
      <c r="U14" s="213"/>
      <c r="V14" s="213">
        <v>44.5</v>
      </c>
      <c r="W14" s="213"/>
    </row>
    <row r="15" spans="4:56" x14ac:dyDescent="0.25">
      <c r="D15" s="201" t="s">
        <v>286</v>
      </c>
      <c r="E15" s="201"/>
      <c r="F15" s="201"/>
      <c r="G15" s="201"/>
      <c r="H15" s="82">
        <v>77</v>
      </c>
      <c r="Q15" s="83"/>
      <c r="R15" s="216" t="s">
        <v>285</v>
      </c>
      <c r="S15" s="216"/>
      <c r="T15" s="216"/>
      <c r="U15" s="216"/>
      <c r="V15" s="205">
        <f ca="1">ROUNDUP((V6*1000)/(INDEX(BD!$C$4:$C$5,MATCH(H11,BD!$B$4:$B$5,0))*V8),2)</f>
        <v>0</v>
      </c>
      <c r="W15" s="205"/>
    </row>
    <row r="16" spans="4:56" x14ac:dyDescent="0.25">
      <c r="R16" s="223" t="s">
        <v>420</v>
      </c>
      <c r="S16" s="223"/>
      <c r="T16" s="223"/>
      <c r="U16" s="223"/>
      <c r="V16" s="223" t="e">
        <f>INDEX(BA5:BA9,MATCH(1,BC5:BC9,0))</f>
        <v>#N/A</v>
      </c>
      <c r="W16" s="223"/>
    </row>
    <row r="19" spans="1:184" x14ac:dyDescent="0.25">
      <c r="AQ19" t="s">
        <v>391</v>
      </c>
    </row>
    <row r="24" spans="1:184" s="1" customFormat="1" x14ac:dyDescent="0.25">
      <c r="A24" s="109">
        <f>COLUMN(A24)</f>
        <v>1</v>
      </c>
      <c r="B24" s="109">
        <f t="shared" ref="B24:BR24" si="0">COLUMN(B24)</f>
        <v>2</v>
      </c>
      <c r="C24" s="109">
        <f t="shared" si="0"/>
        <v>3</v>
      </c>
      <c r="D24" s="109">
        <f t="shared" si="0"/>
        <v>4</v>
      </c>
      <c r="E24" s="109">
        <f t="shared" si="0"/>
        <v>5</v>
      </c>
      <c r="F24" s="109">
        <f t="shared" si="0"/>
        <v>6</v>
      </c>
      <c r="G24" s="109">
        <f t="shared" si="0"/>
        <v>7</v>
      </c>
      <c r="H24" s="109">
        <f t="shared" si="0"/>
        <v>8</v>
      </c>
      <c r="I24" s="109">
        <f t="shared" si="0"/>
        <v>9</v>
      </c>
      <c r="J24" s="109"/>
      <c r="K24" s="109">
        <f t="shared" si="0"/>
        <v>11</v>
      </c>
      <c r="L24" s="109">
        <f t="shared" si="0"/>
        <v>12</v>
      </c>
      <c r="M24" s="109">
        <f t="shared" si="0"/>
        <v>13</v>
      </c>
      <c r="N24" s="109">
        <f t="shared" si="0"/>
        <v>14</v>
      </c>
      <c r="O24" s="109">
        <f t="shared" si="0"/>
        <v>15</v>
      </c>
      <c r="P24" s="109"/>
      <c r="Q24" s="109">
        <f t="shared" si="0"/>
        <v>17</v>
      </c>
      <c r="R24" s="109">
        <f t="shared" si="0"/>
        <v>18</v>
      </c>
      <c r="S24" s="109">
        <f t="shared" si="0"/>
        <v>19</v>
      </c>
      <c r="T24" s="109">
        <f t="shared" si="0"/>
        <v>20</v>
      </c>
      <c r="U24" s="109">
        <f t="shared" si="0"/>
        <v>21</v>
      </c>
      <c r="V24" s="109">
        <f t="shared" si="0"/>
        <v>22</v>
      </c>
      <c r="W24" s="109">
        <f t="shared" si="0"/>
        <v>23</v>
      </c>
      <c r="X24" s="109">
        <f t="shared" si="0"/>
        <v>24</v>
      </c>
      <c r="Y24" s="109">
        <f t="shared" si="0"/>
        <v>25</v>
      </c>
      <c r="Z24" s="109">
        <f t="shared" si="0"/>
        <v>26</v>
      </c>
      <c r="AA24" s="109">
        <f t="shared" si="0"/>
        <v>27</v>
      </c>
      <c r="AB24" s="109">
        <f t="shared" si="0"/>
        <v>28</v>
      </c>
      <c r="AC24" s="109">
        <f t="shared" si="0"/>
        <v>29</v>
      </c>
      <c r="AD24" s="109"/>
      <c r="AE24" s="109">
        <f t="shared" si="0"/>
        <v>31</v>
      </c>
      <c r="AF24" s="109"/>
      <c r="AG24" s="109"/>
      <c r="AH24" s="109">
        <f t="shared" si="0"/>
        <v>34</v>
      </c>
      <c r="AI24" s="109">
        <f t="shared" si="0"/>
        <v>35</v>
      </c>
      <c r="AJ24" s="109"/>
      <c r="AK24" s="109"/>
      <c r="AL24" s="109"/>
      <c r="AM24" s="109">
        <f t="shared" si="0"/>
        <v>39</v>
      </c>
      <c r="AN24" s="109">
        <f t="shared" si="0"/>
        <v>40</v>
      </c>
      <c r="AO24" s="109">
        <f t="shared" si="0"/>
        <v>41</v>
      </c>
      <c r="AP24" s="109">
        <f t="shared" si="0"/>
        <v>42</v>
      </c>
      <c r="AQ24" s="109">
        <f t="shared" si="0"/>
        <v>43</v>
      </c>
      <c r="AR24" s="109">
        <f t="shared" si="0"/>
        <v>44</v>
      </c>
      <c r="AS24" s="109">
        <f t="shared" si="0"/>
        <v>45</v>
      </c>
      <c r="AT24" s="109">
        <f t="shared" si="0"/>
        <v>46</v>
      </c>
      <c r="AU24" s="109">
        <f t="shared" si="0"/>
        <v>47</v>
      </c>
      <c r="AV24" s="109">
        <f t="shared" si="0"/>
        <v>48</v>
      </c>
      <c r="AW24" s="109">
        <f t="shared" si="0"/>
        <v>49</v>
      </c>
      <c r="AX24" s="109">
        <f t="shared" si="0"/>
        <v>50</v>
      </c>
      <c r="AY24" s="109">
        <f t="shared" si="0"/>
        <v>51</v>
      </c>
      <c r="AZ24" s="109">
        <f t="shared" si="0"/>
        <v>52</v>
      </c>
      <c r="BA24" s="109">
        <f t="shared" si="0"/>
        <v>53</v>
      </c>
      <c r="BB24" s="109">
        <f t="shared" si="0"/>
        <v>54</v>
      </c>
      <c r="BC24" s="109">
        <f t="shared" si="0"/>
        <v>55</v>
      </c>
      <c r="BD24" s="109">
        <f t="shared" si="0"/>
        <v>56</v>
      </c>
      <c r="BE24" s="109">
        <f t="shared" si="0"/>
        <v>57</v>
      </c>
      <c r="BF24" s="109">
        <f t="shared" si="0"/>
        <v>58</v>
      </c>
      <c r="BG24" s="109">
        <f t="shared" si="0"/>
        <v>59</v>
      </c>
      <c r="BH24" s="109">
        <f t="shared" si="0"/>
        <v>60</v>
      </c>
      <c r="BI24" s="109">
        <f t="shared" si="0"/>
        <v>61</v>
      </c>
      <c r="BJ24" s="109">
        <f t="shared" si="0"/>
        <v>62</v>
      </c>
      <c r="BK24" s="109">
        <f t="shared" si="0"/>
        <v>63</v>
      </c>
      <c r="BL24" s="109">
        <f t="shared" si="0"/>
        <v>64</v>
      </c>
      <c r="BM24" s="109">
        <f t="shared" si="0"/>
        <v>65</v>
      </c>
      <c r="BN24" s="109">
        <f t="shared" si="0"/>
        <v>66</v>
      </c>
      <c r="BO24" s="109">
        <f t="shared" si="0"/>
        <v>67</v>
      </c>
      <c r="BP24" s="109">
        <f t="shared" si="0"/>
        <v>68</v>
      </c>
      <c r="BQ24" s="109">
        <f t="shared" si="0"/>
        <v>69</v>
      </c>
      <c r="BR24" s="109">
        <f t="shared" si="0"/>
        <v>70</v>
      </c>
      <c r="BS24" s="109">
        <f t="shared" ref="BS24:EJ24" si="1">COLUMN(BS24)</f>
        <v>71</v>
      </c>
      <c r="BT24" s="109">
        <f t="shared" si="1"/>
        <v>72</v>
      </c>
      <c r="BU24" s="109">
        <f t="shared" si="1"/>
        <v>73</v>
      </c>
      <c r="BV24" s="109">
        <f t="shared" si="1"/>
        <v>74</v>
      </c>
      <c r="BW24" s="109">
        <f t="shared" si="1"/>
        <v>75</v>
      </c>
      <c r="BX24" s="109">
        <f t="shared" si="1"/>
        <v>76</v>
      </c>
      <c r="BY24" s="109">
        <f t="shared" si="1"/>
        <v>77</v>
      </c>
      <c r="BZ24" s="109">
        <f t="shared" si="1"/>
        <v>78</v>
      </c>
      <c r="CA24" s="109">
        <f t="shared" si="1"/>
        <v>79</v>
      </c>
      <c r="CB24" s="109">
        <f t="shared" si="1"/>
        <v>80</v>
      </c>
      <c r="CC24" s="109">
        <f t="shared" si="1"/>
        <v>81</v>
      </c>
      <c r="CD24" s="109">
        <f t="shared" si="1"/>
        <v>82</v>
      </c>
      <c r="CE24" s="109"/>
      <c r="CF24" s="109"/>
      <c r="CG24" s="109"/>
      <c r="CH24" s="109"/>
      <c r="CI24" s="109">
        <f t="shared" si="1"/>
        <v>87</v>
      </c>
      <c r="CJ24" s="145"/>
      <c r="CK24" s="109">
        <f t="shared" si="1"/>
        <v>89</v>
      </c>
      <c r="CL24" s="109">
        <f t="shared" si="1"/>
        <v>90</v>
      </c>
      <c r="CM24" s="109">
        <f t="shared" si="1"/>
        <v>91</v>
      </c>
      <c r="CN24" s="109">
        <f t="shared" si="1"/>
        <v>92</v>
      </c>
      <c r="CO24" s="109">
        <f t="shared" si="1"/>
        <v>93</v>
      </c>
      <c r="CP24" s="109">
        <f t="shared" si="1"/>
        <v>94</v>
      </c>
      <c r="CQ24" s="109">
        <f t="shared" si="1"/>
        <v>95</v>
      </c>
      <c r="CR24" s="109">
        <f t="shared" si="1"/>
        <v>96</v>
      </c>
      <c r="CS24" s="109">
        <f t="shared" si="1"/>
        <v>97</v>
      </c>
      <c r="CT24" s="109">
        <f t="shared" si="1"/>
        <v>98</v>
      </c>
      <c r="CU24" s="109">
        <f t="shared" si="1"/>
        <v>99</v>
      </c>
      <c r="CV24" s="109">
        <f t="shared" si="1"/>
        <v>100</v>
      </c>
      <c r="CW24" s="109">
        <f t="shared" si="1"/>
        <v>101</v>
      </c>
      <c r="CX24" s="109">
        <f t="shared" si="1"/>
        <v>102</v>
      </c>
      <c r="CY24" s="109">
        <f t="shared" si="1"/>
        <v>103</v>
      </c>
      <c r="CZ24" s="109">
        <f t="shared" si="1"/>
        <v>104</v>
      </c>
      <c r="DA24" s="109">
        <f t="shared" si="1"/>
        <v>105</v>
      </c>
      <c r="DB24" s="109">
        <f t="shared" si="1"/>
        <v>106</v>
      </c>
      <c r="DC24" s="145">
        <f t="shared" si="1"/>
        <v>107</v>
      </c>
      <c r="DD24" s="109">
        <f t="shared" si="1"/>
        <v>108</v>
      </c>
      <c r="DE24" s="109">
        <f t="shared" si="1"/>
        <v>109</v>
      </c>
      <c r="DF24" s="109">
        <f t="shared" si="1"/>
        <v>110</v>
      </c>
      <c r="DG24" s="109">
        <f t="shared" si="1"/>
        <v>111</v>
      </c>
      <c r="DH24" s="109">
        <f t="shared" si="1"/>
        <v>112</v>
      </c>
      <c r="DI24" s="109">
        <f t="shared" si="1"/>
        <v>113</v>
      </c>
      <c r="DJ24" s="109">
        <f t="shared" si="1"/>
        <v>114</v>
      </c>
      <c r="DK24" s="109">
        <f t="shared" si="1"/>
        <v>115</v>
      </c>
      <c r="DL24" s="109">
        <f t="shared" si="1"/>
        <v>116</v>
      </c>
      <c r="DM24" s="109">
        <f t="shared" si="1"/>
        <v>117</v>
      </c>
      <c r="DN24" s="109">
        <f t="shared" si="1"/>
        <v>118</v>
      </c>
      <c r="DO24" s="109">
        <f t="shared" si="1"/>
        <v>119</v>
      </c>
      <c r="DP24" s="109">
        <f t="shared" si="1"/>
        <v>120</v>
      </c>
      <c r="DQ24" s="109">
        <f t="shared" si="1"/>
        <v>121</v>
      </c>
      <c r="DR24" s="109">
        <f t="shared" si="1"/>
        <v>122</v>
      </c>
      <c r="DS24" s="109">
        <f t="shared" si="1"/>
        <v>123</v>
      </c>
      <c r="DT24" s="109">
        <f t="shared" si="1"/>
        <v>124</v>
      </c>
      <c r="DU24" s="109">
        <f t="shared" si="1"/>
        <v>125</v>
      </c>
      <c r="DV24" s="109">
        <f t="shared" si="1"/>
        <v>126</v>
      </c>
      <c r="DW24" s="109">
        <f t="shared" si="1"/>
        <v>127</v>
      </c>
      <c r="DX24" s="109">
        <f t="shared" si="1"/>
        <v>128</v>
      </c>
      <c r="DY24" s="109">
        <f t="shared" si="1"/>
        <v>129</v>
      </c>
      <c r="DZ24" s="109">
        <f t="shared" si="1"/>
        <v>130</v>
      </c>
      <c r="EA24" s="1">
        <f t="shared" si="1"/>
        <v>131</v>
      </c>
      <c r="EB24" s="1">
        <f t="shared" si="1"/>
        <v>132</v>
      </c>
      <c r="EC24" s="1">
        <f t="shared" si="1"/>
        <v>133</v>
      </c>
      <c r="ED24" s="1">
        <f t="shared" si="1"/>
        <v>134</v>
      </c>
      <c r="EE24" s="1">
        <f t="shared" si="1"/>
        <v>135</v>
      </c>
      <c r="EF24" s="1">
        <f t="shared" si="1"/>
        <v>136</v>
      </c>
      <c r="EG24" s="1">
        <f t="shared" si="1"/>
        <v>137</v>
      </c>
      <c r="EH24" s="1">
        <f t="shared" si="1"/>
        <v>138</v>
      </c>
      <c r="EI24" s="1">
        <f t="shared" si="1"/>
        <v>139</v>
      </c>
      <c r="EJ24" s="1">
        <f t="shared" si="1"/>
        <v>140</v>
      </c>
      <c r="EK24" s="1">
        <f t="shared" ref="EK24:FD24" si="2">COLUMN(EK24)</f>
        <v>141</v>
      </c>
      <c r="EL24" s="1">
        <f t="shared" si="2"/>
        <v>142</v>
      </c>
      <c r="EU24" s="1">
        <f t="shared" si="2"/>
        <v>151</v>
      </c>
      <c r="EV24" s="1">
        <f t="shared" si="2"/>
        <v>152</v>
      </c>
      <c r="EW24" s="1">
        <f t="shared" si="2"/>
        <v>153</v>
      </c>
      <c r="EX24" s="1">
        <f t="shared" si="2"/>
        <v>154</v>
      </c>
      <c r="EY24" s="1">
        <f t="shared" si="2"/>
        <v>155</v>
      </c>
      <c r="EZ24" s="1">
        <f t="shared" si="2"/>
        <v>156</v>
      </c>
      <c r="FB24" s="1">
        <f t="shared" si="2"/>
        <v>158</v>
      </c>
      <c r="FC24" s="1">
        <f t="shared" si="2"/>
        <v>159</v>
      </c>
      <c r="FD24" s="1">
        <f t="shared" si="2"/>
        <v>160</v>
      </c>
      <c r="FE24" s="1">
        <f>COLUMN(FE24)</f>
        <v>161</v>
      </c>
      <c r="FF24" s="1">
        <f t="shared" ref="FF24:GB24" si="3">COLUMN(FF24)</f>
        <v>162</v>
      </c>
      <c r="FG24" s="1">
        <f t="shared" si="3"/>
        <v>163</v>
      </c>
      <c r="FH24" s="1">
        <f t="shared" si="3"/>
        <v>164</v>
      </c>
      <c r="FI24" s="1">
        <f t="shared" si="3"/>
        <v>165</v>
      </c>
      <c r="FJ24" s="1">
        <f t="shared" si="3"/>
        <v>166</v>
      </c>
      <c r="FL24" s="1">
        <f t="shared" si="3"/>
        <v>168</v>
      </c>
      <c r="FM24" s="1">
        <f t="shared" si="3"/>
        <v>169</v>
      </c>
      <c r="FN24" s="1">
        <f t="shared" si="3"/>
        <v>170</v>
      </c>
      <c r="FO24" s="1">
        <f t="shared" si="3"/>
        <v>171</v>
      </c>
      <c r="FP24" s="1">
        <f t="shared" si="3"/>
        <v>172</v>
      </c>
      <c r="FQ24" s="1">
        <f t="shared" si="3"/>
        <v>173</v>
      </c>
      <c r="FR24" s="1">
        <f t="shared" si="3"/>
        <v>174</v>
      </c>
      <c r="FS24" s="1">
        <f t="shared" si="3"/>
        <v>175</v>
      </c>
      <c r="FT24" s="1">
        <f t="shared" si="3"/>
        <v>176</v>
      </c>
      <c r="FU24" s="1">
        <f t="shared" si="3"/>
        <v>177</v>
      </c>
      <c r="FV24" s="1">
        <f t="shared" si="3"/>
        <v>178</v>
      </c>
      <c r="FW24" s="1">
        <f t="shared" si="3"/>
        <v>179</v>
      </c>
      <c r="FX24" s="1">
        <f t="shared" si="3"/>
        <v>180</v>
      </c>
      <c r="FY24" s="1">
        <f t="shared" si="3"/>
        <v>181</v>
      </c>
      <c r="FZ24" s="1">
        <f t="shared" si="3"/>
        <v>182</v>
      </c>
      <c r="GA24" s="1">
        <f t="shared" si="3"/>
        <v>183</v>
      </c>
      <c r="GB24" s="1">
        <f t="shared" si="3"/>
        <v>184</v>
      </c>
    </row>
    <row r="25" spans="1:184" ht="15.75" thickBot="1" x14ac:dyDescent="0.3">
      <c r="AQ25" t="s">
        <v>352</v>
      </c>
    </row>
    <row r="26" spans="1:184" ht="15.75" customHeight="1" thickBot="1" x14ac:dyDescent="0.3">
      <c r="D26" s="217" t="s">
        <v>284</v>
      </c>
      <c r="E26" s="219" t="s">
        <v>233</v>
      </c>
      <c r="F26" s="214" t="s">
        <v>232</v>
      </c>
      <c r="G26" s="219" t="s">
        <v>283</v>
      </c>
      <c r="H26" s="214" t="s">
        <v>282</v>
      </c>
      <c r="I26" s="214" t="s">
        <v>281</v>
      </c>
      <c r="J26" s="221" t="s">
        <v>403</v>
      </c>
      <c r="K26" s="229" t="s">
        <v>404</v>
      </c>
      <c r="L26" s="229"/>
      <c r="M26" s="229"/>
      <c r="N26" s="230" t="s">
        <v>280</v>
      </c>
      <c r="Q26" s="232" t="s">
        <v>279</v>
      </c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4" t="s">
        <v>278</v>
      </c>
      <c r="AD26" s="235"/>
      <c r="AE26" s="235"/>
      <c r="AF26" s="235"/>
      <c r="AG26" s="235"/>
      <c r="AH26" s="235"/>
      <c r="AI26" s="235"/>
      <c r="AJ26" s="235"/>
      <c r="AK26" s="235"/>
      <c r="AL26" s="235"/>
      <c r="AM26" s="235"/>
      <c r="AN26" s="236"/>
      <c r="AO26" s="234" t="s">
        <v>277</v>
      </c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235"/>
      <c r="BA26" s="235"/>
      <c r="BB26" s="236"/>
      <c r="BC26" s="234" t="s">
        <v>276</v>
      </c>
      <c r="BD26" s="235"/>
      <c r="BE26" s="235"/>
      <c r="BF26" s="235"/>
      <c r="BG26" s="235"/>
      <c r="BH26" s="235"/>
      <c r="BI26" s="235"/>
      <c r="BJ26" s="235"/>
      <c r="BK26" s="235"/>
      <c r="BL26" s="235"/>
      <c r="BM26" s="235"/>
      <c r="BN26" s="235"/>
      <c r="BO26" s="235"/>
      <c r="BP26" s="235"/>
      <c r="BQ26" s="235"/>
      <c r="BR26" s="235"/>
      <c r="BS26" s="236"/>
      <c r="BT26" s="225" t="s">
        <v>275</v>
      </c>
      <c r="BU26" s="226"/>
      <c r="BV26" s="226"/>
      <c r="BW26" s="226"/>
      <c r="BX26" s="226"/>
      <c r="BY26" s="226"/>
      <c r="BZ26" s="226"/>
      <c r="CA26" s="237" t="s">
        <v>274</v>
      </c>
      <c r="CB26" s="237"/>
      <c r="CC26" s="237"/>
      <c r="CD26" s="237"/>
      <c r="CE26" s="237"/>
      <c r="CF26" s="237"/>
      <c r="CG26" s="237"/>
      <c r="CH26" s="237"/>
      <c r="CI26" s="237"/>
      <c r="CJ26" s="237"/>
      <c r="CK26" s="237"/>
      <c r="CL26" s="237"/>
      <c r="CM26" s="237"/>
      <c r="CN26" s="237"/>
      <c r="CO26" s="237"/>
      <c r="CP26" s="237"/>
      <c r="CQ26" s="237"/>
      <c r="CR26" s="237"/>
      <c r="CS26" s="237"/>
      <c r="CT26" s="237"/>
      <c r="CU26" s="237"/>
      <c r="CV26" s="237"/>
      <c r="CW26" t="s">
        <v>213</v>
      </c>
      <c r="CX26" s="1" t="s">
        <v>273</v>
      </c>
      <c r="CY26" s="168">
        <f>60*$AB$5</f>
        <v>6000</v>
      </c>
      <c r="CZ26" s="168">
        <f>0*$AB$6</f>
        <v>0</v>
      </c>
      <c r="DA26" s="163">
        <f>$AB$5</f>
        <v>100</v>
      </c>
      <c r="DB26" s="163">
        <f>$AB$6</f>
        <v>100</v>
      </c>
      <c r="DC26" s="170">
        <v>0</v>
      </c>
      <c r="DD26" t="s">
        <v>272</v>
      </c>
      <c r="DE26">
        <f>H5</f>
        <v>0</v>
      </c>
      <c r="DF26" t="s">
        <v>271</v>
      </c>
      <c r="DG26" t="str">
        <f>H6</f>
        <v>??????</v>
      </c>
      <c r="DH26" t="s">
        <v>270</v>
      </c>
      <c r="DI26" t="str">
        <f ca="1">"Установленная полная мощность, Ру = "&amp;V5&amp;"кВт"</f>
        <v>Установленная полная мощность, Ру = 0кВт</v>
      </c>
      <c r="DJ26" t="s">
        <v>269</v>
      </c>
      <c r="DK26" t="str">
        <f>"Коэффициент спроса, Кс = "&amp;V11</f>
        <v>Коэффициент спроса, Кс = 1</v>
      </c>
      <c r="DL26" t="s">
        <v>268</v>
      </c>
      <c r="DM26" t="str">
        <f ca="1">"Расчетная мощность, Рр = "&amp;V6</f>
        <v>Расчетная мощность, Рр = 0</v>
      </c>
      <c r="DN26" t="s">
        <v>267</v>
      </c>
      <c r="DO26" t="str">
        <f>"Коэффициент мощности, cosf = "&amp;V8</f>
        <v>Коэффициент мощности, cosf = 0,92</v>
      </c>
      <c r="DP26" t="s">
        <v>266</v>
      </c>
      <c r="DQ26" t="str">
        <f ca="1">"Расчетный ток, Iр = "&amp;V15&amp;"А"</f>
        <v>Расчетный ток, Iр = 0А</v>
      </c>
      <c r="EL26" t="s">
        <v>195</v>
      </c>
    </row>
    <row r="27" spans="1:184" ht="54.75" thickBot="1" x14ac:dyDescent="0.3">
      <c r="D27" s="218"/>
      <c r="E27" s="220"/>
      <c r="F27" s="215"/>
      <c r="G27" s="220"/>
      <c r="H27" s="215"/>
      <c r="I27" s="215"/>
      <c r="J27" s="222"/>
      <c r="K27" s="134" t="s">
        <v>265</v>
      </c>
      <c r="L27" s="134" t="s">
        <v>264</v>
      </c>
      <c r="M27" s="142" t="s">
        <v>263</v>
      </c>
      <c r="N27" s="231"/>
      <c r="Q27" s="81" t="s">
        <v>339</v>
      </c>
      <c r="R27" s="81" t="s">
        <v>262</v>
      </c>
      <c r="S27" s="81" t="s">
        <v>3</v>
      </c>
      <c r="T27" s="80" t="s">
        <v>261</v>
      </c>
      <c r="U27" s="78" t="s">
        <v>260</v>
      </c>
      <c r="V27" s="80" t="s">
        <v>259</v>
      </c>
      <c r="W27" s="79" t="s">
        <v>258</v>
      </c>
      <c r="X27" s="79" t="s">
        <v>257</v>
      </c>
      <c r="Y27" s="78" t="s">
        <v>256</v>
      </c>
      <c r="Z27" s="77" t="s">
        <v>255</v>
      </c>
      <c r="AA27" s="76" t="s">
        <v>254</v>
      </c>
      <c r="AB27" s="75" t="s">
        <v>253</v>
      </c>
      <c r="AC27" s="71" t="s">
        <v>252</v>
      </c>
      <c r="AD27" s="71" t="s">
        <v>426</v>
      </c>
      <c r="AE27" s="71" t="s">
        <v>250</v>
      </c>
      <c r="AF27" s="71" t="s">
        <v>427</v>
      </c>
      <c r="AG27" s="71" t="s">
        <v>249</v>
      </c>
      <c r="AH27" s="71" t="s">
        <v>248</v>
      </c>
      <c r="AI27" s="71" t="s">
        <v>251</v>
      </c>
      <c r="AJ27" s="71" t="s">
        <v>423</v>
      </c>
      <c r="AK27" s="71" t="s">
        <v>424</v>
      </c>
      <c r="AL27" s="71" t="s">
        <v>425</v>
      </c>
      <c r="AM27" s="70" t="s">
        <v>228</v>
      </c>
      <c r="AN27" s="69" t="s">
        <v>247</v>
      </c>
      <c r="AO27" s="71" t="s">
        <v>246</v>
      </c>
      <c r="AP27" s="71" t="s">
        <v>245</v>
      </c>
      <c r="AQ27" s="71" t="s">
        <v>244</v>
      </c>
      <c r="AR27" s="71" t="s">
        <v>243</v>
      </c>
      <c r="AS27" s="71" t="s">
        <v>242</v>
      </c>
      <c r="AT27" s="71" t="s">
        <v>241</v>
      </c>
      <c r="AU27" s="71" t="s">
        <v>240</v>
      </c>
      <c r="AV27" s="71" t="s">
        <v>35</v>
      </c>
      <c r="AW27" s="71" t="s">
        <v>239</v>
      </c>
      <c r="AX27" s="71" t="s">
        <v>238</v>
      </c>
      <c r="AY27" s="71" t="s">
        <v>237</v>
      </c>
      <c r="AZ27" s="71" t="s">
        <v>236</v>
      </c>
      <c r="BA27" s="71" t="s">
        <v>235</v>
      </c>
      <c r="BB27" s="71" t="s">
        <v>234</v>
      </c>
      <c r="BC27" s="74" t="s">
        <v>233</v>
      </c>
      <c r="BD27" s="74" t="s">
        <v>232</v>
      </c>
      <c r="BE27" s="73" t="s">
        <v>231</v>
      </c>
      <c r="BF27" s="71" t="s">
        <v>230</v>
      </c>
      <c r="BG27" s="73" t="s">
        <v>229</v>
      </c>
      <c r="BH27" s="72" t="s">
        <v>228</v>
      </c>
      <c r="BI27" s="70" t="s">
        <v>227</v>
      </c>
      <c r="BJ27" s="70" t="s">
        <v>226</v>
      </c>
      <c r="BK27" s="70" t="s">
        <v>225</v>
      </c>
      <c r="BL27" s="70" t="s">
        <v>224</v>
      </c>
      <c r="BM27" s="71" t="s">
        <v>223</v>
      </c>
      <c r="BN27" s="70" t="s">
        <v>221</v>
      </c>
      <c r="BO27" s="70" t="s">
        <v>220</v>
      </c>
      <c r="BP27" s="70" t="s">
        <v>219</v>
      </c>
      <c r="BQ27" s="71" t="s">
        <v>218</v>
      </c>
      <c r="BR27" s="70" t="s">
        <v>217</v>
      </c>
      <c r="BS27" s="69" t="s">
        <v>216</v>
      </c>
      <c r="BT27" s="68" t="s">
        <v>222</v>
      </c>
      <c r="BU27" s="68" t="s">
        <v>221</v>
      </c>
      <c r="BV27" s="68" t="s">
        <v>220</v>
      </c>
      <c r="BW27" s="68" t="s">
        <v>219</v>
      </c>
      <c r="BX27" s="68" t="s">
        <v>218</v>
      </c>
      <c r="BY27" s="68" t="s">
        <v>217</v>
      </c>
      <c r="BZ27" s="115" t="s">
        <v>216</v>
      </c>
      <c r="CA27" s="116" t="s">
        <v>396</v>
      </c>
      <c r="CB27" s="116" t="s">
        <v>395</v>
      </c>
      <c r="CC27" s="116" t="s">
        <v>397</v>
      </c>
      <c r="CD27" s="127" t="s">
        <v>402</v>
      </c>
      <c r="CE27" s="139" t="s">
        <v>428</v>
      </c>
      <c r="CF27" s="139" t="s">
        <v>429</v>
      </c>
      <c r="CG27" s="139" t="s">
        <v>430</v>
      </c>
      <c r="CH27" s="139" t="s">
        <v>431</v>
      </c>
      <c r="CI27" s="150" t="s">
        <v>432</v>
      </c>
      <c r="CJ27" s="150" t="s">
        <v>448</v>
      </c>
      <c r="CK27" s="117"/>
      <c r="CL27" s="172" t="s">
        <v>449</v>
      </c>
      <c r="CM27" s="172" t="s">
        <v>450</v>
      </c>
      <c r="CN27" s="117"/>
      <c r="CO27" s="117"/>
      <c r="CP27" s="117"/>
      <c r="CQ27" s="117"/>
      <c r="CR27" s="116"/>
      <c r="CS27" s="116"/>
      <c r="CT27" s="116"/>
      <c r="CU27" s="116"/>
      <c r="CV27" s="175" t="s">
        <v>451</v>
      </c>
      <c r="CY27" s="174">
        <f>35*$AB$5</f>
        <v>3500</v>
      </c>
      <c r="CZ27" s="169">
        <f>$AB$6</f>
        <v>100</v>
      </c>
      <c r="DA27" s="164"/>
      <c r="DB27" s="164"/>
      <c r="DC27" s="171"/>
      <c r="DF27" s="154"/>
      <c r="DG27" s="154"/>
      <c r="DH27" s="156"/>
      <c r="DI27" s="157"/>
      <c r="DJ27" s="156"/>
      <c r="DK27" s="157"/>
      <c r="DL27" s="156"/>
      <c r="DM27" s="157"/>
      <c r="DN27" s="160"/>
      <c r="DO27" s="160"/>
      <c r="DP27" s="160"/>
      <c r="DQ27" s="160"/>
      <c r="DR27" s="160"/>
      <c r="DS27" s="160"/>
      <c r="EM27" s="238" t="s">
        <v>436</v>
      </c>
      <c r="EN27" s="238"/>
      <c r="EO27" s="238"/>
      <c r="EP27" s="238"/>
      <c r="EQ27" s="238"/>
      <c r="ER27" s="238"/>
      <c r="ES27" s="238"/>
      <c r="ET27" s="238"/>
      <c r="EU27" s="227" t="s">
        <v>215</v>
      </c>
      <c r="EV27" s="227"/>
      <c r="EW27" s="227"/>
      <c r="EX27" s="227"/>
      <c r="EY27" s="227"/>
      <c r="EZ27" s="227"/>
      <c r="FA27" s="227"/>
      <c r="FB27" s="227"/>
      <c r="FC27" s="227"/>
      <c r="FD27" s="227"/>
      <c r="FE27" s="228" t="s">
        <v>214</v>
      </c>
      <c r="FF27" s="228"/>
      <c r="FG27" s="228"/>
      <c r="FH27" s="228"/>
      <c r="FI27" s="228"/>
      <c r="FJ27" s="228"/>
      <c r="FK27" s="228"/>
      <c r="FL27" s="228"/>
      <c r="FM27" s="228"/>
      <c r="FN27" s="228"/>
    </row>
    <row r="28" spans="1:184" x14ac:dyDescent="0.25">
      <c r="C28" t="s">
        <v>409</v>
      </c>
      <c r="D28" s="67">
        <f>IF(COUNT($CB$28:CB28)=MATCH(CA28,$CA$28:CA28,0),CA28,"")</f>
        <v>-1</v>
      </c>
      <c r="E28" s="63" t="str">
        <f>IF(D28="","","АВ")</f>
        <v>АВ</v>
      </c>
      <c r="F28" s="63">
        <f>IF(D28="","",1)</f>
        <v>1</v>
      </c>
      <c r="G28" s="63" t="str">
        <f>IF(D28="","","АВ")</f>
        <v>АВ</v>
      </c>
      <c r="H28" s="67" t="e">
        <f ca="1">IF(E28="","",IF(F28="",BQ28&amp;", "&amp;BR28&amp;", "&amp;BS28,IF(MATCH(F28,$F$28:F28,0)=MATCH(F28,$F$28:F28,1),BQ28&amp;", "&amp;BR28&amp;", "&amp;BS28,"")))</f>
        <v>#N/A</v>
      </c>
      <c r="I28" s="67" t="e">
        <f ca="1">IF(G28="","",BX28&amp;", "&amp;BY28&amp;", "&amp;BZ28)</f>
        <v>#N/A</v>
      </c>
      <c r="J28" s="133" t="e">
        <f ca="1">IF(D28="","",AD28&amp;"кВт; "&amp;R28&amp;"В; "&amp;AE28&amp;"A; "&amp;AF28)</f>
        <v>#N/A</v>
      </c>
      <c r="K28" s="143" t="e">
        <f>IF(CE28=0,"V","")</f>
        <v>#N/A</v>
      </c>
      <c r="L28" s="143" t="e">
        <f>IF(CE28=1,"V","")</f>
        <v>#N/A</v>
      </c>
      <c r="M28" s="143" t="e">
        <f>IF(CE28=2,"V","")</f>
        <v>#N/A</v>
      </c>
      <c r="N28" s="141" t="e">
        <f ca="1">AP28</f>
        <v>#N/A</v>
      </c>
      <c r="O28" t="str">
        <f>"&lt;zsetformulatocell calc=[before] toSheet=[zallcabCALC]  toCell=["&amp;ADDRESS(1,COLUMN('&lt;zallcab&gt;CALC'!Y7)) &amp; "] formula=[fromSheet!"&amp;ADDRESS(ROW(AP28),COLUMN(AP28))&amp;"]"</f>
        <v>&lt;zsetformulatocell calc=[before] toSheet=[zallcabCALC]  toCell=[$Y$1] formula=[fromSheet!$AP$28]</v>
      </c>
      <c r="P28" t="s">
        <v>463</v>
      </c>
      <c r="Q28" s="53">
        <f>'&lt;zalldev&gt;EXPORT'!D11</f>
        <v>0</v>
      </c>
      <c r="R28" s="66" t="e">
        <f ca="1">IF(IFERROR(CC28,1)=1,INDEX(BD!$B$4:$B$5,MATCH('&lt;zalldev&gt;EXPORT'!AB11,BD!$A$4:$A$5,0)),INDIRECT("'"&amp;Q28&amp;"'!"&amp;"G1"))</f>
        <v>#N/A</v>
      </c>
      <c r="S28" s="66" t="e">
        <f ca="1">IF(IFERROR(CC28,1)=1,INDEX(BD!$B$10:$B$13,MATCH('&lt;zalldev&gt;EXPORT'!AE11,BD!$A$10:$A$13,0)),INDIRECT("'"&amp;Q28&amp;"'!"&amp;"H1"))</f>
        <v>#N/A</v>
      </c>
      <c r="T28" s="66">
        <f ca="1">IF(IFERROR(CC28,1)=1,Y28*X28,INDIRECT("'"&amp;Q28&amp;"'!"&amp;"E1"))</f>
        <v>0</v>
      </c>
      <c r="U28" s="66">
        <f ca="1">IF(IFERROR(CC28,1)=1,'&lt;zalldev&gt;EXPORT'!Y11,INDIRECT("'"&amp;Q28&amp;"'!"&amp;"F1"))</f>
        <v>0</v>
      </c>
      <c r="V28" s="52" t="e">
        <f ca="1">ROUNDUP((T28*1000)/(INDEX(BD!$C$4:$C$5,MATCH(R28,BD!$B$4:$B$5,0))*U28),2)</f>
        <v>#N/A</v>
      </c>
      <c r="W28" s="53">
        <f ca="1">ROUNDUP(T28*ROUNDUP(TAN(ACOS(U28)),2),2)</f>
        <v>0</v>
      </c>
      <c r="X28" s="53">
        <f>'&lt;zalldev&gt;EXPORT'!V11</f>
        <v>0</v>
      </c>
      <c r="Y28" s="53">
        <f>'&lt;zalldev&gt;EXPORT'!AQ11</f>
        <v>1</v>
      </c>
      <c r="Z28" s="53">
        <v>1</v>
      </c>
      <c r="AA28" s="1" t="s">
        <v>325</v>
      </c>
      <c r="AB28" s="53">
        <f>'&lt;zalldev&gt;EXPORT'!P11</f>
        <v>0</v>
      </c>
      <c r="AC28" s="60">
        <v>1</v>
      </c>
      <c r="AD28" s="60">
        <f ca="1">IF(D28="","",AC28*SUMIFS($T$28:$T$700000,$CA$28:$CA$700000,CA28))</f>
        <v>0</v>
      </c>
      <c r="AE28" s="60" t="e">
        <f ca="1">IF(D28="","",ROUNDUP((AD28*1000)/(INDEX(BD!$C$4:$C$5,MATCH(R28,BD!$B$4:$B$5,0))*AF28),2))</f>
        <v>#N/A</v>
      </c>
      <c r="AF28" s="60" t="e">
        <f ca="1">IF(D28="","",ROUNDUP(COS(ATAN(ROUNDUP(AG28/AD28,2))),2))</f>
        <v>#DIV/0!</v>
      </c>
      <c r="AG28" s="60">
        <f ca="1">IF(D28="","",AC28*SUMIFS($W$28:$W$12004,$CA$28:$CA$12004,CA28))</f>
        <v>0</v>
      </c>
      <c r="AH28" s="60">
        <f ca="1">IF(D28="","",ROUNDUP(SQRT(AD28*AD28+AG28*AG28),2))</f>
        <v>0</v>
      </c>
      <c r="AI28" s="60" t="e">
        <f ca="1">IF(D28="","",ROUNDUP((1/1000)*(100/R28)*IF(R28&lt;380,2,SQRT(3))*AE28*AQ28*(INDEX(INDIRECT("BDКаб!"&amp;INDEX(BDКаб!$C$4:$AH$4,1,MATCH(AR28&amp;AS28&amp;AT28&amp;"R",BDКаб!$C$3:$AH$3,0))),MATCH(AV28,BDКаб!$B$5:$B$12,0))*AF28 + INDEX(INDIRECT("BDКаб!"&amp;INDEX(BDКаб!$C$4:$AH$4,1,MATCH(AR28&amp;AS28&amp;AT28&amp;"X",BDКаб!$C$3:$AH$3,0))),MATCH(AV28,BDКаб!$B$5:$B$12,0))*SQRT(1-AF28*AF28)),2))</f>
        <v>#N/A</v>
      </c>
      <c r="AJ28" s="144" t="e">
        <f>IF(CE28=0,IF(CH28=0,T28,T28+SUMIF(CF28:$CF$700000,Q28,AK28:$AK$700000)),"")</f>
        <v>#N/A</v>
      </c>
      <c r="AK28" s="144" t="e">
        <f>IF(CE28=1,IF(CH28=0,T28,T28+SUMIF(CF28:$CF$700000,Q28,AL28:$AL$700000)),"")</f>
        <v>#N/A</v>
      </c>
      <c r="AL28" s="144" t="e">
        <f>IF(CE28=2,T28,"")</f>
        <v>#N/A</v>
      </c>
      <c r="AM28" s="59">
        <f>IF(D28="","",1.3)</f>
        <v>1.3</v>
      </c>
      <c r="AN28" s="59">
        <f>IF(AO28="","",3)</f>
        <v>3</v>
      </c>
      <c r="AO28" s="60" t="str">
        <f>IF(CD28=0,IF(D28="","",'&lt;zalldev&gt;EXPORT'!J11&amp;"."&amp;'&lt;zalldev&gt;EXPORT'!M11),'&lt;zalldev&gt;EXPORT'!J11&amp;"."&amp;'&lt;zalldev&gt;EXPORT'!M11)</f>
        <v>.</v>
      </c>
      <c r="AP28" s="60" t="e">
        <f ca="1">IF(AO28="","",AW28&amp;"-"&amp;AU28&amp;"х"&amp;AV28&amp;"мм²")</f>
        <v>#N/A</v>
      </c>
      <c r="AQ28" s="128" t="e">
        <f>IF(AO28="","",INDEX('&lt;zallcab&gt;CALC'!$X$7:$X$700000,MATCH(AO28,'&lt;zallcab&gt;CALC'!$D$7:$D$700000,0)))</f>
        <v>#N/A</v>
      </c>
      <c r="AR28" s="59" t="str">
        <f>IF(AO28="","","М")</f>
        <v>М</v>
      </c>
      <c r="AS28" s="59" t="str">
        <f>IF(AO28="","","М")</f>
        <v>М</v>
      </c>
      <c r="AT28" s="59" t="str">
        <f>IF(AO28="","","В")</f>
        <v>В</v>
      </c>
      <c r="AU28" s="65" t="e">
        <f ca="1">IF(AO28="","",IF(R28=380,5,3))</f>
        <v>#N/A</v>
      </c>
      <c r="AV28" s="65" t="e">
        <f ca="1">IF(AO28="","",IF(AY28&gt;IF(BA28&gt;BB28,BA28,BB28),AY28,IF(BA28&gt;BB28,BA28,BB28)))</f>
        <v>#N/A</v>
      </c>
      <c r="AW28" s="65" t="str">
        <f>IF(AO28="","","ВВГнг(А)-LS")</f>
        <v>ВВГнг(А)-LS</v>
      </c>
      <c r="AX28" s="65" t="e">
        <f ca="1">IF(AO28="","",(AN28*380*1000)/(SQRT(3)*IF(AO28="","",IF(D28="",ROUNDUP((SUM(AJ28:AL28)*1000)/(INDEX(BD!$C$4:$C$5,MATCH(R28,BD!$B$4:$B$5,0))*U28),2),AE28))*AQ28*100))</f>
        <v>#N/A</v>
      </c>
      <c r="AY28" s="59"/>
      <c r="AZ28" s="59"/>
      <c r="BA28" t="e">
        <f ca="1">IF(AO28="","",INDEX(BDКаб!$B$5:$B$12,MATCH(AX28,INDIRECT("BDКаб!"&amp;INDEX(BDКаб!$B$4:$AH$4,MATCH(AR28&amp;AS28&amp;AT28&amp;"Z",BDКаб!$B$3:$AH$3,0))),-1)+1))</f>
        <v>#N/A</v>
      </c>
      <c r="BB28" t="e">
        <f ca="1">IF(AO28="","",INDEX(BDКаб!$B$5:$B$12,MATCH(IF(AO28="","",IF(E28="",V28,AE28)),INDIRECT("BDКаб!"&amp;INDEX(BDКаб!$B$4:$AH$4,MATCH(AR28&amp;AS28&amp;AT28&amp;"I",BDКаб!$B$3:$AH$3,0))),1)+1))</f>
        <v>#N/A</v>
      </c>
      <c r="BC28" s="64" t="str">
        <f>IF(E28="","",E28)</f>
        <v>АВ</v>
      </c>
      <c r="BD28" s="64">
        <f>IF(F28="","",F28)</f>
        <v>1</v>
      </c>
      <c r="BE28" s="64" t="e">
        <f ca="1">IF(AE28="","",AE28)</f>
        <v>#N/A</v>
      </c>
      <c r="BF28" s="61" t="e">
        <f ca="1">IF(BC28="","",IF(BD28="",BE28,SUMIFS($BE$28:$BE$500004,$BD$28:$BD$500004,BD28)))</f>
        <v>#N/A</v>
      </c>
      <c r="BG28" s="64" t="e">
        <f ca="1">IF(BC28="","",IF(R28&lt;380,1,3))</f>
        <v>#N/A</v>
      </c>
      <c r="BH28" s="62">
        <f>IF(BC28="","",1.3)</f>
        <v>1.3</v>
      </c>
      <c r="BI28" s="61" t="e">
        <f ca="1">IF(BC28="","",IF(BH28="",BF28*1.3,BH28*BF28))</f>
        <v>#N/A</v>
      </c>
      <c r="BJ28" s="61" t="e">
        <f ca="1">IF(BC28="","",INDEX(INDIRECT("BD!"&amp;INDEX(BD!$K$5:$BX$5,1,MATCH(BC28&amp;"I",BD!$K$4:$BY$4,0))),MATCH(BI28,INDIRECT("BD!"&amp;INDEX(BD!$K$5:$BX$5,1,MATCH(BC28&amp;"I",BD!$K$4:$BY$4,0))),-1)))</f>
        <v>#N/A</v>
      </c>
      <c r="BK28" s="63">
        <f>IF(BC28="","",10)</f>
        <v>10</v>
      </c>
      <c r="BL28" s="146"/>
      <c r="BM28" s="61" t="e">
        <f ca="1">IF(BC28="","",IF(BL28="",IF(BJ28&gt;=BK28,BJ28,BK28),BL28))</f>
        <v>#N/A</v>
      </c>
      <c r="BN28" s="59" t="str">
        <f>IF(E28="","","C")</f>
        <v>C</v>
      </c>
      <c r="BO28" s="58" t="e">
        <f ca="1">IF(E28="","",IF(R28=380,3,1))</f>
        <v>#N/A</v>
      </c>
      <c r="BP28" s="58" t="str">
        <f>IF(BC28="","",IF(BC28="АВДТ","30мА",IF(BC28="УЗО","30мА","")))</f>
        <v/>
      </c>
      <c r="BQ28" s="58" t="e">
        <f ca="1">IF(E28="","",INDEX(INDIRECT("BD!"&amp;INDEX(BD!$K$5:$BX$5,1,MATCH(E28&amp;"О",BD!$K$4:$BY$4,0))),MATCH(BJ28,INDIRECT("BD!"&amp;INDEX(BD!$K$5:$BX$5,1,MATCH(E28&amp;"I",BD!$K$4:$BY$4,0))),0))&amp;D28)</f>
        <v>#N/A</v>
      </c>
      <c r="BR28" s="57" t="e">
        <f ca="1">IF(E28="","",INDEX(INDIRECT("BD!"&amp;INDEX(BD!$K$5:$BX$5,1,MATCH(E28&amp;"М",BD!$K$4:$BY$4,0))),MATCH(BJ28,INDIRECT("BD!"&amp;INDEX(BD!$K$5:$BX$5,1,MATCH(E28&amp;"I",BD!$K$4:$BY$4,0))),0)))</f>
        <v>#N/A</v>
      </c>
      <c r="BS28" s="147" t="e">
        <f ca="1">IF(E28="","",BO28&amp;"P,"&amp;BM28&amp;"А,"&amp;BN28&amp;IF(BP28="","",","&amp;BP28))</f>
        <v>#N/A</v>
      </c>
      <c r="BT28" s="60" t="e">
        <f ca="1">IF(G28="","",INDEX(INDIRECT("BD!"&amp;INDEX(BD!$K$5:$CA$5,1,MATCH(G28&amp;"I",BD!$K$4:$CB$4,0))),MATCH(AM28*AE28,INDIRECT("BD!"&amp;INDEX(BD!$K$5:$CA$5,1,MATCH(G28&amp;"I",BD!$K$4:$CB$4,0))),-1)))</f>
        <v>#N/A</v>
      </c>
      <c r="BU28" s="59" t="str">
        <f>IF(G28="","","C")</f>
        <v>C</v>
      </c>
      <c r="BV28" s="58" t="str">
        <f>IF(G28="","","3")</f>
        <v>3</v>
      </c>
      <c r="BW28" s="58" t="str">
        <f>IF(G28="","","30")</f>
        <v>30</v>
      </c>
      <c r="BX28" s="58" t="e">
        <f ca="1">IF(G28="","",INDEX(INDIRECT("BD!"&amp;INDEX(BD!$K$5:$CA$5,1,MATCH(G28&amp;"О",BD!$K$4:$CB$4,0))),MATCH(BT28,INDIRECT("BD!"&amp;INDEX(BD!$K$5:$CA$5,1,MATCH(G28&amp;"I",BD!$K$4:$CB$4,0))),0))&amp;D28)</f>
        <v>#N/A</v>
      </c>
      <c r="BY28" s="57" t="e">
        <f ca="1">IF(G28="","",INDEX(INDIRECT("BD!"&amp;INDEX(BD!$K$5:$CA$5,1,MATCH(G28&amp;"М",BD!$K$4:$CB$4,0))),MATCH(BT28,INDIRECT("BD!"&amp;INDEX(BD!$K$5:$CA$5,1,MATCH(G28&amp;"I",BD!$K$4:$CB$4,0))),0)))</f>
        <v>#N/A</v>
      </c>
      <c r="BZ28" t="e">
        <f ca="1">IF(G28="","",BV28&amp;"P,"&amp;BT28&amp;"А,"&amp;BU28&amp;IF(BW28="","",","&amp;BW28&amp;"мА"))</f>
        <v>#N/A</v>
      </c>
      <c r="CA28" s="118">
        <f>'&lt;zalldev&gt;EXPORT'!AN11</f>
        <v>-1</v>
      </c>
      <c r="CB28" s="118">
        <f>COUNT($CA$28:CA28)</f>
        <v>1</v>
      </c>
      <c r="CC28" s="118" t="e">
        <f ca="1">INDIRECT("'"&amp;Q28&amp;"'!"&amp;"X14")</f>
        <v>#REF!</v>
      </c>
      <c r="CD28" s="118" t="str">
        <f>'&lt;zalldev&gt;EXPORT'!AO11</f>
        <v>-1</v>
      </c>
      <c r="CE28" s="140" t="e">
        <f>'&lt;zalldev&gt;EXPORT'!AW11-$V$16-1</f>
        <v>#N/A</v>
      </c>
      <c r="CF28" s="140">
        <f>'&lt;zalldev&gt;EXPORT'!J11</f>
        <v>0</v>
      </c>
      <c r="CG28" s="140">
        <f>'&lt;zalldev&gt;EXPORT'!M11*1</f>
        <v>0</v>
      </c>
      <c r="CH28" s="140">
        <f>'&lt;zalldev&gt;EXPORT'!AV11*1</f>
        <v>0</v>
      </c>
      <c r="CI28" s="151">
        <f>IF(COUNT($CA$28:CA28)=1,1,IF(INDEX($CA$28:CA28,COUNT($CA$28:CA28)-1)=INDEX($CA$28:CA28,COUNT($CA$28:CA28)),0,COUNT($CA$28:CA28)))*1</f>
        <v>1</v>
      </c>
      <c r="CJ28" s="151">
        <f>IF(CH28&gt;0,IF(CE28=0,SUMIFS(CD28:$CD$700000,CA28:$CA$700000,CA28,CE28:$CE$700000,1),0),0)*1</f>
        <v>0</v>
      </c>
      <c r="CK28" s="119">
        <f>IF('&lt;zalldev&gt;EXPORT'!W11=0,'&lt;zalldev&gt;EXPORT'!W11,1)</f>
        <v>0</v>
      </c>
      <c r="CL28" s="173">
        <f>IF(MATCH(CA28,$CA$28:CA28,0)=COUNT($CA$28:CA28),COUNTIFS(F28:$F$120004,F28),0)*1</f>
        <v>1</v>
      </c>
      <c r="CM28" s="151">
        <f>IF(INDEX($CL$28:CL28,MATCH(CA28,$CA$28:CA28,0))&gt;1,IF(CL28=0,2,1),IF(CL28=1,1,0))*1</f>
        <v>1</v>
      </c>
      <c r="CN28" s="120">
        <f>INDEX($CK$28:CK28,COUNT($CA$28:CA28)-1)</f>
        <v>0</v>
      </c>
      <c r="CO28" s="120">
        <f>IF(INDEX($CK$28:$CK$120004,COUNT($CA$28:CA28))=1,IF(INDEX($CK$28:$CK$120004,COUNT($CA$28:CA28)+1)=1,1,0),0)</f>
        <v>0</v>
      </c>
      <c r="CP28" s="121">
        <f>IF(COUNT($CA$28:CA28)=1,1,IF(INDEX($CA$28:CA28,COUNT($CA$28:CA28)-1)=INDEX($CA$28:CA28,COUNT($CA$28:CA28)),0,COUNT($CA$28:CA28)))</f>
        <v>1</v>
      </c>
      <c r="CQ28" s="121">
        <f>IF(CP28&gt;0,ROW(CQ28),"-")</f>
        <v>28</v>
      </c>
      <c r="CR28" s="121" t="e">
        <f>IF(#REF!=0,0,SUMIFS(CK28:$CK$120004,#REF!,#REF!))</f>
        <v>#REF!</v>
      </c>
      <c r="CS28" s="121" t="e">
        <f ca="1">IF(COUNTIF(INDIRECT(ADDRESS(ROW(CS28),COLUMN(#REF!))&amp;":"&amp;ADDRESS(MIN(CQ28:$CQ$120004),COLUMN(#REF!))),0)&gt;1,1,0)</f>
        <v>#REF!</v>
      </c>
      <c r="CT28" s="120">
        <f>IF(CI28=1,0,IF(INDEX($CA$28:CA28,CI28-1)=CA28,IF(INDEX(#REF!,CI28-1)=#REF!,IF(INDEX(#REF!,CI28-1)=#REF!,1,0),0),0))</f>
        <v>0</v>
      </c>
      <c r="CU28" s="122" t="e">
        <f>MATCH(1,K28:M28,0)</f>
        <v>#N/A</v>
      </c>
      <c r="CV28" s="173">
        <f>IF(CB28=1,0,IF(CH28=0,IF(INDEX($CH$28:$CH$700000,CB28-1)&gt;0,1,0),0))</f>
        <v>0</v>
      </c>
      <c r="CW28" t="s">
        <v>213</v>
      </c>
      <c r="CX28" s="1" t="s">
        <v>212</v>
      </c>
      <c r="CY28" s="174">
        <f>$CY$27+25*$AB$5*CB28-COUNTIF($CV$28:CV28,1)*25*$AB$5</f>
        <v>6000</v>
      </c>
      <c r="CZ28" s="168">
        <v>0</v>
      </c>
      <c r="DA28" s="163">
        <f>$AB$5</f>
        <v>100</v>
      </c>
      <c r="DB28" s="163">
        <f>$AB$6</f>
        <v>100</v>
      </c>
      <c r="DC28" s="170">
        <v>0</v>
      </c>
      <c r="DD28" s="1" t="s">
        <v>211</v>
      </c>
      <c r="DE28" s="1" t="e">
        <f ca="1">IF(S28="ABC","BOOLEAN_1","BOOLEAN_0")</f>
        <v>#N/A</v>
      </c>
      <c r="DF28" s="155" t="s">
        <v>210</v>
      </c>
      <c r="DG28" s="155" t="e">
        <f ca="1">IF(H28&lt;&gt;"","INTEGER_0",IF(CL28=0,IF(CM28=0,"INTEGER_3","INTEGER_"&amp;CM28),"INTEGER_"&amp;CM28))</f>
        <v>#N/A</v>
      </c>
      <c r="DH28" s="158" t="s">
        <v>209</v>
      </c>
      <c r="DI28" s="159" t="str">
        <f ca="1">IFERROR(_xlfn.IFS(DG28="INTEGER_0","INTEGER_0",INDEX($CJ$28:$CJ$700000,CB28-1)&gt;0,"INTEGER_2"),"INTEGER_0")</f>
        <v>INTEGER_0</v>
      </c>
      <c r="DJ28" s="158" t="s">
        <v>208</v>
      </c>
      <c r="DK28" s="156" t="str">
        <f t="shared" ref="DK28" si="4">"INTEGER_0"</f>
        <v>INTEGER_0</v>
      </c>
      <c r="DL28" s="158" t="s">
        <v>207</v>
      </c>
      <c r="DM28" s="149" t="str">
        <f ca="1">IFERROR(_xlfn.IFS(DI28="INTEGER_2","INTEGER_2",DG28="INTEGER_3","INTEGER_0",DG28="INTEGER_2","INTEGER_0",DI28="INTEGER_0","INTEGER_4"),"INTEGER_0")</f>
        <v>INTEGER_0</v>
      </c>
      <c r="DN28" s="161" t="s">
        <v>206</v>
      </c>
      <c r="DO28" s="149" t="str">
        <f>IFERROR(_xlfn.IFS(IF(CJ28&gt;0,1,0),"INTEGER_0",INDEX($CJ$28:$CJ$700000,CB28-1)&gt;0,"INTEGER_0",IF(CI28=0,1,0),"INTEGER_3"),"INTEGER_0")</f>
        <v>INTEGER_0</v>
      </c>
      <c r="DP28" s="161" t="s">
        <v>205</v>
      </c>
      <c r="DQ28" s="162" t="str">
        <f t="shared" ref="DQ28" si="5">IF(CO28=0,"INTEGER_0","INTEGER_0")</f>
        <v>INTEGER_0</v>
      </c>
      <c r="DR28" s="161" t="s">
        <v>204</v>
      </c>
      <c r="DS28" s="149" t="str">
        <f ca="1">IFERROR(_xlfn.IFS(IF(CJ28&gt;0,1,0),"INTEGER_0",DO28="INTEGER_3","INTEGER_3",DI28="INTEGER_0","INTEGER_5"),"INTEGER_0")</f>
        <v>INTEGER_5</v>
      </c>
      <c r="DT28" s="1" t="s">
        <v>203</v>
      </c>
      <c r="DU28" s="174">
        <f>IF(CH28&gt;0,"",IF(Y28&gt;1,Q28&amp;"("&amp;Y28&amp;"шт.)",Q28))</f>
        <v>0</v>
      </c>
      <c r="DV28" s="1" t="s">
        <v>202</v>
      </c>
      <c r="DW28" s="174">
        <f ca="1">IF(CH28&gt;0,"",T28)</f>
        <v>0</v>
      </c>
      <c r="DX28" s="1" t="s">
        <v>201</v>
      </c>
      <c r="DY28" s="174" t="e">
        <f ca="1">IF(CH28&gt;0,"",V28)</f>
        <v>#N/A</v>
      </c>
      <c r="DZ28" s="1" t="s">
        <v>200</v>
      </c>
      <c r="EA28" s="174" t="e">
        <f ca="1">IF(CH28&gt;0,"",AB28&amp;"\P~"&amp;R28&amp;"V")</f>
        <v>#N/A</v>
      </c>
      <c r="EB28" s="56" t="s">
        <v>199</v>
      </c>
      <c r="EC28" s="56" t="str">
        <f>AO28</f>
        <v>.</v>
      </c>
      <c r="ED28" s="56" t="s">
        <v>198</v>
      </c>
      <c r="EE28" s="149" t="str">
        <f>IFERROR(_xlfn.IFS(IF(CJ28&gt;0,1,0),AP28,IF(CH28&gt;0,IF(INDEX($CJ$28:$CJ$700000,CB28-1)&gt;0,1,0),0),AP28,IF(CJ28=0,1,0),""),AP28)</f>
        <v/>
      </c>
      <c r="EF28" s="56" t="s">
        <v>197</v>
      </c>
      <c r="EG28" s="149" t="str">
        <f>IFERROR(_xlfn.IFS(IF(CJ28&gt;0,1,0),IF(AQ28&lt;&gt;"","L="&amp;AQ28&amp;"м"," "),IF(CH28&gt;0,IF(INDEX($CJ$28:$CJ$700000,CB28-1)&gt;0,1,0),0),IF(AQ28&lt;&gt;"","L="&amp;AQ28&amp;"м"," "),IF(CJ28=0,1,0),""),IF(AQ28&lt;&gt;"","L="&amp;AQ28&amp;"м"," "))</f>
        <v/>
      </c>
      <c r="EH28" s="56" t="s">
        <v>196</v>
      </c>
      <c r="EI28" s="174" t="e">
        <f ca="1">IF(EE28="",AP28,"")</f>
        <v>#N/A</v>
      </c>
      <c r="EJ28" s="56" t="str">
        <f>"VSCHEMACable22"</f>
        <v>VSCHEMACable22</v>
      </c>
      <c r="EK28" s="174" t="e">
        <f>IF(EG28="",IF(AQ28&lt;&gt;"","L="&amp;AQ28&amp;"м"," "),"")</f>
        <v>#N/A</v>
      </c>
      <c r="EL28" t="s">
        <v>195</v>
      </c>
      <c r="EM28" s="164" t="s">
        <v>213</v>
      </c>
      <c r="EN28" s="149" t="str">
        <f>'&lt;zalldev&gt;EXPORT'!AJ11</f>
        <v>&lt;zcadnameblock&gt;</v>
      </c>
      <c r="EO28" s="149" t="e">
        <f>CY28+12.5*$AB$5+INDEX(BDUGO!$D$4:$D$15,MATCH(IF(CH28&gt;0,"UU","")&amp;EN28,BDUGO!$C$4:$C$15,0))*$AB$5</f>
        <v>#N/A</v>
      </c>
      <c r="EP28" s="149" t="e">
        <f>CZ28+42.5*$AB$6+INDEX(BDUGO!$E$4:$E$15,MATCH(IF(CH28&gt;0,"UU","")&amp;EN28,BDUGO!$C$4:$C$15,0))*$AB$6</f>
        <v>#N/A</v>
      </c>
      <c r="EQ28" s="149" t="e">
        <f>IF(INDEX(BDUGO!$F$4:$F$15,MATCH(IF(CH28&gt;0,"UU","")&amp;EN28,BDUGO!$C$4:$C$15,0))=0,1,INDEX(BDUGO!$F$4:$F$15,MATCH(IF(CH28&gt;0,"UU","")&amp;EN28,BDUGO!$C$4:$C$15,0)))*$AB$5</f>
        <v>#N/A</v>
      </c>
      <c r="ER28" s="149" t="e">
        <f>IF(INDEX(BDUGO!$G$4:$G$15,MATCH(IF(CH28&gt;0,"UU","")&amp;EN28,BDUGO!$C$4:$C$15,0))=0,1,INDEX(BDUGO!$G$4:$G$15,MATCH(IF(CH28&gt;0,"UU","")&amp;EN28,BDUGO!$C$4:$C$15,0)))*$AB$6</f>
        <v>#N/A</v>
      </c>
      <c r="ES28" s="149" t="e">
        <f>INDEX(BDUGO!$H$4:$H$15,MATCH(IF(CH28&gt;0,"UU","")&amp;EN28,BDUGO!$C$4:$C$15,0))</f>
        <v>#N/A</v>
      </c>
      <c r="ET28" s="164" t="s">
        <v>195</v>
      </c>
      <c r="EU28" t="e">
        <f ca="1">IF(H28&lt;&gt;"","&lt;zinsertblock&gt;","")</f>
        <v>#N/A</v>
      </c>
      <c r="EV28" s="1" t="e">
        <f ca="1">IF(EU28="","",INDEX(INDIRECT("BD!"&amp;INDEX(BD!$K$5:$BX$5,1,MATCH(E28&amp;"UGO",BD!$K$4:$BY$4,0))),MATCH(BJ28,INDIRECT("BD!"&amp;INDEX(BD!$K$5:$BX$5,1,MATCH(E28&amp;"I",BD!$K$4:$BY$4,0))),0)))</f>
        <v>#N/A</v>
      </c>
      <c r="EW28" s="1" t="e">
        <f ca="1">IF(EU28="","",CY28+$AB$5*INDEX(INDIRECT("BD!"&amp;INDEX(BD!$K$5:$BX$5,1,MATCH(E28&amp;"MOVEX",BD!$K$4:$BY$4,0))),MATCH(BJ28,INDIRECT("BD!"&amp;INDEX(BD!$K$5:$BX$5,1,MATCH(E28&amp;"I",BD!$K$4:$BY$4,0))),0)))</f>
        <v>#N/A</v>
      </c>
      <c r="EX28" s="1" t="e">
        <f ca="1">IF(EU28="","",CZ28+$AB$6*INDEX(INDIRECT("BD!"&amp;INDEX(BD!$K$5:$BX$5,1,MATCH(E28&amp;"MOVEY",BD!$K$4:$BY$4,0))),MATCH(BJ28,INDIRECT("BD!"&amp;INDEX(BD!$K$5:$BX$5,1,MATCH(E28&amp;"I",BD!$K$4:$BY$4,0))),0)))</f>
        <v>#N/A</v>
      </c>
      <c r="EY28" s="1">
        <f>$AB$5</f>
        <v>100</v>
      </c>
      <c r="EZ28" s="1">
        <f>$AB$6</f>
        <v>100</v>
      </c>
      <c r="FA28" s="1">
        <v>0</v>
      </c>
      <c r="FB28" s="1" t="s">
        <v>194</v>
      </c>
      <c r="FC28" s="1" t="e">
        <f ca="1">BQ28&amp;"\P"&amp;BR28&amp;"\P"&amp;BS28</f>
        <v>#N/A</v>
      </c>
      <c r="FD28" t="e">
        <f ca="1">IF(EU28="","","&lt;/zinsertblock&gt;")</f>
        <v>#N/A</v>
      </c>
      <c r="FE28" t="e">
        <f ca="1">IF(I28&lt;&gt;"","&lt;zinsertblock&gt;","")</f>
        <v>#N/A</v>
      </c>
      <c r="FF28" s="1" t="e">
        <f ca="1">IF(FE28="","",INDEX(INDIRECT("BD!"&amp;INDEX(BD!$K$5:$CA$5,1,MATCH(G28&amp;"UGO",BD!$K$4:$CB$4,0))),MATCH(BT28,INDIRECT("BD!"&amp;INDEX(BD!$K$5:$CA$5,1,MATCH(G28&amp;"I",BD!$K$4:$CB$4,0))),0)))</f>
        <v>#N/A</v>
      </c>
      <c r="FG28" s="1" t="e">
        <f ca="1">IF(FE28="","",CY28+$AB$5*INDEX(INDIRECT("BD!"&amp;INDEX(BD!$K$5:$CA$5,1,MATCH(G28&amp;"MOVEX",BD!$K$4:$CB$4,0))),MATCH(BT28,INDIRECT("BD!"&amp;INDEX(BD!$K$5:$CA$5,1,MATCH(G28&amp;"I",BD!$K$4:$CB$4,0))),0)))</f>
        <v>#N/A</v>
      </c>
      <c r="FH28" s="1" t="e">
        <f ca="1">IF(FE28="","",CZ28-20*$AB$6+$AB$6*INDEX(INDIRECT("BD!"&amp;INDEX(BD!$K$5:$CA$5,1,MATCH(G28&amp;"MOVEY",BD!$K$4:$CB$4,0))),MATCH(BT28,INDIRECT("BD!"&amp;INDEX(BD!$K$5:$CA$5,1,MATCH(G28&amp;"I",BD!$K$4:$CB$4,0))),0)))</f>
        <v>#N/A</v>
      </c>
      <c r="FI28" s="1">
        <f>$AB$5</f>
        <v>100</v>
      </c>
      <c r="FJ28" s="1">
        <f>$AB$6</f>
        <v>100</v>
      </c>
      <c r="FK28" s="1">
        <v>0</v>
      </c>
      <c r="FL28" s="1" t="s">
        <v>194</v>
      </c>
      <c r="FM28" s="1" t="e">
        <f ca="1">BX28&amp;"\P"&amp;BY28&amp;"\P"&amp;BZ28</f>
        <v>#N/A</v>
      </c>
      <c r="FN28" t="e">
        <f ca="1">IF(FE28="","","&lt;/zinsertblock&gt;")</f>
        <v>#N/A</v>
      </c>
      <c r="FO28" t="s">
        <v>193</v>
      </c>
    </row>
  </sheetData>
  <mergeCells count="54">
    <mergeCell ref="AA4:AB4"/>
    <mergeCell ref="BT26:BZ26"/>
    <mergeCell ref="EU27:FD27"/>
    <mergeCell ref="FE27:FN27"/>
    <mergeCell ref="K26:M26"/>
    <mergeCell ref="N26:N27"/>
    <mergeCell ref="Q26:AB26"/>
    <mergeCell ref="AC26:AN26"/>
    <mergeCell ref="AO26:BB26"/>
    <mergeCell ref="BC26:BS26"/>
    <mergeCell ref="CA26:CV26"/>
    <mergeCell ref="EM27:ET27"/>
    <mergeCell ref="I26:I27"/>
    <mergeCell ref="D14:G14"/>
    <mergeCell ref="R14:U14"/>
    <mergeCell ref="V14:W14"/>
    <mergeCell ref="D15:G15"/>
    <mergeCell ref="R15:U15"/>
    <mergeCell ref="V15:W15"/>
    <mergeCell ref="D26:D27"/>
    <mergeCell ref="E26:E27"/>
    <mergeCell ref="F26:F27"/>
    <mergeCell ref="G26:G27"/>
    <mergeCell ref="H26:H27"/>
    <mergeCell ref="J26:J27"/>
    <mergeCell ref="R16:U16"/>
    <mergeCell ref="V16:W16"/>
    <mergeCell ref="D12:G12"/>
    <mergeCell ref="R12:U12"/>
    <mergeCell ref="V12:W12"/>
    <mergeCell ref="D13:G13"/>
    <mergeCell ref="R13:U13"/>
    <mergeCell ref="V13:W13"/>
    <mergeCell ref="D9:G9"/>
    <mergeCell ref="R9:U10"/>
    <mergeCell ref="V9:W10"/>
    <mergeCell ref="D10:G10"/>
    <mergeCell ref="D11:G11"/>
    <mergeCell ref="R11:U11"/>
    <mergeCell ref="V11:W11"/>
    <mergeCell ref="D7:G7"/>
    <mergeCell ref="R7:U7"/>
    <mergeCell ref="V7:W7"/>
    <mergeCell ref="D8:G8"/>
    <mergeCell ref="R8:U8"/>
    <mergeCell ref="V8:W8"/>
    <mergeCell ref="D6:G6"/>
    <mergeCell ref="R6:U6"/>
    <mergeCell ref="V6:W6"/>
    <mergeCell ref="D4:H4"/>
    <mergeCell ref="R4:W4"/>
    <mergeCell ref="D5:G5"/>
    <mergeCell ref="R5:U5"/>
    <mergeCell ref="V5:W5"/>
  </mergeCells>
  <conditionalFormatting sqref="R28">
    <cfRule type="expression" dxfId="54" priority="103">
      <formula>NOT(_xlfn.ISFORMULA(R28))</formula>
    </cfRule>
  </conditionalFormatting>
  <conditionalFormatting sqref="S28">
    <cfRule type="expression" dxfId="53" priority="102">
      <formula>NOT(_xlfn.ISFORMULA(S28))</formula>
    </cfRule>
  </conditionalFormatting>
  <conditionalFormatting sqref="T28">
    <cfRule type="expression" dxfId="52" priority="101">
      <formula>NOT(_xlfn.ISFORMULA(T28))</formula>
    </cfRule>
  </conditionalFormatting>
  <conditionalFormatting sqref="U28">
    <cfRule type="expression" dxfId="51" priority="100">
      <formula>NOT(_xlfn.ISFORMULA(U28))</formula>
    </cfRule>
  </conditionalFormatting>
  <conditionalFormatting sqref="AU28">
    <cfRule type="expression" dxfId="50" priority="98">
      <formula>NOT(_xlfn.ISFORMULA(AU28))</formula>
    </cfRule>
  </conditionalFormatting>
  <conditionalFormatting sqref="AX28">
    <cfRule type="expression" dxfId="49" priority="97">
      <formula>NOT(_xlfn.ISFORMULA(AX28))</formula>
    </cfRule>
  </conditionalFormatting>
  <conditionalFormatting sqref="AV28">
    <cfRule type="expression" dxfId="48" priority="95">
      <formula>NOT(_xlfn.ISFORMULA(AV28))</formula>
    </cfRule>
  </conditionalFormatting>
  <conditionalFormatting sqref="DG28">
    <cfRule type="cellIs" dxfId="47" priority="90" operator="equal">
      <formula>"INTEGER_0"</formula>
    </cfRule>
  </conditionalFormatting>
  <conditionalFormatting sqref="DG28">
    <cfRule type="cellIs" dxfId="46" priority="85" operator="equal">
      <formula>"INTEGER_5"</formula>
    </cfRule>
    <cfRule type="cellIs" dxfId="45" priority="86" operator="equal">
      <formula>"INTEGER_4"</formula>
    </cfRule>
    <cfRule type="cellIs" dxfId="44" priority="87" operator="equal">
      <formula>"INTEGER_3"</formula>
    </cfRule>
    <cfRule type="cellIs" dxfId="43" priority="88" operator="equal">
      <formula>"INTEGER_2"</formula>
    </cfRule>
    <cfRule type="cellIs" dxfId="42" priority="89" operator="equal">
      <formula>"INTEGER_1"</formula>
    </cfRule>
  </conditionalFormatting>
  <conditionalFormatting sqref="DK28">
    <cfRule type="cellIs" dxfId="41" priority="66" operator="equal">
      <formula>"INTEGER_0"</formula>
    </cfRule>
  </conditionalFormatting>
  <conditionalFormatting sqref="DK28">
    <cfRule type="cellIs" dxfId="40" priority="61" operator="equal">
      <formula>"INTEGER_5"</formula>
    </cfRule>
    <cfRule type="cellIs" dxfId="39" priority="62" operator="equal">
      <formula>"INTEGER_4"</formula>
    </cfRule>
    <cfRule type="cellIs" dxfId="38" priority="63" operator="equal">
      <formula>"INTEGER_3"</formula>
    </cfRule>
    <cfRule type="cellIs" dxfId="37" priority="64" operator="equal">
      <formula>"INTEGER_2"</formula>
    </cfRule>
    <cfRule type="cellIs" dxfId="36" priority="65" operator="equal">
      <formula>"INTEGER_1"</formula>
    </cfRule>
  </conditionalFormatting>
  <conditionalFormatting sqref="DN28">
    <cfRule type="cellIs" dxfId="35" priority="48" operator="equal">
      <formula>"INTEGER_0"</formula>
    </cfRule>
  </conditionalFormatting>
  <conditionalFormatting sqref="DN28">
    <cfRule type="cellIs" dxfId="34" priority="43" operator="equal">
      <formula>"INTEGER_5"</formula>
    </cfRule>
    <cfRule type="cellIs" dxfId="33" priority="44" operator="equal">
      <formula>"INTEGER_4"</formula>
    </cfRule>
    <cfRule type="cellIs" dxfId="32" priority="45" operator="equal">
      <formula>"INTEGER_3"</formula>
    </cfRule>
    <cfRule type="cellIs" dxfId="31" priority="46" operator="equal">
      <formula>"INTEGER_2"</formula>
    </cfRule>
    <cfRule type="cellIs" dxfId="30" priority="47" operator="equal">
      <formula>"INTEGER_1"</formula>
    </cfRule>
  </conditionalFormatting>
  <conditionalFormatting sqref="DP28">
    <cfRule type="cellIs" dxfId="29" priority="42" operator="equal">
      <formula>"INTEGER_0"</formula>
    </cfRule>
  </conditionalFormatting>
  <conditionalFormatting sqref="DP28">
    <cfRule type="cellIs" dxfId="28" priority="37" operator="equal">
      <formula>"INTEGER_5"</formula>
    </cfRule>
    <cfRule type="cellIs" dxfId="27" priority="38" operator="equal">
      <formula>"INTEGER_4"</formula>
    </cfRule>
    <cfRule type="cellIs" dxfId="26" priority="39" operator="equal">
      <formula>"INTEGER_3"</formula>
    </cfRule>
    <cfRule type="cellIs" dxfId="25" priority="40" operator="equal">
      <formula>"INTEGER_2"</formula>
    </cfRule>
    <cfRule type="cellIs" dxfId="24" priority="41" operator="equal">
      <formula>"INTEGER_1"</formula>
    </cfRule>
  </conditionalFormatting>
  <conditionalFormatting sqref="DQ28">
    <cfRule type="cellIs" dxfId="23" priority="36" operator="equal">
      <formula>"INTEGER_0"</formula>
    </cfRule>
  </conditionalFormatting>
  <conditionalFormatting sqref="DQ28">
    <cfRule type="cellIs" dxfId="22" priority="31" operator="equal">
      <formula>"INTEGER_5"</formula>
    </cfRule>
    <cfRule type="cellIs" dxfId="21" priority="32" operator="equal">
      <formula>"INTEGER_4"</formula>
    </cfRule>
    <cfRule type="cellIs" dxfId="20" priority="33" operator="equal">
      <formula>"INTEGER_3"</formula>
    </cfRule>
    <cfRule type="cellIs" dxfId="19" priority="34" operator="equal">
      <formula>"INTEGER_2"</formula>
    </cfRule>
    <cfRule type="cellIs" dxfId="18" priority="35" operator="equal">
      <formula>"INTEGER_1"</formula>
    </cfRule>
  </conditionalFormatting>
  <conditionalFormatting sqref="DR28">
    <cfRule type="cellIs" dxfId="17" priority="24" operator="equal">
      <formula>"INTEGER_0"</formula>
    </cfRule>
  </conditionalFormatting>
  <conditionalFormatting sqref="DR28">
    <cfRule type="cellIs" dxfId="16" priority="19" operator="equal">
      <formula>"INTEGER_5"</formula>
    </cfRule>
    <cfRule type="cellIs" dxfId="15" priority="20" operator="equal">
      <formula>"INTEGER_4"</formula>
    </cfRule>
    <cfRule type="cellIs" dxfId="14" priority="21" operator="equal">
      <formula>"INTEGER_3"</formula>
    </cfRule>
    <cfRule type="cellIs" dxfId="13" priority="22" operator="equal">
      <formula>"INTEGER_2"</formula>
    </cfRule>
    <cfRule type="cellIs" dxfId="12" priority="23" operator="equal">
      <formula>"INTEGER_1"</formula>
    </cfRule>
  </conditionalFormatting>
  <conditionalFormatting sqref="DT28">
    <cfRule type="cellIs" dxfId="11" priority="12" operator="equal">
      <formula>"INTEGER_0"</formula>
    </cfRule>
  </conditionalFormatting>
  <conditionalFormatting sqref="DT28">
    <cfRule type="cellIs" dxfId="10" priority="7" operator="equal">
      <formula>"INTEGER_5"</formula>
    </cfRule>
    <cfRule type="cellIs" dxfId="9" priority="8" operator="equal">
      <formula>"INTEGER_4"</formula>
    </cfRule>
    <cfRule type="cellIs" dxfId="8" priority="9" operator="equal">
      <formula>"INTEGER_3"</formula>
    </cfRule>
    <cfRule type="cellIs" dxfId="7" priority="10" operator="equal">
      <formula>"INTEGER_2"</formula>
    </cfRule>
    <cfRule type="cellIs" dxfId="6" priority="11" operator="equal">
      <formula>"INTEGER_1"</formula>
    </cfRule>
  </conditionalFormatting>
  <conditionalFormatting sqref="DU28:ED28 EF28 EH28:EK28">
    <cfRule type="cellIs" dxfId="5" priority="6" operator="equal">
      <formula>"INTEGER_0"</formula>
    </cfRule>
  </conditionalFormatting>
  <conditionalFormatting sqref="DU28:ED28 EF28 EH28:EK28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176" t="s">
        <v>36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86"/>
    </row>
    <row r="3" spans="2:34" ht="23.25" thickBot="1" x14ac:dyDescent="0.3">
      <c r="B3" s="44" t="s">
        <v>35</v>
      </c>
      <c r="C3" s="43" t="s">
        <v>38</v>
      </c>
      <c r="D3" s="43" t="s">
        <v>39</v>
      </c>
      <c r="E3" s="43" t="s">
        <v>40</v>
      </c>
      <c r="F3" s="43" t="s">
        <v>41</v>
      </c>
      <c r="G3" s="43" t="s">
        <v>42</v>
      </c>
      <c r="H3" s="43" t="s">
        <v>43</v>
      </c>
      <c r="I3" s="43" t="s">
        <v>44</v>
      </c>
      <c r="J3" s="43" t="s">
        <v>45</v>
      </c>
      <c r="K3" s="43" t="s">
        <v>46</v>
      </c>
      <c r="L3" s="43" t="s">
        <v>47</v>
      </c>
      <c r="M3" s="43" t="s">
        <v>48</v>
      </c>
      <c r="N3" s="43" t="s">
        <v>49</v>
      </c>
      <c r="O3" s="43" t="s">
        <v>50</v>
      </c>
      <c r="P3" s="43" t="s">
        <v>51</v>
      </c>
      <c r="Q3" s="43" t="s">
        <v>52</v>
      </c>
      <c r="R3" s="43" t="s">
        <v>53</v>
      </c>
      <c r="S3" s="43" t="s">
        <v>54</v>
      </c>
      <c r="T3" s="43" t="s">
        <v>55</v>
      </c>
      <c r="U3" s="43" t="s">
        <v>56</v>
      </c>
      <c r="V3" s="43" t="s">
        <v>57</v>
      </c>
      <c r="W3" s="43" t="s">
        <v>58</v>
      </c>
      <c r="X3" s="43" t="s">
        <v>59</v>
      </c>
      <c r="Y3" s="43" t="s">
        <v>60</v>
      </c>
      <c r="Z3" s="43" t="s">
        <v>61</v>
      </c>
      <c r="AA3" s="43" t="s">
        <v>62</v>
      </c>
      <c r="AB3" s="43" t="s">
        <v>63</v>
      </c>
      <c r="AC3" s="43" t="s">
        <v>64</v>
      </c>
      <c r="AD3" s="43" t="s">
        <v>65</v>
      </c>
      <c r="AE3" s="43" t="s">
        <v>66</v>
      </c>
      <c r="AF3" s="43" t="s">
        <v>67</v>
      </c>
      <c r="AG3" s="43" t="s">
        <v>68</v>
      </c>
      <c r="AH3" s="43" t="s">
        <v>69</v>
      </c>
    </row>
    <row r="4" spans="2:34" ht="23.25" thickBot="1" x14ac:dyDescent="0.3">
      <c r="B4" s="44" t="s">
        <v>70</v>
      </c>
      <c r="C4" s="45" t="str">
        <f>ADDRESS(ROW()+1,COLUMN())&amp;":"&amp;ADDRESS(100,COLUMN())</f>
        <v>$C$5:$C$100</v>
      </c>
      <c r="D4" s="45" t="str">
        <f t="shared" ref="D4:AH4" si="0">ADDRESS(ROW()+1,COLUMN())&amp;":"&amp;ADDRESS(100,COLUMN())</f>
        <v>$D$5:$D$100</v>
      </c>
      <c r="E4" s="45" t="str">
        <f t="shared" si="0"/>
        <v>$E$5:$E$100</v>
      </c>
      <c r="F4" s="45" t="str">
        <f t="shared" si="0"/>
        <v>$F$5:$F$100</v>
      </c>
      <c r="G4" s="45" t="str">
        <f t="shared" si="0"/>
        <v>$G$5:$G$100</v>
      </c>
      <c r="H4" s="45" t="str">
        <f t="shared" si="0"/>
        <v>$H$5:$H$100</v>
      </c>
      <c r="I4" s="45" t="str">
        <f t="shared" si="0"/>
        <v>$I$5:$I$100</v>
      </c>
      <c r="J4" s="45" t="str">
        <f t="shared" si="0"/>
        <v>$J$5:$J$100</v>
      </c>
      <c r="K4" s="45" t="str">
        <f t="shared" si="0"/>
        <v>$K$5:$K$100</v>
      </c>
      <c r="L4" s="45" t="str">
        <f t="shared" si="0"/>
        <v>$L$5:$L$100</v>
      </c>
      <c r="M4" s="45" t="str">
        <f t="shared" si="0"/>
        <v>$M$5:$M$100</v>
      </c>
      <c r="N4" s="45" t="str">
        <f t="shared" si="0"/>
        <v>$N$5:$N$100</v>
      </c>
      <c r="O4" s="45" t="str">
        <f t="shared" si="0"/>
        <v>$O$5:$O$100</v>
      </c>
      <c r="P4" s="45" t="str">
        <f t="shared" si="0"/>
        <v>$P$5:$P$100</v>
      </c>
      <c r="Q4" s="45" t="str">
        <f t="shared" si="0"/>
        <v>$Q$5:$Q$100</v>
      </c>
      <c r="R4" s="45" t="str">
        <f t="shared" si="0"/>
        <v>$R$5:$R$100</v>
      </c>
      <c r="S4" s="45" t="str">
        <f t="shared" si="0"/>
        <v>$S$5:$S$100</v>
      </c>
      <c r="T4" s="45" t="str">
        <f t="shared" si="0"/>
        <v>$T$5:$T$100</v>
      </c>
      <c r="U4" s="45" t="str">
        <f t="shared" si="0"/>
        <v>$U$5:$U$100</v>
      </c>
      <c r="V4" s="45" t="str">
        <f t="shared" si="0"/>
        <v>$V$5:$V$100</v>
      </c>
      <c r="W4" s="45" t="str">
        <f t="shared" si="0"/>
        <v>$W$5:$W$100</v>
      </c>
      <c r="X4" s="45" t="str">
        <f t="shared" si="0"/>
        <v>$X$5:$X$100</v>
      </c>
      <c r="Y4" s="45" t="str">
        <f t="shared" si="0"/>
        <v>$Y$5:$Y$100</v>
      </c>
      <c r="Z4" s="45" t="str">
        <f t="shared" si="0"/>
        <v>$Z$5:$Z$100</v>
      </c>
      <c r="AA4" s="45" t="str">
        <f t="shared" si="0"/>
        <v>$AA$5:$AA$100</v>
      </c>
      <c r="AB4" s="45" t="str">
        <f t="shared" si="0"/>
        <v>$AB$5:$AB$100</v>
      </c>
      <c r="AC4" s="45" t="str">
        <f t="shared" si="0"/>
        <v>$AC$5:$AC$100</v>
      </c>
      <c r="AD4" s="45" t="str">
        <f t="shared" si="0"/>
        <v>$AD$5:$AD$100</v>
      </c>
      <c r="AE4" s="45" t="str">
        <f t="shared" si="0"/>
        <v>$AE$5:$AE$100</v>
      </c>
      <c r="AF4" s="45" t="str">
        <f t="shared" si="0"/>
        <v>$AF$5:$AF$100</v>
      </c>
      <c r="AG4" s="45" t="str">
        <f t="shared" si="0"/>
        <v>$AG$5:$AG$100</v>
      </c>
      <c r="AH4" s="45" t="str">
        <f t="shared" si="0"/>
        <v>$AH$5:$AH$100</v>
      </c>
    </row>
    <row r="5" spans="2:34" x14ac:dyDescent="0.25">
      <c r="B5" s="2">
        <v>0</v>
      </c>
      <c r="C5" s="2" t="s">
        <v>37</v>
      </c>
      <c r="D5" s="2" t="s">
        <v>37</v>
      </c>
      <c r="E5" s="2" t="s">
        <v>37</v>
      </c>
      <c r="F5" s="2">
        <v>100000</v>
      </c>
      <c r="G5" s="2" t="s">
        <v>37</v>
      </c>
      <c r="H5" s="2" t="s">
        <v>37</v>
      </c>
      <c r="I5" s="2" t="s">
        <v>37</v>
      </c>
      <c r="J5" s="2">
        <v>100000</v>
      </c>
      <c r="K5" s="2">
        <v>0</v>
      </c>
      <c r="L5" s="2" t="s">
        <v>37</v>
      </c>
      <c r="M5" s="2" t="s">
        <v>37</v>
      </c>
      <c r="N5" s="2">
        <v>100000</v>
      </c>
      <c r="O5" s="2" t="s">
        <v>37</v>
      </c>
      <c r="P5" s="2" t="s">
        <v>37</v>
      </c>
      <c r="Q5" s="2" t="s">
        <v>37</v>
      </c>
      <c r="R5" s="2">
        <v>100000</v>
      </c>
      <c r="S5" s="2" t="s">
        <v>37</v>
      </c>
      <c r="T5" s="2" t="s">
        <v>37</v>
      </c>
      <c r="U5" s="2" t="s">
        <v>37</v>
      </c>
      <c r="V5" s="2">
        <v>100000</v>
      </c>
      <c r="W5" s="2" t="s">
        <v>37</v>
      </c>
      <c r="X5" s="2" t="s">
        <v>37</v>
      </c>
      <c r="Y5" s="2" t="s">
        <v>37</v>
      </c>
      <c r="Z5" s="2">
        <v>100000</v>
      </c>
      <c r="AA5" s="2" t="s">
        <v>37</v>
      </c>
      <c r="AB5" s="2" t="s">
        <v>37</v>
      </c>
      <c r="AC5" s="2" t="s">
        <v>37</v>
      </c>
      <c r="AD5" s="2">
        <v>100000</v>
      </c>
      <c r="AE5" s="2" t="s">
        <v>37</v>
      </c>
      <c r="AF5" s="2" t="s">
        <v>37</v>
      </c>
      <c r="AG5" s="2" t="s">
        <v>37</v>
      </c>
      <c r="AH5" s="2">
        <v>100000</v>
      </c>
    </row>
    <row r="6" spans="2:34" x14ac:dyDescent="0.25">
      <c r="B6" s="2">
        <v>1.5</v>
      </c>
      <c r="C6" s="2">
        <v>22</v>
      </c>
      <c r="D6" s="2">
        <v>12.6</v>
      </c>
      <c r="E6" s="2">
        <v>0.13300000000000001</v>
      </c>
      <c r="F6" s="2">
        <f t="shared" ref="F6:F12" si="1">ROUNDUP(SQRT(SUMSQ(D6,E6)),3)</f>
        <v>12.600999999999999</v>
      </c>
      <c r="G6" s="2">
        <v>30</v>
      </c>
      <c r="H6" s="2">
        <v>12.6</v>
      </c>
      <c r="I6" s="2">
        <v>0.13300000000000001</v>
      </c>
      <c r="J6" s="2">
        <f t="shared" ref="J6:J12" si="2">ROUNDUP(SQRT(SUMSQ(H6,I6)),3)</f>
        <v>12.600999999999999</v>
      </c>
      <c r="K6" s="2">
        <v>21</v>
      </c>
      <c r="L6" s="2">
        <v>12.6</v>
      </c>
      <c r="M6" s="2">
        <v>0.1</v>
      </c>
      <c r="N6" s="2">
        <f t="shared" ref="N6:N12" si="3">ROUNDUP(SQRT(SUMSQ(L6,M6)),3)</f>
        <v>12.600999999999999</v>
      </c>
      <c r="O6" s="2">
        <v>27</v>
      </c>
      <c r="P6" s="2">
        <v>12.6</v>
      </c>
      <c r="Q6" s="2">
        <v>0.1</v>
      </c>
      <c r="R6" s="2">
        <f t="shared" ref="R6:R12" si="4">ROUNDUP(SQRT(SUMSQ(P6,Q6)),3)</f>
        <v>12.600999999999999</v>
      </c>
      <c r="S6" s="2" t="s">
        <v>37</v>
      </c>
      <c r="T6" s="2" t="s">
        <v>37</v>
      </c>
      <c r="U6" s="2" t="s">
        <v>37</v>
      </c>
      <c r="V6" s="2" t="s">
        <v>37</v>
      </c>
      <c r="W6" s="2" t="s">
        <v>37</v>
      </c>
      <c r="X6" s="2" t="s">
        <v>37</v>
      </c>
      <c r="Y6" s="2" t="s">
        <v>37</v>
      </c>
      <c r="Z6" s="2" t="s">
        <v>37</v>
      </c>
      <c r="AA6" s="2" t="s">
        <v>37</v>
      </c>
      <c r="AB6" s="2" t="s">
        <v>37</v>
      </c>
      <c r="AC6" s="2" t="s">
        <v>37</v>
      </c>
      <c r="AD6" s="2" t="s">
        <v>37</v>
      </c>
      <c r="AE6" s="2" t="s">
        <v>37</v>
      </c>
      <c r="AF6" s="2" t="s">
        <v>37</v>
      </c>
      <c r="AG6" s="2" t="s">
        <v>37</v>
      </c>
      <c r="AH6" s="2" t="s">
        <v>37</v>
      </c>
    </row>
    <row r="7" spans="2:34" x14ac:dyDescent="0.25">
      <c r="B7" s="2">
        <v>2.5</v>
      </c>
      <c r="C7" s="2">
        <v>30</v>
      </c>
      <c r="D7" s="2">
        <v>7.55</v>
      </c>
      <c r="E7" s="2">
        <v>0.128</v>
      </c>
      <c r="F7" s="2">
        <f t="shared" si="1"/>
        <v>7.5520000000000005</v>
      </c>
      <c r="G7" s="2">
        <v>39</v>
      </c>
      <c r="H7" s="2">
        <v>7.55</v>
      </c>
      <c r="I7" s="2">
        <v>0.128</v>
      </c>
      <c r="J7" s="2">
        <f t="shared" si="2"/>
        <v>7.5520000000000005</v>
      </c>
      <c r="K7" s="2">
        <v>27</v>
      </c>
      <c r="L7" s="2">
        <v>7.55</v>
      </c>
      <c r="M7" s="2">
        <v>9.7000000000000003E-2</v>
      </c>
      <c r="N7" s="2">
        <f t="shared" si="3"/>
        <v>7.5510000000000002</v>
      </c>
      <c r="O7" s="2">
        <v>36</v>
      </c>
      <c r="P7" s="2">
        <v>7.55</v>
      </c>
      <c r="Q7" s="2">
        <v>9.7000000000000003E-2</v>
      </c>
      <c r="R7" s="2">
        <f t="shared" si="4"/>
        <v>7.5510000000000002</v>
      </c>
      <c r="S7" s="2">
        <v>22</v>
      </c>
      <c r="T7" s="2">
        <v>12.6</v>
      </c>
      <c r="U7" s="2">
        <v>0.128</v>
      </c>
      <c r="V7" s="2">
        <f>ROUNDUP(SQRT(SUMSQ(T7,U7)),3)</f>
        <v>12.600999999999999</v>
      </c>
      <c r="W7" s="2">
        <v>30</v>
      </c>
      <c r="X7" s="2">
        <v>12.6</v>
      </c>
      <c r="Y7" s="2">
        <v>0.128</v>
      </c>
      <c r="Z7" s="2">
        <f>ROUNDUP(SQRT(SUMSQ(X7,Y7)),3)</f>
        <v>12.600999999999999</v>
      </c>
      <c r="AA7" s="2">
        <v>21</v>
      </c>
      <c r="AB7" s="2">
        <v>12.6</v>
      </c>
      <c r="AC7" s="2">
        <v>9.7000000000000003E-2</v>
      </c>
      <c r="AD7" s="2">
        <f>ROUNDUP(SQRT(SUMSQ(AB7,AC7)),3)</f>
        <v>12.600999999999999</v>
      </c>
      <c r="AE7" s="2">
        <v>28</v>
      </c>
      <c r="AF7" s="2">
        <v>12.6</v>
      </c>
      <c r="AG7" s="2">
        <v>9.7000000000000003E-2</v>
      </c>
      <c r="AH7" s="2">
        <f>ROUNDUP(SQRT(SUMSQ(AF7,AG7)),3)</f>
        <v>12.600999999999999</v>
      </c>
    </row>
    <row r="8" spans="2:34" x14ac:dyDescent="0.25">
      <c r="B8" s="2">
        <v>4</v>
      </c>
      <c r="C8" s="2">
        <v>39</v>
      </c>
      <c r="D8" s="2">
        <v>4.6500000000000004</v>
      </c>
      <c r="E8" s="2">
        <v>0.123</v>
      </c>
      <c r="F8" s="2">
        <f t="shared" si="1"/>
        <v>4.6520000000000001</v>
      </c>
      <c r="G8" s="2">
        <v>50</v>
      </c>
      <c r="H8" s="2">
        <v>4.6500000000000004</v>
      </c>
      <c r="I8" s="2">
        <v>0.123</v>
      </c>
      <c r="J8" s="2">
        <f t="shared" si="2"/>
        <v>4.6520000000000001</v>
      </c>
      <c r="K8" s="2">
        <v>36</v>
      </c>
      <c r="L8" s="2">
        <v>4.6500000000000004</v>
      </c>
      <c r="M8" s="2">
        <v>9.4E-2</v>
      </c>
      <c r="N8" s="2">
        <f t="shared" si="3"/>
        <v>4.6510000000000007</v>
      </c>
      <c r="O8" s="2">
        <v>47</v>
      </c>
      <c r="P8" s="2">
        <v>4.6500000000000004</v>
      </c>
      <c r="Q8" s="2">
        <v>9.4E-2</v>
      </c>
      <c r="R8" s="2">
        <f t="shared" si="4"/>
        <v>4.6510000000000007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2:34" x14ac:dyDescent="0.25">
      <c r="B9" s="2">
        <v>6</v>
      </c>
      <c r="C9" s="2">
        <v>50</v>
      </c>
      <c r="D9" s="2">
        <v>3.06</v>
      </c>
      <c r="E9" s="2">
        <v>0.11799999999999999</v>
      </c>
      <c r="F9" s="2">
        <f t="shared" si="1"/>
        <v>3.0629999999999997</v>
      </c>
      <c r="G9" s="2">
        <v>62</v>
      </c>
      <c r="H9" s="2">
        <v>3.06</v>
      </c>
      <c r="I9" s="2">
        <v>0.11799999999999999</v>
      </c>
      <c r="J9" s="2">
        <f t="shared" si="2"/>
        <v>3.0629999999999997</v>
      </c>
      <c r="K9" s="2">
        <v>46</v>
      </c>
      <c r="L9" s="2">
        <v>3.06</v>
      </c>
      <c r="M9" s="2">
        <v>9.0999999999999998E-2</v>
      </c>
      <c r="N9" s="2">
        <f t="shared" si="3"/>
        <v>3.0619999999999998</v>
      </c>
      <c r="O9" s="2">
        <v>59</v>
      </c>
      <c r="P9" s="2">
        <v>3.06</v>
      </c>
      <c r="Q9" s="2">
        <v>9.0999999999999998E-2</v>
      </c>
      <c r="R9" s="2">
        <f t="shared" si="4"/>
        <v>3.0619999999999998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2:34" x14ac:dyDescent="0.25">
      <c r="B10" s="2">
        <v>10</v>
      </c>
      <c r="C10" s="2">
        <v>68</v>
      </c>
      <c r="D10" s="2">
        <v>1.84</v>
      </c>
      <c r="E10" s="2">
        <v>0.113</v>
      </c>
      <c r="F10" s="2">
        <f t="shared" si="1"/>
        <v>1.8439999999999999</v>
      </c>
      <c r="G10" s="2">
        <v>83</v>
      </c>
      <c r="H10" s="2">
        <v>1.84</v>
      </c>
      <c r="I10" s="2">
        <v>0.113</v>
      </c>
      <c r="J10" s="2">
        <f t="shared" si="2"/>
        <v>1.8439999999999999</v>
      </c>
      <c r="K10" s="2">
        <v>63</v>
      </c>
      <c r="L10" s="2">
        <v>1.84</v>
      </c>
      <c r="M10" s="2">
        <v>8.7999999999999995E-2</v>
      </c>
      <c r="N10" s="2">
        <f t="shared" si="3"/>
        <v>1.843</v>
      </c>
      <c r="O10" s="2">
        <v>79</v>
      </c>
      <c r="P10" s="2">
        <v>1.84</v>
      </c>
      <c r="Q10" s="2">
        <v>8.7999999999999995E-2</v>
      </c>
      <c r="R10" s="2">
        <f t="shared" si="4"/>
        <v>1.843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2:34" x14ac:dyDescent="0.25">
      <c r="B11" s="2">
        <v>16</v>
      </c>
      <c r="C11" s="2">
        <v>89</v>
      </c>
      <c r="D11" s="2">
        <v>1.2</v>
      </c>
      <c r="E11" s="2">
        <v>0.108</v>
      </c>
      <c r="F11" s="2">
        <f t="shared" si="1"/>
        <v>1.2049999999999998</v>
      </c>
      <c r="G11" s="2">
        <v>107</v>
      </c>
      <c r="H11" s="2">
        <v>1.2</v>
      </c>
      <c r="I11" s="2">
        <v>0.108</v>
      </c>
      <c r="J11" s="2">
        <f t="shared" si="2"/>
        <v>1.2049999999999998</v>
      </c>
      <c r="K11" s="2">
        <v>84</v>
      </c>
      <c r="L11" s="2">
        <v>1.2</v>
      </c>
      <c r="M11" s="2">
        <v>8.5000000000000006E-2</v>
      </c>
      <c r="N11" s="2">
        <f t="shared" si="3"/>
        <v>1.204</v>
      </c>
      <c r="O11" s="2">
        <v>102</v>
      </c>
      <c r="P11" s="2">
        <v>1.2</v>
      </c>
      <c r="Q11" s="2">
        <v>8.5000000000000006E-2</v>
      </c>
      <c r="R11" s="2">
        <f t="shared" si="4"/>
        <v>1.204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2:34" x14ac:dyDescent="0.25">
      <c r="B12" s="2">
        <v>25</v>
      </c>
      <c r="C12" s="2">
        <v>121</v>
      </c>
      <c r="D12" s="2">
        <v>0.74</v>
      </c>
      <c r="E12" s="2">
        <v>0.10299999999999999</v>
      </c>
      <c r="F12" s="2">
        <f t="shared" si="1"/>
        <v>0.748</v>
      </c>
      <c r="G12" s="2">
        <v>137</v>
      </c>
      <c r="H12" s="2">
        <v>0.74</v>
      </c>
      <c r="I12" s="2">
        <v>0.10299999999999999</v>
      </c>
      <c r="J12" s="2">
        <f t="shared" si="2"/>
        <v>0.748</v>
      </c>
      <c r="K12" s="2">
        <v>112</v>
      </c>
      <c r="L12" s="2">
        <v>0.74</v>
      </c>
      <c r="M12" s="2">
        <v>8.2000000000000003E-2</v>
      </c>
      <c r="N12" s="2">
        <f t="shared" si="3"/>
        <v>0.745</v>
      </c>
      <c r="O12" s="2">
        <v>133</v>
      </c>
      <c r="P12" s="2">
        <v>0.74</v>
      </c>
      <c r="Q12" s="2">
        <v>8.2000000000000003E-2</v>
      </c>
      <c r="R12" s="2">
        <f t="shared" si="4"/>
        <v>0.745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</sheetData>
  <mergeCells count="1">
    <mergeCell ref="B2:A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C4" sqref="C4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187" t="s">
        <v>12</v>
      </c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</row>
    <row r="2" spans="1:18" ht="35.25" customHeight="1" thickBot="1" x14ac:dyDescent="0.3">
      <c r="A2" s="24"/>
      <c r="B2" s="3" t="s">
        <v>13</v>
      </c>
      <c r="C2" s="188" t="s">
        <v>14</v>
      </c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9"/>
    </row>
    <row r="3" spans="1:18" x14ac:dyDescent="0.25">
      <c r="A3" s="12"/>
      <c r="B3" s="19"/>
      <c r="C3" s="16">
        <v>0</v>
      </c>
      <c r="D3" s="5">
        <v>1</v>
      </c>
      <c r="E3" s="5">
        <f>1*5</f>
        <v>5</v>
      </c>
      <c r="F3" s="5">
        <v>6</v>
      </c>
      <c r="G3" s="5">
        <v>9</v>
      </c>
      <c r="H3" s="5">
        <v>12</v>
      </c>
      <c r="I3" s="5">
        <v>15</v>
      </c>
      <c r="J3" s="5">
        <v>18</v>
      </c>
      <c r="K3" s="5">
        <v>24</v>
      </c>
      <c r="L3" s="5">
        <v>40</v>
      </c>
      <c r="M3" s="5">
        <v>60</v>
      </c>
      <c r="N3" s="5">
        <v>100</v>
      </c>
      <c r="O3" s="5">
        <v>200</v>
      </c>
      <c r="P3" s="5">
        <v>400</v>
      </c>
      <c r="Q3" s="5">
        <v>600</v>
      </c>
      <c r="R3" s="6">
        <v>1000</v>
      </c>
    </row>
    <row r="4" spans="1:18" ht="15.75" thickBot="1" x14ac:dyDescent="0.3">
      <c r="A4" s="13" t="s">
        <v>31</v>
      </c>
      <c r="B4" s="20" t="s">
        <v>15</v>
      </c>
      <c r="C4" s="17">
        <v>4.5</v>
      </c>
      <c r="D4" s="8">
        <v>4.5</v>
      </c>
      <c r="E4" s="8">
        <v>4.5</v>
      </c>
      <c r="F4" s="8">
        <v>2.8</v>
      </c>
      <c r="G4" s="8">
        <v>2.2999999999999998</v>
      </c>
      <c r="H4" s="8">
        <v>2</v>
      </c>
      <c r="I4" s="8">
        <v>1.8</v>
      </c>
      <c r="J4" s="8">
        <v>1.65</v>
      </c>
      <c r="K4" s="8">
        <v>1.4</v>
      </c>
      <c r="L4" s="8">
        <v>1.2</v>
      </c>
      <c r="M4" s="8">
        <v>1.05</v>
      </c>
      <c r="N4" s="8">
        <v>0.85</v>
      </c>
      <c r="O4" s="8">
        <v>0.77</v>
      </c>
      <c r="P4" s="8">
        <v>0.71</v>
      </c>
      <c r="Q4" s="8">
        <v>0.69</v>
      </c>
      <c r="R4" s="9">
        <v>0.67</v>
      </c>
    </row>
    <row r="5" spans="1:18" x14ac:dyDescent="0.25">
      <c r="A5" s="12"/>
      <c r="B5" s="19"/>
      <c r="C5" s="16">
        <v>0</v>
      </c>
      <c r="D5" s="5">
        <v>1</v>
      </c>
      <c r="E5" s="5">
        <f>1*5</f>
        <v>5</v>
      </c>
      <c r="F5" s="5">
        <v>6</v>
      </c>
      <c r="G5" s="5">
        <v>9</v>
      </c>
      <c r="H5" s="5">
        <v>12</v>
      </c>
      <c r="I5" s="5">
        <v>15</v>
      </c>
      <c r="J5" s="5">
        <v>18</v>
      </c>
      <c r="K5" s="5">
        <v>24</v>
      </c>
      <c r="L5" s="5">
        <v>40</v>
      </c>
      <c r="M5" s="5">
        <v>60</v>
      </c>
      <c r="N5" s="5">
        <v>100</v>
      </c>
      <c r="O5" s="5">
        <v>200</v>
      </c>
      <c r="P5" s="5">
        <v>400</v>
      </c>
      <c r="Q5" s="5">
        <v>600</v>
      </c>
      <c r="R5" s="6">
        <v>1000</v>
      </c>
    </row>
    <row r="6" spans="1:18" ht="39" thickBot="1" x14ac:dyDescent="0.3">
      <c r="A6" s="13" t="s">
        <v>32</v>
      </c>
      <c r="B6" s="20" t="s">
        <v>16</v>
      </c>
      <c r="C6" s="17">
        <v>6</v>
      </c>
      <c r="D6" s="8">
        <v>6</v>
      </c>
      <c r="E6" s="8">
        <v>6</v>
      </c>
      <c r="F6" s="8">
        <v>3.4</v>
      </c>
      <c r="G6" s="8">
        <v>2.9</v>
      </c>
      <c r="H6" s="8">
        <v>2.5</v>
      </c>
      <c r="I6" s="8">
        <v>2.2000000000000002</v>
      </c>
      <c r="J6" s="8">
        <v>2</v>
      </c>
      <c r="K6" s="8">
        <v>1.8</v>
      </c>
      <c r="L6" s="8">
        <v>1.4</v>
      </c>
      <c r="M6" s="8">
        <v>1.3</v>
      </c>
      <c r="N6" s="8">
        <v>1.08</v>
      </c>
      <c r="O6" s="8">
        <v>1</v>
      </c>
      <c r="P6" s="8">
        <v>0.92</v>
      </c>
      <c r="Q6" s="8">
        <v>0.84</v>
      </c>
      <c r="R6" s="9">
        <v>0.76</v>
      </c>
    </row>
    <row r="7" spans="1:18" x14ac:dyDescent="0.25">
      <c r="A7" s="15"/>
      <c r="B7" s="22"/>
      <c r="C7" s="16">
        <v>0</v>
      </c>
      <c r="D7" s="5">
        <v>1</v>
      </c>
      <c r="E7" s="5">
        <f>1*5</f>
        <v>5</v>
      </c>
      <c r="F7" s="5">
        <v>6</v>
      </c>
      <c r="G7" s="5">
        <v>9</v>
      </c>
      <c r="H7" s="5">
        <v>12</v>
      </c>
      <c r="I7" s="5">
        <v>15</v>
      </c>
      <c r="J7" s="5">
        <v>18</v>
      </c>
      <c r="K7" s="5">
        <v>24</v>
      </c>
      <c r="L7" s="5">
        <v>40</v>
      </c>
      <c r="M7" s="5">
        <v>60</v>
      </c>
      <c r="N7" s="5">
        <v>100</v>
      </c>
      <c r="O7" s="5">
        <v>200</v>
      </c>
      <c r="P7" s="5">
        <v>400</v>
      </c>
      <c r="Q7" s="5">
        <v>600</v>
      </c>
      <c r="R7" s="6">
        <v>1000</v>
      </c>
    </row>
    <row r="8" spans="1:18" ht="26.25" thickBot="1" x14ac:dyDescent="0.3">
      <c r="A8" s="14" t="s">
        <v>33</v>
      </c>
      <c r="B8" s="21" t="s">
        <v>17</v>
      </c>
      <c r="C8" s="18">
        <v>10</v>
      </c>
      <c r="D8" s="10">
        <v>10</v>
      </c>
      <c r="E8" s="10">
        <v>10</v>
      </c>
      <c r="F8" s="10">
        <v>5.0999999999999996</v>
      </c>
      <c r="G8" s="10">
        <v>3.8</v>
      </c>
      <c r="H8" s="10">
        <v>3.2</v>
      </c>
      <c r="I8" s="10">
        <v>2.8</v>
      </c>
      <c r="J8" s="10">
        <v>2.6</v>
      </c>
      <c r="K8" s="10">
        <v>2.2000000000000002</v>
      </c>
      <c r="L8" s="10">
        <v>1.95</v>
      </c>
      <c r="M8" s="10">
        <v>1.7</v>
      </c>
      <c r="N8" s="10">
        <v>1.5</v>
      </c>
      <c r="O8" s="10">
        <v>1.36</v>
      </c>
      <c r="P8" s="10">
        <v>1.27</v>
      </c>
      <c r="Q8" s="10">
        <v>1.23</v>
      </c>
      <c r="R8" s="11">
        <v>1.19</v>
      </c>
    </row>
    <row r="9" spans="1:18" x14ac:dyDescent="0.25">
      <c r="A9" s="15"/>
      <c r="B9" s="22"/>
      <c r="C9" s="16">
        <v>0</v>
      </c>
      <c r="D9" s="5">
        <v>1</v>
      </c>
      <c r="E9" s="5">
        <f>1*5</f>
        <v>5</v>
      </c>
      <c r="F9" s="5">
        <v>6</v>
      </c>
      <c r="G9" s="5">
        <v>9</v>
      </c>
      <c r="H9" s="5">
        <v>12</v>
      </c>
      <c r="I9" s="5">
        <v>15</v>
      </c>
      <c r="J9" s="5">
        <v>18</v>
      </c>
      <c r="K9" s="5">
        <v>24</v>
      </c>
      <c r="L9" s="5">
        <v>40</v>
      </c>
      <c r="M9" s="5">
        <v>60</v>
      </c>
      <c r="N9" s="5">
        <v>100</v>
      </c>
      <c r="O9" s="5">
        <v>200</v>
      </c>
      <c r="P9" s="5">
        <v>400</v>
      </c>
      <c r="Q9" s="5">
        <v>600</v>
      </c>
      <c r="R9" s="6">
        <v>1000</v>
      </c>
    </row>
    <row r="10" spans="1:18" ht="26.25" thickBot="1" x14ac:dyDescent="0.3">
      <c r="A10" s="13" t="s">
        <v>34</v>
      </c>
      <c r="B10" s="23" t="s">
        <v>18</v>
      </c>
      <c r="C10" s="17">
        <v>4</v>
      </c>
      <c r="D10" s="8">
        <v>4</v>
      </c>
      <c r="E10" s="8">
        <v>4</v>
      </c>
      <c r="F10" s="8">
        <v>2.2999999999999998</v>
      </c>
      <c r="G10" s="8">
        <v>1.7</v>
      </c>
      <c r="H10" s="8">
        <v>1.4</v>
      </c>
      <c r="I10" s="8">
        <v>1.2</v>
      </c>
      <c r="J10" s="8">
        <v>1.1000000000000001</v>
      </c>
      <c r="K10" s="8">
        <v>0.9</v>
      </c>
      <c r="L10" s="8">
        <v>0.76</v>
      </c>
      <c r="M10" s="8">
        <v>0.69</v>
      </c>
      <c r="N10" s="8">
        <v>0.61</v>
      </c>
      <c r="O10" s="8">
        <v>0.57999999999999996</v>
      </c>
      <c r="P10" s="8">
        <v>0.54</v>
      </c>
      <c r="Q10" s="8">
        <v>0.51</v>
      </c>
      <c r="R10" s="9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D7D-6E66-4BDD-B569-46F1C33B4B46}">
  <dimension ref="C1:H15"/>
  <sheetViews>
    <sheetView workbookViewId="0">
      <selection activeCell="G11" sqref="G11"/>
    </sheetView>
  </sheetViews>
  <sheetFormatPr defaultRowHeight="15" x14ac:dyDescent="0.25"/>
  <cols>
    <col min="3" max="8" width="10.7109375" customWidth="1"/>
  </cols>
  <sheetData>
    <row r="1" spans="3:8" ht="15.75" thickBot="1" x14ac:dyDescent="0.3"/>
    <row r="2" spans="3:8" ht="15.75" thickBot="1" x14ac:dyDescent="0.3">
      <c r="C2" s="190" t="s">
        <v>438</v>
      </c>
      <c r="D2" s="191"/>
      <c r="E2" s="191"/>
      <c r="F2" s="191"/>
      <c r="G2" s="191"/>
      <c r="H2" s="192"/>
    </row>
    <row r="3" spans="3:8" x14ac:dyDescent="0.25">
      <c r="C3" s="165" t="s">
        <v>439</v>
      </c>
      <c r="D3" s="165" t="s">
        <v>440</v>
      </c>
      <c r="E3" s="165" t="s">
        <v>441</v>
      </c>
      <c r="F3" s="165" t="s">
        <v>442</v>
      </c>
      <c r="G3" s="165" t="s">
        <v>443</v>
      </c>
      <c r="H3" s="165" t="s">
        <v>444</v>
      </c>
    </row>
    <row r="4" spans="3:8" x14ac:dyDescent="0.25">
      <c r="C4" s="166" t="s">
        <v>445</v>
      </c>
      <c r="D4" s="167">
        <v>0</v>
      </c>
      <c r="E4" s="167">
        <v>0</v>
      </c>
      <c r="F4" s="167">
        <v>1</v>
      </c>
      <c r="G4" s="167">
        <v>1</v>
      </c>
      <c r="H4" s="167">
        <v>0</v>
      </c>
    </row>
    <row r="5" spans="3:8" x14ac:dyDescent="0.25">
      <c r="C5" s="166" t="s">
        <v>452</v>
      </c>
      <c r="D5" s="167">
        <v>0</v>
      </c>
      <c r="E5" s="167">
        <v>35</v>
      </c>
      <c r="F5" s="167">
        <v>1</v>
      </c>
      <c r="G5" s="167">
        <v>1</v>
      </c>
      <c r="H5" s="167">
        <v>0</v>
      </c>
    </row>
    <row r="6" spans="3:8" x14ac:dyDescent="0.25">
      <c r="C6" s="166" t="s">
        <v>446</v>
      </c>
      <c r="D6" s="167">
        <v>0</v>
      </c>
      <c r="E6" s="167">
        <v>0</v>
      </c>
      <c r="F6" s="167">
        <v>0.67</v>
      </c>
      <c r="G6" s="167">
        <v>0.67</v>
      </c>
      <c r="H6" s="167">
        <v>0</v>
      </c>
    </row>
    <row r="7" spans="3:8" x14ac:dyDescent="0.25">
      <c r="C7" s="166" t="s">
        <v>453</v>
      </c>
      <c r="D7" s="167">
        <v>0</v>
      </c>
      <c r="E7" s="167">
        <v>35</v>
      </c>
      <c r="F7" s="167">
        <v>1</v>
      </c>
      <c r="G7" s="167">
        <v>1</v>
      </c>
      <c r="H7" s="167">
        <v>0</v>
      </c>
    </row>
    <row r="8" spans="3:8" x14ac:dyDescent="0.25">
      <c r="C8" s="166" t="s">
        <v>454</v>
      </c>
      <c r="D8" s="167">
        <v>0</v>
      </c>
      <c r="E8" s="167">
        <v>35</v>
      </c>
      <c r="F8" s="167">
        <v>1</v>
      </c>
      <c r="G8" s="167">
        <v>1</v>
      </c>
      <c r="H8" s="167">
        <v>0</v>
      </c>
    </row>
    <row r="9" spans="3:8" x14ac:dyDescent="0.25">
      <c r="C9" s="166" t="s">
        <v>456</v>
      </c>
      <c r="D9" s="167">
        <v>0</v>
      </c>
      <c r="E9" s="167">
        <v>0</v>
      </c>
      <c r="F9" s="167">
        <v>1</v>
      </c>
      <c r="G9" s="167">
        <v>1</v>
      </c>
      <c r="H9" s="167">
        <v>0</v>
      </c>
    </row>
    <row r="10" spans="3:8" x14ac:dyDescent="0.25">
      <c r="C10" s="166" t="s">
        <v>457</v>
      </c>
      <c r="D10" s="167">
        <v>0</v>
      </c>
      <c r="E10" s="167">
        <v>35</v>
      </c>
      <c r="F10" s="167">
        <v>1</v>
      </c>
      <c r="G10" s="167">
        <v>1</v>
      </c>
      <c r="H10" s="167">
        <v>0</v>
      </c>
    </row>
    <row r="11" spans="3:8" x14ac:dyDescent="0.25">
      <c r="C11" s="166" t="s">
        <v>458</v>
      </c>
      <c r="D11" s="167">
        <v>0</v>
      </c>
      <c r="E11" s="167">
        <v>0</v>
      </c>
      <c r="F11" s="167">
        <v>1</v>
      </c>
      <c r="G11" s="167">
        <v>1</v>
      </c>
      <c r="H11" s="167">
        <v>0</v>
      </c>
    </row>
    <row r="12" spans="3:8" x14ac:dyDescent="0.25">
      <c r="C12" s="166" t="s">
        <v>459</v>
      </c>
      <c r="D12" s="167">
        <v>0</v>
      </c>
      <c r="E12" s="167">
        <v>35</v>
      </c>
      <c r="F12" s="167">
        <v>1</v>
      </c>
      <c r="G12" s="167">
        <v>1</v>
      </c>
      <c r="H12" s="167">
        <v>0</v>
      </c>
    </row>
    <row r="13" spans="3:8" x14ac:dyDescent="0.25">
      <c r="C13" s="166" t="s">
        <v>460</v>
      </c>
      <c r="D13" s="167">
        <v>0</v>
      </c>
      <c r="E13" s="167">
        <v>0</v>
      </c>
      <c r="F13" s="167">
        <v>1</v>
      </c>
      <c r="G13" s="167">
        <v>1</v>
      </c>
      <c r="H13" s="167">
        <v>0</v>
      </c>
    </row>
    <row r="14" spans="3:8" x14ac:dyDescent="0.25">
      <c r="C14" s="166" t="s">
        <v>461</v>
      </c>
      <c r="D14" s="167">
        <v>0</v>
      </c>
      <c r="E14" s="167">
        <v>35</v>
      </c>
      <c r="F14" s="167">
        <v>1</v>
      </c>
      <c r="G14" s="167">
        <v>1</v>
      </c>
      <c r="H14" s="167">
        <v>0</v>
      </c>
    </row>
    <row r="15" spans="3:8" x14ac:dyDescent="0.25">
      <c r="C15" s="166" t="s">
        <v>447</v>
      </c>
      <c r="D15" s="167">
        <v>0</v>
      </c>
      <c r="E15" s="167">
        <v>0</v>
      </c>
      <c r="F15" s="167">
        <v>1</v>
      </c>
      <c r="G15" s="167">
        <v>1</v>
      </c>
      <c r="H15" s="167">
        <v>0</v>
      </c>
    </row>
  </sheetData>
  <mergeCells count="1"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47E1-1980-42FF-8A31-CE7BAFCD7F98}">
  <dimension ref="B4:C9"/>
  <sheetViews>
    <sheetView workbookViewId="0">
      <selection activeCell="E30" sqref="E30"/>
    </sheetView>
  </sheetViews>
  <sheetFormatPr defaultRowHeight="15" x14ac:dyDescent="0.25"/>
  <cols>
    <col min="2" max="2" width="20.85546875" bestFit="1" customWidth="1"/>
    <col min="3" max="3" width="20.7109375" bestFit="1" customWidth="1"/>
  </cols>
  <sheetData>
    <row r="4" spans="2:3" x14ac:dyDescent="0.25">
      <c r="B4" s="1" t="s">
        <v>372</v>
      </c>
      <c r="C4" s="1" t="s">
        <v>373</v>
      </c>
    </row>
    <row r="5" spans="2:3" x14ac:dyDescent="0.25">
      <c r="B5" s="1" t="s">
        <v>374</v>
      </c>
      <c r="C5" s="1" t="s">
        <v>375</v>
      </c>
    </row>
    <row r="6" spans="2:3" x14ac:dyDescent="0.25">
      <c r="B6" s="1" t="s">
        <v>376</v>
      </c>
      <c r="C6" s="1" t="s">
        <v>377</v>
      </c>
    </row>
    <row r="7" spans="2:3" x14ac:dyDescent="0.25">
      <c r="B7" s="1" t="s">
        <v>378</v>
      </c>
      <c r="C7" s="1" t="s">
        <v>379</v>
      </c>
    </row>
    <row r="8" spans="2:3" x14ac:dyDescent="0.25">
      <c r="B8" s="1" t="s">
        <v>380</v>
      </c>
      <c r="C8" s="1" t="s">
        <v>381</v>
      </c>
    </row>
    <row r="9" spans="2:3" x14ac:dyDescent="0.25">
      <c r="B9" s="1" t="s">
        <v>382</v>
      </c>
      <c r="C9" s="1" t="s">
        <v>383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K7"/>
  <sheetViews>
    <sheetView workbookViewId="0">
      <selection activeCell="I16" sqref="I16"/>
    </sheetView>
  </sheetViews>
  <sheetFormatPr defaultRowHeight="15" x14ac:dyDescent="0.25"/>
  <cols>
    <col min="1" max="1" width="18.85546875" customWidth="1"/>
  </cols>
  <sheetData>
    <row r="1" spans="1:11" x14ac:dyDescent="0.25">
      <c r="A1" t="s">
        <v>178</v>
      </c>
      <c r="B1" t="s">
        <v>188</v>
      </c>
    </row>
    <row r="2" spans="1:11" x14ac:dyDescent="0.25">
      <c r="A2" t="s">
        <v>179</v>
      </c>
      <c r="B2" t="s">
        <v>0</v>
      </c>
      <c r="I2" t="s">
        <v>159</v>
      </c>
    </row>
    <row r="3" spans="1:11" x14ac:dyDescent="0.25">
      <c r="A3" t="s">
        <v>179</v>
      </c>
      <c r="B3" t="s">
        <v>180</v>
      </c>
      <c r="I3" t="s">
        <v>160</v>
      </c>
    </row>
    <row r="4" spans="1:11" ht="15.75" customHeight="1" x14ac:dyDescent="0.25">
      <c r="A4" t="s">
        <v>179</v>
      </c>
      <c r="B4" t="s">
        <v>10</v>
      </c>
      <c r="J4" t="s">
        <v>8</v>
      </c>
      <c r="K4" t="s">
        <v>161</v>
      </c>
    </row>
    <row r="5" spans="1:11" ht="15.75" customHeight="1" x14ac:dyDescent="0.25">
      <c r="A5" t="s">
        <v>179</v>
      </c>
      <c r="B5" t="s">
        <v>11</v>
      </c>
      <c r="J5" t="s">
        <v>9</v>
      </c>
      <c r="K5" t="s">
        <v>162</v>
      </c>
    </row>
    <row r="6" spans="1:11" x14ac:dyDescent="0.25">
      <c r="A6" t="s">
        <v>179</v>
      </c>
      <c r="B6" t="s">
        <v>351</v>
      </c>
    </row>
    <row r="7" spans="1:11" x14ac:dyDescent="0.25">
      <c r="A7" t="s">
        <v>179</v>
      </c>
      <c r="B7" t="s">
        <v>338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BDDE-60BA-44D5-BCC5-6893FF63103C}">
  <dimension ref="A1:B3"/>
  <sheetViews>
    <sheetView workbookViewId="0">
      <selection activeCell="B2" sqref="B2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173</v>
      </c>
      <c r="B1" t="s">
        <v>176</v>
      </c>
    </row>
    <row r="2" spans="1:2" x14ac:dyDescent="0.25">
      <c r="A2" t="s">
        <v>174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175</v>
      </c>
      <c r="B3" t="s">
        <v>177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A3:BF11"/>
  <sheetViews>
    <sheetView topLeftCell="R4" workbookViewId="0">
      <selection activeCell="AJ11" sqref="AJ11"/>
    </sheetView>
  </sheetViews>
  <sheetFormatPr defaultRowHeight="15" x14ac:dyDescent="0.25"/>
  <cols>
    <col min="2" max="2" width="22" customWidth="1"/>
    <col min="3" max="3" width="3.7109375" customWidth="1"/>
    <col min="4" max="5" width="12.7109375" customWidth="1"/>
    <col min="6" max="6" width="3.7109375" customWidth="1"/>
    <col min="7" max="8" width="12.7109375" customWidth="1"/>
    <col min="9" max="9" width="3.7109375" customWidth="1"/>
    <col min="10" max="11" width="12.7109375" customWidth="1"/>
    <col min="12" max="12" width="3.7109375" customWidth="1"/>
    <col min="13" max="14" width="12.7109375" customWidth="1"/>
    <col min="15" max="15" width="3.7109375" customWidth="1"/>
    <col min="16" max="17" width="12.7109375" customWidth="1"/>
    <col min="18" max="18" width="3.7109375" customWidth="1"/>
    <col min="19" max="20" width="12.7109375" customWidth="1"/>
    <col min="21" max="21" width="3.7109375" customWidth="1"/>
    <col min="22" max="23" width="12.7109375" customWidth="1"/>
    <col min="24" max="24" width="3.7109375" customWidth="1"/>
    <col min="25" max="26" width="12.7109375" customWidth="1"/>
    <col min="27" max="27" width="3.7109375" customWidth="1"/>
    <col min="28" max="29" width="12.7109375" customWidth="1"/>
    <col min="30" max="30" width="3.7109375" customWidth="1"/>
    <col min="31" max="32" width="12.7109375" customWidth="1"/>
    <col min="33" max="33" width="3.7109375" customWidth="1"/>
    <col min="34" max="36" width="12.7109375" customWidth="1"/>
    <col min="37" max="41" width="14.140625" customWidth="1"/>
    <col min="42" max="43" width="16" customWidth="1"/>
    <col min="44" max="57" width="12.7109375" customWidth="1"/>
  </cols>
  <sheetData>
    <row r="3" spans="1:58" x14ac:dyDescent="0.25">
      <c r="D3" s="194" t="s">
        <v>326</v>
      </c>
      <c r="E3" s="194"/>
      <c r="F3" s="194"/>
    </row>
    <row r="4" spans="1:58" x14ac:dyDescent="0.25">
      <c r="D4" s="87" t="s">
        <v>327</v>
      </c>
      <c r="E4" s="88"/>
      <c r="F4" s="91" t="s">
        <v>37</v>
      </c>
    </row>
    <row r="7" spans="1:58" x14ac:dyDescent="0.25">
      <c r="A7">
        <f>COLUMN(A7)-1</f>
        <v>0</v>
      </c>
      <c r="B7">
        <f t="shared" ref="B7:BF7" si="0">COLUMN(B7)-1</f>
        <v>1</v>
      </c>
      <c r="C7">
        <f t="shared" si="0"/>
        <v>2</v>
      </c>
      <c r="D7">
        <f t="shared" si="0"/>
        <v>3</v>
      </c>
      <c r="E7">
        <f t="shared" si="0"/>
        <v>4</v>
      </c>
      <c r="F7">
        <f t="shared" si="0"/>
        <v>5</v>
      </c>
      <c r="G7">
        <f t="shared" si="0"/>
        <v>6</v>
      </c>
      <c r="H7">
        <f t="shared" si="0"/>
        <v>7</v>
      </c>
      <c r="I7">
        <f t="shared" si="0"/>
        <v>8</v>
      </c>
      <c r="J7">
        <f t="shared" si="0"/>
        <v>9</v>
      </c>
      <c r="K7">
        <f t="shared" si="0"/>
        <v>10</v>
      </c>
      <c r="L7">
        <f t="shared" si="0"/>
        <v>11</v>
      </c>
      <c r="M7">
        <f t="shared" si="0"/>
        <v>12</v>
      </c>
      <c r="N7">
        <f t="shared" si="0"/>
        <v>13</v>
      </c>
      <c r="O7">
        <f t="shared" si="0"/>
        <v>14</v>
      </c>
      <c r="P7">
        <f t="shared" si="0"/>
        <v>15</v>
      </c>
      <c r="Q7">
        <f t="shared" si="0"/>
        <v>16</v>
      </c>
      <c r="R7">
        <f t="shared" si="0"/>
        <v>17</v>
      </c>
      <c r="S7">
        <f t="shared" si="0"/>
        <v>18</v>
      </c>
      <c r="T7">
        <f t="shared" si="0"/>
        <v>19</v>
      </c>
      <c r="U7">
        <f t="shared" si="0"/>
        <v>20</v>
      </c>
      <c r="V7">
        <f t="shared" si="0"/>
        <v>21</v>
      </c>
      <c r="W7">
        <f t="shared" si="0"/>
        <v>22</v>
      </c>
      <c r="X7">
        <f t="shared" si="0"/>
        <v>23</v>
      </c>
      <c r="Y7">
        <f t="shared" si="0"/>
        <v>24</v>
      </c>
      <c r="Z7">
        <f t="shared" si="0"/>
        <v>25</v>
      </c>
      <c r="AA7">
        <f t="shared" si="0"/>
        <v>26</v>
      </c>
      <c r="AB7">
        <f t="shared" si="0"/>
        <v>27</v>
      </c>
      <c r="AC7">
        <f t="shared" si="0"/>
        <v>28</v>
      </c>
      <c r="AD7">
        <f t="shared" si="0"/>
        <v>29</v>
      </c>
      <c r="AE7">
        <f t="shared" si="0"/>
        <v>30</v>
      </c>
      <c r="AF7">
        <f t="shared" si="0"/>
        <v>31</v>
      </c>
      <c r="AG7">
        <f t="shared" si="0"/>
        <v>32</v>
      </c>
      <c r="AH7">
        <f t="shared" si="0"/>
        <v>33</v>
      </c>
      <c r="AI7">
        <f t="shared" si="0"/>
        <v>34</v>
      </c>
      <c r="AK7">
        <f t="shared" si="0"/>
        <v>36</v>
      </c>
      <c r="AL7">
        <f t="shared" si="0"/>
        <v>37</v>
      </c>
      <c r="AM7">
        <f t="shared" si="0"/>
        <v>38</v>
      </c>
      <c r="AN7">
        <f t="shared" si="0"/>
        <v>39</v>
      </c>
      <c r="AO7">
        <f t="shared" si="0"/>
        <v>40</v>
      </c>
      <c r="AP7">
        <f t="shared" si="0"/>
        <v>41</v>
      </c>
      <c r="AQ7">
        <f t="shared" si="0"/>
        <v>42</v>
      </c>
      <c r="AR7">
        <f t="shared" si="0"/>
        <v>43</v>
      </c>
      <c r="AS7">
        <f t="shared" si="0"/>
        <v>44</v>
      </c>
      <c r="AT7" s="111">
        <f t="shared" si="0"/>
        <v>45</v>
      </c>
      <c r="AU7" s="111">
        <f t="shared" si="0"/>
        <v>46</v>
      </c>
      <c r="AV7" s="111">
        <f t="shared" si="0"/>
        <v>47</v>
      </c>
      <c r="AW7" s="111">
        <f t="shared" si="0"/>
        <v>48</v>
      </c>
      <c r="AX7">
        <f t="shared" si="0"/>
        <v>49</v>
      </c>
      <c r="AY7">
        <f t="shared" si="0"/>
        <v>50</v>
      </c>
      <c r="AZ7">
        <f t="shared" si="0"/>
        <v>51</v>
      </c>
      <c r="BF7">
        <f t="shared" si="0"/>
        <v>57</v>
      </c>
    </row>
    <row r="8" spans="1:58" ht="135" x14ac:dyDescent="0.25">
      <c r="B8" s="96"/>
      <c r="C8" s="193" t="s">
        <v>1</v>
      </c>
      <c r="D8" s="193"/>
      <c r="E8" s="193"/>
      <c r="F8" s="194" t="s">
        <v>333</v>
      </c>
      <c r="G8" s="194"/>
      <c r="H8" s="194"/>
      <c r="I8" s="193" t="s">
        <v>168</v>
      </c>
      <c r="J8" s="193"/>
      <c r="K8" s="193"/>
      <c r="L8" s="193" t="s">
        <v>181</v>
      </c>
      <c r="M8" s="193"/>
      <c r="N8" s="193"/>
      <c r="O8" s="193" t="s">
        <v>7</v>
      </c>
      <c r="P8" s="193"/>
      <c r="Q8" s="193"/>
      <c r="R8" s="193" t="s">
        <v>182</v>
      </c>
      <c r="S8" s="193"/>
      <c r="T8" s="193"/>
      <c r="U8" s="193" t="s">
        <v>169</v>
      </c>
      <c r="V8" s="193"/>
      <c r="W8" s="193"/>
      <c r="X8" s="193" t="s">
        <v>184</v>
      </c>
      <c r="Y8" s="193"/>
      <c r="Z8" s="193"/>
      <c r="AA8" s="193" t="s">
        <v>185</v>
      </c>
      <c r="AB8" s="193"/>
      <c r="AC8" s="193"/>
      <c r="AD8" s="193" t="s">
        <v>3</v>
      </c>
      <c r="AE8" s="193"/>
      <c r="AF8" s="193"/>
      <c r="AG8" s="193" t="s">
        <v>393</v>
      </c>
      <c r="AH8" s="193"/>
      <c r="AI8" s="193"/>
      <c r="AJ8" s="153" t="s">
        <v>433</v>
      </c>
      <c r="AK8" s="114" t="s">
        <v>335</v>
      </c>
      <c r="AL8" s="123" t="s">
        <v>398</v>
      </c>
      <c r="AM8" s="123" t="s">
        <v>399</v>
      </c>
      <c r="AN8" s="123" t="s">
        <v>400</v>
      </c>
      <c r="AO8" s="126" t="s">
        <v>401</v>
      </c>
      <c r="AP8" s="114" t="s">
        <v>336</v>
      </c>
      <c r="AQ8" s="114" t="s">
        <v>337</v>
      </c>
      <c r="AR8" s="112" t="s">
        <v>189</v>
      </c>
      <c r="AS8" s="113" t="s">
        <v>327</v>
      </c>
      <c r="AT8" s="136" t="s">
        <v>407</v>
      </c>
      <c r="AU8" s="136" t="s">
        <v>408</v>
      </c>
      <c r="AV8" s="126" t="s">
        <v>405</v>
      </c>
      <c r="AW8" s="135" t="s">
        <v>406</v>
      </c>
      <c r="AX8" s="112" t="s">
        <v>190</v>
      </c>
      <c r="AY8" s="112" t="s">
        <v>191</v>
      </c>
      <c r="AZ8" s="112" t="s">
        <v>192</v>
      </c>
      <c r="BA8" s="112" t="s">
        <v>394</v>
      </c>
      <c r="BB8" s="90"/>
      <c r="BC8" s="90"/>
      <c r="BD8" s="90"/>
      <c r="BE8" s="90"/>
    </row>
    <row r="9" spans="1:58" x14ac:dyDescent="0.25">
      <c r="B9" s="51"/>
      <c r="C9" s="51" t="s">
        <v>167</v>
      </c>
      <c r="D9" s="52" t="s">
        <v>165</v>
      </c>
      <c r="E9" s="129" t="s">
        <v>166</v>
      </c>
      <c r="F9" s="51" t="s">
        <v>167</v>
      </c>
      <c r="G9" s="52" t="s">
        <v>165</v>
      </c>
      <c r="H9" s="53" t="s">
        <v>166</v>
      </c>
      <c r="I9" s="51" t="s">
        <v>167</v>
      </c>
      <c r="J9" s="52" t="s">
        <v>165</v>
      </c>
      <c r="K9" s="129" t="s">
        <v>166</v>
      </c>
      <c r="L9" s="51" t="s">
        <v>167</v>
      </c>
      <c r="M9" s="52" t="s">
        <v>165</v>
      </c>
      <c r="N9" s="129" t="s">
        <v>166</v>
      </c>
      <c r="O9" s="51" t="s">
        <v>167</v>
      </c>
      <c r="P9" s="52" t="s">
        <v>165</v>
      </c>
      <c r="Q9" s="53" t="s">
        <v>166</v>
      </c>
      <c r="R9" s="51" t="s">
        <v>167</v>
      </c>
      <c r="S9" s="52" t="s">
        <v>165</v>
      </c>
      <c r="T9" s="129" t="s">
        <v>166</v>
      </c>
      <c r="U9" s="51" t="s">
        <v>167</v>
      </c>
      <c r="V9" s="52" t="s">
        <v>165</v>
      </c>
      <c r="W9" s="53" t="s">
        <v>166</v>
      </c>
      <c r="X9" s="51" t="s">
        <v>167</v>
      </c>
      <c r="Y9" s="52" t="s">
        <v>165</v>
      </c>
      <c r="Z9" s="53" t="s">
        <v>166</v>
      </c>
      <c r="AA9" s="51" t="s">
        <v>167</v>
      </c>
      <c r="AB9" s="52" t="s">
        <v>165</v>
      </c>
      <c r="AC9" s="53" t="s">
        <v>166</v>
      </c>
      <c r="AD9" s="51" t="s">
        <v>167</v>
      </c>
      <c r="AE9" s="52" t="s">
        <v>165</v>
      </c>
      <c r="AF9" s="53" t="s">
        <v>166</v>
      </c>
      <c r="AG9" s="51" t="s">
        <v>167</v>
      </c>
      <c r="AH9" s="52" t="s">
        <v>165</v>
      </c>
      <c r="AI9" s="129" t="s">
        <v>166</v>
      </c>
      <c r="AJ9" s="52" t="s">
        <v>165</v>
      </c>
      <c r="AK9" s="92"/>
      <c r="AL9" s="124"/>
      <c r="AM9" s="124"/>
      <c r="AN9" s="124"/>
      <c r="AO9" s="124"/>
      <c r="AP9" s="92"/>
      <c r="AQ9" s="92"/>
      <c r="AR9" s="55"/>
      <c r="AS9" s="89"/>
      <c r="AT9" s="110"/>
      <c r="AU9" s="110"/>
      <c r="AV9" s="124"/>
      <c r="AW9" s="124"/>
      <c r="AX9" s="55"/>
      <c r="AY9" s="55"/>
      <c r="AZ9" s="55"/>
      <c r="BA9" s="55"/>
      <c r="BB9" s="90"/>
      <c r="BC9" s="90"/>
      <c r="BD9" s="90"/>
      <c r="BE9" s="90"/>
    </row>
    <row r="10" spans="1:58" x14ac:dyDescent="0.25">
      <c r="B10" s="51" t="s">
        <v>2</v>
      </c>
      <c r="C10" s="51"/>
      <c r="D10" s="52"/>
      <c r="E10" s="129"/>
      <c r="F10" s="51"/>
      <c r="G10" s="52"/>
      <c r="H10" s="53"/>
      <c r="I10" s="51"/>
      <c r="J10" s="52"/>
      <c r="K10" s="129"/>
      <c r="L10" s="51"/>
      <c r="M10" s="52"/>
      <c r="N10" s="129"/>
      <c r="O10" s="51"/>
      <c r="P10" s="52"/>
      <c r="Q10" s="53"/>
      <c r="R10" s="51"/>
      <c r="S10" s="52"/>
      <c r="T10" s="129"/>
      <c r="U10" s="51"/>
      <c r="V10" s="52"/>
      <c r="W10" s="53"/>
      <c r="X10" s="51"/>
      <c r="Y10" s="52"/>
      <c r="Z10" s="53"/>
      <c r="AA10" s="51"/>
      <c r="AB10" s="52"/>
      <c r="AC10" s="53"/>
      <c r="AD10" s="51"/>
      <c r="AE10" s="52"/>
      <c r="AF10" s="53"/>
      <c r="AG10" s="51"/>
      <c r="AH10" s="52"/>
      <c r="AI10" s="129"/>
      <c r="AJ10" s="52"/>
      <c r="AK10" s="93"/>
      <c r="AL10" s="125"/>
      <c r="AM10" s="125"/>
      <c r="AN10" s="125"/>
      <c r="AO10" s="125"/>
      <c r="AP10" s="93"/>
      <c r="AQ10" s="93"/>
      <c r="AR10" s="55"/>
      <c r="AS10" s="89"/>
      <c r="AT10" s="110"/>
      <c r="AU10" s="110"/>
      <c r="AV10" s="125"/>
      <c r="AW10" s="125"/>
      <c r="AX10" s="55"/>
      <c r="AY10" s="55"/>
      <c r="AZ10" s="55"/>
      <c r="BA10" s="55"/>
      <c r="BB10" s="90"/>
      <c r="BC10" s="90"/>
      <c r="BD10" s="90"/>
      <c r="BE10" s="90"/>
    </row>
    <row r="11" spans="1:58" x14ac:dyDescent="0.25">
      <c r="B11" s="51" t="s">
        <v>163</v>
      </c>
      <c r="C11" s="54" t="s">
        <v>171</v>
      </c>
      <c r="D11" s="52"/>
      <c r="E11" s="129"/>
      <c r="F11" s="54" t="s">
        <v>330</v>
      </c>
      <c r="G11" s="52"/>
      <c r="H11" s="53"/>
      <c r="I11" s="54" t="s">
        <v>331</v>
      </c>
      <c r="J11" s="52"/>
      <c r="K11" s="129"/>
      <c r="L11" s="54" t="s">
        <v>332</v>
      </c>
      <c r="M11" s="52"/>
      <c r="N11" s="129"/>
      <c r="O11" s="54" t="s">
        <v>170</v>
      </c>
      <c r="P11" s="52"/>
      <c r="Q11" s="53"/>
      <c r="R11" s="54" t="s">
        <v>334</v>
      </c>
      <c r="S11" s="52"/>
      <c r="T11" s="129"/>
      <c r="U11" s="54" t="s">
        <v>172</v>
      </c>
      <c r="V11" s="52"/>
      <c r="W11" s="53"/>
      <c r="X11" s="54" t="s">
        <v>183</v>
      </c>
      <c r="Y11" s="52"/>
      <c r="Z11" s="53"/>
      <c r="AA11" s="54" t="s">
        <v>186</v>
      </c>
      <c r="AB11" s="52"/>
      <c r="AC11" s="53"/>
      <c r="AD11" s="54" t="s">
        <v>187</v>
      </c>
      <c r="AE11" s="52"/>
      <c r="AF11" s="53"/>
      <c r="AG11" s="54" t="s">
        <v>392</v>
      </c>
      <c r="AH11" s="52"/>
      <c r="AI11" s="129"/>
      <c r="AJ11" s="52" t="s">
        <v>434</v>
      </c>
      <c r="AK11" s="92" t="str">
        <f>J11&amp;"-"&amp;M11&amp;"-"&amp;S11</f>
        <v>--</v>
      </c>
      <c r="AL11" s="124">
        <f>IFERROR(IF(INDEX($AH$11:AH11,MATCH(J11,$D$11:D11,0))="True",1,0),-1)</f>
        <v>-1</v>
      </c>
      <c r="AM11" s="124" t="str">
        <f>IF(AL11=-1,"-1",IF(AL11=1,J11,INDEX($AM$11:AM11,COUNT($AR$11:AR11)-1)))</f>
        <v>-1</v>
      </c>
      <c r="AN11" s="124">
        <f>IF(AL11=-1,-1,IF(AL11=1,M11,INDEX($AN$11:AN11,COUNT($AR$11:AR11)-1)))</f>
        <v>-1</v>
      </c>
      <c r="AO11" s="124" t="str">
        <f>IF(AM11="-1","-1",IF(AM11&lt;&gt;J11,1,0))</f>
        <v>-1</v>
      </c>
      <c r="AP11" s="92">
        <f>IF(COUNT($AR$11:AR11)=MATCH(AK11,$AK$11:AK11,0),1,0)</f>
        <v>1</v>
      </c>
      <c r="AQ11" s="92">
        <f>SUMIFS($AR$11:$AR$700000,$AK$11:$AK$700000,AK11)</f>
        <v>1</v>
      </c>
      <c r="AR11" s="55">
        <v>1</v>
      </c>
      <c r="AS11" s="89" t="str">
        <f>$F$4</f>
        <v>-</v>
      </c>
      <c r="AT11" s="110">
        <f>IF(AS11=AM11,IF(AP11=1,1,0),0)</f>
        <v>0</v>
      </c>
      <c r="AU11" s="110">
        <f>IF(AS11=D11,1,0)</f>
        <v>0</v>
      </c>
      <c r="AV11" s="124">
        <f>SUMIF(J11:$J$700000,D11,AR11:$AR$700000)</f>
        <v>0</v>
      </c>
      <c r="AW11" s="124" t="str">
        <f>IF(AL11=-1,"0",1+INDEX($AW$11:$AW$700000,MATCH(J11,$D$11:$D$700000,0)))</f>
        <v>0</v>
      </c>
      <c r="AX11" s="55">
        <f>SUMIFS($AR$11:$AR$700000,$S$11:$S$700000,S11,$M$11:$M$700000,M11)</f>
        <v>0</v>
      </c>
      <c r="AY11" s="55">
        <f>IF(SUMIFS($AR$11:AR11,$S$11:S11,S11,$M$11:M11,M11)=1,1,0)</f>
        <v>0</v>
      </c>
      <c r="AZ11" s="55">
        <f>IF(AY11=1,1,0)</f>
        <v>0</v>
      </c>
      <c r="BA11" s="55">
        <f>M11</f>
        <v>0</v>
      </c>
      <c r="BB11" s="90"/>
      <c r="BC11" s="90"/>
      <c r="BD11" s="90"/>
      <c r="BE11" s="90"/>
      <c r="BF11" t="s">
        <v>164</v>
      </c>
    </row>
  </sheetData>
  <mergeCells count="12">
    <mergeCell ref="AG8:AI8"/>
    <mergeCell ref="D3:F3"/>
    <mergeCell ref="AA8:AC8"/>
    <mergeCell ref="AD8:AF8"/>
    <mergeCell ref="C8:E8"/>
    <mergeCell ref="F8:H8"/>
    <mergeCell ref="R8:T8"/>
    <mergeCell ref="U8:W8"/>
    <mergeCell ref="X8:Z8"/>
    <mergeCell ref="L8:N8"/>
    <mergeCell ref="O8:Q8"/>
    <mergeCell ref="I8:K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E8B5-0D80-438F-9CBA-ADEC7CDF9F04}">
  <dimension ref="A1:B3"/>
  <sheetViews>
    <sheetView workbookViewId="0">
      <selection activeCell="D13" sqref="D13"/>
    </sheetView>
  </sheetViews>
  <sheetFormatPr defaultRowHeight="15" x14ac:dyDescent="0.25"/>
  <cols>
    <col min="1" max="1" width="19.28515625" customWidth="1"/>
    <col min="2" max="2" width="20.85546875" customWidth="1"/>
  </cols>
  <sheetData>
    <row r="1" spans="1:2" x14ac:dyDescent="0.25">
      <c r="A1" t="s">
        <v>173</v>
      </c>
      <c r="B1" t="s">
        <v>176</v>
      </c>
    </row>
    <row r="2" spans="1:2" x14ac:dyDescent="0.25">
      <c r="A2" t="s">
        <v>174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175</v>
      </c>
      <c r="B3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BD</vt:lpstr>
      <vt:lpstr>BDКаб</vt:lpstr>
      <vt:lpstr>BDKc</vt:lpstr>
      <vt:lpstr>BDUGO</vt:lpstr>
      <vt:lpstr>BDzallcab</vt:lpstr>
      <vt:lpstr>&lt;workbook&gt;SET</vt:lpstr>
      <vt:lpstr>&lt;zalldev&gt;SET</vt:lpstr>
      <vt:lpstr>&lt;zalldev&gt;EXPORT</vt:lpstr>
      <vt:lpstr>&lt;zalldev&gt;TEMPLATEKZ</vt:lpstr>
      <vt:lpstr>&lt;zallcab&gt;SET</vt:lpstr>
      <vt:lpstr>&lt;zallcab&gt;EXPORT</vt:lpstr>
      <vt:lpstr>&lt;zallcab&gt;CALC</vt:lpstr>
      <vt:lpstr>&lt;zallcab&gt;CabZhurnal</vt:lpstr>
      <vt:lpstr>&lt;zlight&gt;SET</vt:lpstr>
      <vt:lpstr>&lt;zlight&gt;TEMP</vt:lpstr>
      <vt:lpstr>&lt;zlight&gt;TEMPGU</vt:lpstr>
      <vt:lpstr>&lt;zlight&gt;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2024-09-16T05:47:03Z</dcterms:modified>
</cp:coreProperties>
</file>