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70D40960-13BC-4E05-9550-50737F4152A5}" xr6:coauthVersionLast="45" xr6:coauthVersionMax="45" xr10:uidLastSave="{00000000-0000-0000-0000-000000000000}"/>
  <bookViews>
    <workbookView xWindow="25725" yWindow="3210" windowWidth="22425" windowHeight="17685" tabRatio="676" firstSheet="3" activeTab="4" xr2:uid="{456AB35E-0355-4F16-B1D8-5CF582B696FE}"/>
  </bookViews>
  <sheets>
    <sheet name="&lt;workbook&gt;SET" sheetId="7" r:id="rId1"/>
    <sheet name="&lt;zall&gt;CABSET" sheetId="15" r:id="rId2"/>
    <sheet name="&lt;zall&gt;CABEXPORT" sheetId="14" r:id="rId3"/>
    <sheet name="&lt;zall&gt;DEVSET" sheetId="16" r:id="rId4"/>
    <sheet name="&lt;zall&gt;DEVEXPORT" sheetId="11" r:id="rId5"/>
    <sheet name="BD" sheetId="4" r:id="rId6"/>
    <sheet name="BDКаб" sheetId="13" r:id="rId7"/>
    <sheet name="BDKc" sheetId="12" r:id="rId8"/>
    <sheet name="&lt;zmain&gt;SET" sheetId="8" r:id="rId9"/>
    <sheet name="&lt;zmain&gt;DEVEXPORT" sheetId="9" r:id="rId10"/>
    <sheet name="&lt;zmain&gt;" sheetId="10" r:id="rId11"/>
    <sheet name="&lt;zlight&gt;SET" sheetId="1" r:id="rId12"/>
    <sheet name="&lt;zlight&gt;TOCAD" sheetId="6" r:id="rId13"/>
    <sheet name="&lt;zlight&gt;" sheetId="3" r:id="rId14"/>
    <sheet name="&lt;zlight&gt;DEVEXPORT" sheetId="2" r:id="rId15"/>
    <sheet name="&lt;zlight&gt;CABEXPORT" sheetId="5" r:id="rId16"/>
  </sheets>
  <calcPr calcId="191029" iterate="1" iterate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10" i="3" l="1"/>
  <c r="AR9" i="3"/>
  <c r="AD5" i="4" l="1"/>
  <c r="AC5" i="4"/>
  <c r="AB5" i="4"/>
  <c r="AN5" i="4"/>
  <c r="AM5" i="4"/>
  <c r="AL5" i="4"/>
  <c r="R5" i="4" l="1"/>
  <c r="S5" i="4"/>
  <c r="T5" i="4"/>
  <c r="U5" i="4"/>
  <c r="DY24" i="3" l="1"/>
  <c r="DD22" i="3" l="1"/>
  <c r="CZ22" i="3"/>
  <c r="CV22" i="3"/>
  <c r="H14" i="3" l="1"/>
  <c r="CZ24" i="3" l="1"/>
  <c r="BV24" i="3" l="1"/>
  <c r="CF24" i="3" s="1"/>
  <c r="CG24" i="3" s="1"/>
  <c r="U11" i="2"/>
  <c r="BZ24" i="3" s="1"/>
  <c r="CH24" i="3" s="1"/>
  <c r="T11" i="2"/>
  <c r="BY24" i="3" s="1"/>
  <c r="CI24" i="3"/>
  <c r="CA24" i="3" l="1"/>
  <c r="CD24" i="3"/>
  <c r="CE24" i="3"/>
  <c r="DF24" i="3" s="1"/>
  <c r="BX24" i="3"/>
  <c r="CJ24" i="3" s="1"/>
  <c r="CB24" i="3"/>
  <c r="CC24" i="3" s="1"/>
  <c r="R11" i="2"/>
  <c r="S11" i="2" s="1"/>
  <c r="Q11" i="2"/>
  <c r="P11" i="2"/>
  <c r="CL24" i="3" l="1"/>
  <c r="CO24" i="3" s="1"/>
  <c r="K24" i="3"/>
  <c r="J24" i="3"/>
  <c r="CK24" i="3" s="1"/>
  <c r="L24" i="3"/>
  <c r="H1" i="3" l="1"/>
  <c r="G1" i="3"/>
  <c r="F1" i="3"/>
  <c r="D1" i="3" l="1"/>
  <c r="H5" i="3"/>
  <c r="CT22" i="3" s="1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H63" i="4"/>
  <c r="G65" i="4"/>
  <c r="G67" i="4"/>
  <c r="H61" i="4" l="1"/>
  <c r="R12" i="13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L11" i="2" l="1"/>
  <c r="C5" i="4"/>
  <c r="C4" i="4"/>
  <c r="D24" i="3"/>
  <c r="AJ24" i="3" s="1"/>
  <c r="DR24" i="3" s="1"/>
  <c r="E9" i="12"/>
  <c r="E7" i="12"/>
  <c r="E5" i="12"/>
  <c r="E3" i="12"/>
  <c r="E24" i="3" l="1"/>
  <c r="AX24" i="3" s="1"/>
  <c r="G24" i="3"/>
  <c r="AR24" i="3"/>
  <c r="AH24" i="3"/>
  <c r="F24" i="3"/>
  <c r="AY24" i="3" s="1"/>
  <c r="P5" i="11"/>
  <c r="Q5" i="11" s="1"/>
  <c r="O5" i="11"/>
  <c r="N5" i="11"/>
  <c r="J5" i="11"/>
  <c r="BF24" i="3" l="1"/>
  <c r="BC24" i="3"/>
  <c r="AI24" i="3"/>
  <c r="AO24" i="3"/>
  <c r="AM24" i="3"/>
  <c r="AL24" i="3"/>
  <c r="DZ24" i="3" s="1"/>
  <c r="AN24" i="3"/>
  <c r="BR24" i="3"/>
  <c r="BP24" i="3"/>
  <c r="BQ24" i="3"/>
  <c r="BK24" i="3"/>
  <c r="BI24" i="3"/>
  <c r="R5" i="11"/>
  <c r="U5" i="11"/>
  <c r="Z24" i="3"/>
  <c r="O24" i="3"/>
  <c r="BW24" i="3"/>
  <c r="S24" i="3" l="1"/>
  <c r="Q24" i="3"/>
  <c r="CT24" i="3" s="1"/>
  <c r="P24" i="3"/>
  <c r="AD8" i="6"/>
  <c r="S5" i="11"/>
  <c r="V5" i="11" s="1"/>
  <c r="X5" i="11" s="1"/>
  <c r="Y5" i="11" s="1"/>
  <c r="E8" i="6"/>
  <c r="BB24" i="3" l="1"/>
  <c r="DP24" i="3"/>
  <c r="BJ24" i="3"/>
  <c r="AP24" i="3"/>
  <c r="T5" i="11"/>
  <c r="W5" i="11" s="1"/>
  <c r="L5" i="5" l="1"/>
  <c r="N5" i="5" s="1"/>
  <c r="K5" i="5"/>
  <c r="J5" i="5"/>
  <c r="M5" i="5" l="1"/>
  <c r="V24" i="3" l="1"/>
  <c r="W24" i="3" l="1"/>
  <c r="DJ24" i="3" s="1"/>
  <c r="R24" i="3" l="1"/>
  <c r="DL24" i="3" s="1"/>
  <c r="X8" i="6"/>
  <c r="AC24" i="3" l="1"/>
  <c r="T5" i="3" s="1"/>
  <c r="CX22" i="3" s="1"/>
  <c r="U24" i="3"/>
  <c r="AF24" i="3" s="1"/>
  <c r="T24" i="3"/>
  <c r="DN24" i="3" s="1"/>
  <c r="H8" i="6"/>
  <c r="J8" i="6"/>
  <c r="Z8" i="6"/>
  <c r="T6" i="3" l="1"/>
  <c r="AB24" i="3"/>
  <c r="AE24" i="3" s="1"/>
  <c r="AG24" i="3"/>
  <c r="AB8" i="6"/>
  <c r="BO24" i="3"/>
  <c r="T15" i="3" l="1"/>
  <c r="DF22" i="3" s="1"/>
  <c r="T7" i="3"/>
  <c r="AZ24" i="3"/>
  <c r="BA24" i="3" s="1"/>
  <c r="BD24" i="3" s="1"/>
  <c r="DB22" i="3"/>
  <c r="E1" i="3"/>
  <c r="BU24" i="3"/>
  <c r="AS24" i="3"/>
  <c r="L8" i="6"/>
  <c r="T8" i="6"/>
  <c r="AW24" i="3"/>
  <c r="BE24" i="3"/>
  <c r="AV24" i="3"/>
  <c r="BT24" i="3"/>
  <c r="BS24" i="3"/>
  <c r="BH24" i="3" l="1"/>
  <c r="ER24" i="3"/>
  <c r="I24" i="3"/>
  <c r="EK24" i="3" s="1"/>
  <c r="EN24" i="3" s="1"/>
  <c r="BN24" i="3"/>
  <c r="V8" i="6"/>
  <c r="BM24" i="3"/>
  <c r="BL24" i="3"/>
  <c r="EL24" i="3" l="1"/>
  <c r="EM24" i="3"/>
  <c r="EI24" i="3"/>
  <c r="ES24" i="3"/>
  <c r="AQ24" i="3"/>
  <c r="AD24" i="3"/>
  <c r="AK24" i="3" l="1"/>
  <c r="M24" i="3" s="1"/>
  <c r="H24" i="3"/>
  <c r="EB24" i="3" s="1"/>
  <c r="EE24" i="3" s="1"/>
  <c r="DX24" i="3" l="1"/>
  <c r="EC24" i="3"/>
  <c r="ED24" i="3"/>
  <c r="EJ24" i="3"/>
  <c r="DD24" i="3"/>
  <c r="DH24" i="3" s="1"/>
  <c r="CV24" i="3"/>
  <c r="CX24" i="3" s="1"/>
  <c r="DB2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>SNARK</author>
  </authors>
  <commentList>
    <comment ref="D1" authorId="0" shapeId="0" xr:uid="{1CD4CEE3-1DEA-4947-BDF2-1AD018CA23CD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694B897E-D29C-45E9-AD20-D57B4567E616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C77D1FBC-E65F-4D22-B408-E0ABBD272EA8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E695F98B-2B79-4F90-B8AF-9E2FABF6486F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60FF3371-0D53-4ECA-87FF-5CF7DF04C976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BV21" authorId="0" shapeId="0" xr:uid="{09858284-5840-42A9-A542-B1DD3A3B8A38}">
      <text>
        <r>
          <rPr>
            <b/>
            <sz val="9"/>
            <color indexed="81"/>
            <rFont val="Tahoma"/>
            <family val="2"/>
            <charset val="204"/>
          </rPr>
          <t>Группа в ГУ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W21" authorId="0" shapeId="0" xr:uid="{7F37EF21-5253-4F25-93B3-54D3D4A62710}">
      <text>
        <r>
          <rPr>
            <b/>
            <sz val="9"/>
            <color indexed="81"/>
            <rFont val="Tahoma"/>
            <family val="2"/>
            <charset val="204"/>
          </rPr>
          <t>Если ошибка значит это не ГУ.
Если ошибки нет, значит существует ГУ с таким именем и данные будут браться от туда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X21" authorId="0" shapeId="0" xr:uid="{A80E2F67-FD5C-4C25-B0F0-67DAF9D3CCD3}">
      <text>
        <r>
          <rPr>
            <b/>
            <sz val="9"/>
            <color indexed="81"/>
            <rFont val="Tahoma"/>
            <family val="2"/>
            <charset val="204"/>
          </rPr>
          <t>Номер строки, для удобства смотреть предыдущую</t>
        </r>
      </text>
    </comment>
    <comment ref="BY21" authorId="0" shapeId="0" xr:uid="{B5075101-A280-471A-AE4B-29E87B163163}">
      <text>
        <r>
          <rPr>
            <b/>
            <sz val="9"/>
            <color indexed="81"/>
            <rFont val="Tahoma"/>
            <family val="2"/>
            <charset val="204"/>
          </rPr>
          <t xml:space="preserve">Я узел управления
1 - узел управления
- - не узел управления
</t>
        </r>
      </text>
    </comment>
    <comment ref="BZ21" authorId="0" shapeId="0" xr:uid="{89391925-9394-402D-839F-08DD073A50BB}">
      <text>
        <r>
          <rPr>
            <b/>
            <sz val="9"/>
            <color indexed="81"/>
            <rFont val="Tahoma"/>
            <family val="2"/>
            <charset val="204"/>
          </rPr>
          <t>Если "Имя" - значит узел управления
если 0 - значет просто устройство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A21" authorId="0" shapeId="0" xr:uid="{96335A93-A431-4967-98ED-95819F0DD46E}">
      <text>
        <r>
          <rPr>
            <b/>
            <sz val="9"/>
            <color indexed="81"/>
            <rFont val="Tahoma"/>
            <family val="2"/>
            <charset val="204"/>
          </rPr>
          <t>Группа в узле управления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B21" authorId="0" shapeId="0" xr:uid="{6ACE6DB7-F638-4F68-B68D-94673183A0CA}">
      <text>
        <r>
          <rPr>
            <b/>
            <sz val="9"/>
            <color indexed="81"/>
            <rFont val="Tahoma"/>
            <family val="2"/>
            <charset val="204"/>
          </rPr>
          <t>Определяем есть ли группирование ниже в автоматах</t>
        </r>
      </text>
    </comment>
    <comment ref="CC21" authorId="0" shapeId="0" xr:uid="{6B4F71A2-462E-469D-916E-AD1AC47A85C5}">
      <text>
        <r>
          <rPr>
            <b/>
            <sz val="9"/>
            <color indexed="81"/>
            <rFont val="Tahoma"/>
            <family val="2"/>
            <charset val="204"/>
          </rPr>
          <t>Определяем подключение автоматов внутри распределительного щита</t>
        </r>
      </text>
    </comment>
    <comment ref="CD21" authorId="0" shapeId="0" xr:uid="{12617574-C341-4EA4-B1C5-9114C82F8751}">
      <text>
        <r>
          <rPr>
            <b/>
            <sz val="9"/>
            <color indexed="81"/>
            <rFont val="Tahoma"/>
            <family val="2"/>
            <charset val="204"/>
          </rPr>
          <t>Передо мной УУ</t>
        </r>
      </text>
    </comment>
    <comment ref="CE21" authorId="0" shapeId="0" xr:uid="{D7C9A58D-B174-41F6-85A0-368F70EF7747}">
      <text>
        <r>
          <rPr>
            <b/>
            <sz val="9"/>
            <color indexed="81"/>
            <rFont val="Tahoma"/>
            <family val="2"/>
            <charset val="204"/>
          </rPr>
          <t>После меня УУ</t>
        </r>
      </text>
    </comment>
    <comment ref="CF21" authorId="0" shapeId="0" xr:uid="{6BDDBBFE-9587-4544-B76A-F1E87E1F96F6}">
      <text>
        <r>
          <rPr>
            <b/>
            <sz val="9"/>
            <color indexed="81"/>
            <rFont val="Tahoma"/>
            <family val="2"/>
            <charset val="204"/>
          </rPr>
          <t>Строка изменения глобальный группы для построение гибкой системы поиска. ВАЖНО</t>
        </r>
      </text>
    </comment>
    <comment ref="CH21" authorId="0" shapeId="0" xr:uid="{D6F624EE-4643-407B-B64A-D993E6A26A3C}">
      <text>
        <r>
          <rPr>
            <b/>
            <sz val="9"/>
            <color indexed="81"/>
            <rFont val="Tahoma"/>
            <family val="2"/>
            <charset val="204"/>
          </rPr>
          <t>Внутри щита управления есть ящики управления
 1 - есть
 0 - нет</t>
        </r>
      </text>
    </comment>
    <comment ref="CI21" authorId="0" shapeId="0" xr:uid="{6BE982A4-3193-4C4B-9E16-AA029257111D}">
      <text>
        <r>
          <rPr>
            <b/>
            <sz val="9"/>
            <color indexed="81"/>
            <rFont val="Tahoma"/>
            <family val="2"/>
            <charset val="204"/>
          </rPr>
          <t xml:space="preserve">ЕСТЬ продолжение главной группы:
</t>
        </r>
      </text>
    </comment>
    <comment ref="CJ21" authorId="0" shapeId="0" xr:uid="{E0D83316-21EC-4DE0-B39D-5A91F5A99E56}">
      <text>
        <r>
          <rPr>
            <b/>
            <sz val="9"/>
            <color indexed="81"/>
            <rFont val="Tahoma"/>
            <family val="2"/>
            <charset val="204"/>
          </rPr>
          <t>Настоящее устройство ипредыдущее лежит в одной группе глоабльной или УУ</t>
        </r>
      </text>
    </comment>
    <comment ref="CK21" authorId="0" shapeId="0" xr:uid="{41D1C052-5BDE-4389-A110-0292426D615D}">
      <text>
        <r>
          <rPr>
            <b/>
            <sz val="9"/>
            <color indexed="81"/>
            <rFont val="Tahoma"/>
            <family val="2"/>
            <charset val="204"/>
          </rPr>
          <t>номер уровень подключения устройства для 2стартового элемента</t>
        </r>
      </text>
    </comment>
    <comment ref="CL21" authorId="0" shapeId="0" xr:uid="{D6994F2C-50E3-46A6-9BFB-701DDE8FD12C}">
      <text>
        <r>
          <rPr>
            <b/>
            <sz val="9"/>
            <color indexed="81"/>
            <rFont val="Tahoma"/>
            <family val="2"/>
            <charset val="204"/>
          </rPr>
          <t>Смещение вставки по X</t>
        </r>
      </text>
    </comment>
    <comment ref="E22" authorId="0" shapeId="0" xr:uid="{0BC984E3-2973-41E6-BE59-4921EFAF97F9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2" authorId="0" shapeId="0" xr:uid="{F345D179-9663-48BA-9BE6-7BE3EC7A21DF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2" authorId="0" shapeId="0" xr:uid="{6A729449-22FC-4B38-B9F2-A6AB756BB9F5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2" authorId="0" shapeId="0" xr:uid="{5813DE4B-2566-43B2-A73B-75DD9930E58C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2" authorId="0" shapeId="0" xr:uid="{81645F97-4980-4557-A0BC-9405209C4DE7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J22" authorId="0" shapeId="0" xr:uid="{4C2FE76F-C1DA-480E-8EC3-8DD17627A7EC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O23" authorId="0" shapeId="0" xr:uid="{00FCC0AD-7E46-4762-92CD-0E4CBAD4543D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R23" authorId="0" shapeId="0" xr:uid="{B4B7960E-C062-49B4-BFAC-269C2B0A6D8D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V23" authorId="0" shapeId="0" xr:uid="{9D7D937C-D78D-4FAB-BB0D-ECFDC5A2D7B9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W23" authorId="0" shapeId="0" xr:uid="{290CFE81-963E-4C0E-9F64-A19D228B64F4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X23" authorId="0" shapeId="0" xr:uid="{BF15D171-8265-4117-B054-9C2DAA60676F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Y23" authorId="0" shapeId="0" xr:uid="{6D8DE6B7-356B-45FA-9B2C-979078721D74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Z23" authorId="1" shapeId="0" xr:uid="{4AA5950D-F625-4EFB-A509-8593DE2D0E3F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A23" authorId="0" shapeId="0" xr:uid="{325FAEAA-6E43-4BF0-BAC4-08CCAB289780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H23" authorId="0" shapeId="0" xr:uid="{1BE7EC3D-2B88-4327-9CC0-673231908086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M23" authorId="0" shapeId="0" xr:uid="{8E56D884-8B3F-4299-8DEB-CE4AF062EBC8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N23" authorId="0" shapeId="0" xr:uid="{B284B848-7E79-41AE-B078-E30927A7E50E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O23" authorId="0" shapeId="0" xr:uid="{4478D9B3-1BE7-44B5-A15D-95F4DF64A9E6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Q23" authorId="0" shapeId="0" xr:uid="{96EEF00E-6724-4942-B325-ED65329D86B5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AX23" authorId="0" shapeId="0" xr:uid="{B1C54C53-A790-43D2-A089-C5677B9DFBFA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AY23" authorId="0" shapeId="0" xr:uid="{DE206410-8E6D-46AF-A7B2-40A09C57B5DE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BA23" authorId="0" shapeId="0" xr:uid="{8EDE95D7-1143-4F4B-A25E-5598F79D1B5B}">
      <text>
        <r>
          <rPr>
            <b/>
            <sz val="9"/>
            <color indexed="81"/>
            <rFont val="Tahoma"/>
            <family val="2"/>
            <charset val="204"/>
          </rPr>
          <t>Когда группируются токи</t>
        </r>
      </text>
    </comment>
    <comment ref="BC23" authorId="0" shapeId="0" xr:uid="{55E5A11B-07C7-46F5-AD2B-FC925F03F880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</commentList>
</comments>
</file>

<file path=xl/sharedStrings.xml><?xml version="1.0" encoding="utf-8"?>
<sst xmlns="http://schemas.openxmlformats.org/spreadsheetml/2006/main" count="793" uniqueCount="403">
  <si>
    <t>&lt;zlight&gt;DEVEXPORT</t>
  </si>
  <si>
    <t>&lt;zlight&gt;</t>
  </si>
  <si>
    <t>&lt;zimportdev&gt;</t>
  </si>
  <si>
    <t>&lt;/zimportdev&gt;</t>
  </si>
  <si>
    <t>Power</t>
  </si>
  <si>
    <t>GC_HeadDevice</t>
  </si>
  <si>
    <t>GC_HDGroup</t>
  </si>
  <si>
    <t>Имя ГУ</t>
  </si>
  <si>
    <t>Группа в ГУ</t>
  </si>
  <si>
    <t>NMO_Name</t>
  </si>
  <si>
    <t>Имя устройства</t>
  </si>
  <si>
    <t>Мощность</t>
  </si>
  <si>
    <t>&lt;/zcopyrow&gt;</t>
  </si>
  <si>
    <t>Базовое имя</t>
  </si>
  <si>
    <t>Еденица устройства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</si>
  <si>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</si>
  <si>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</si>
  <si>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еденицу</t>
  </si>
  <si>
    <t>Системная ячейка, которая говорит о копировании</t>
  </si>
  <si>
    <t>системная строка и колонка</t>
  </si>
  <si>
    <t>Коэффициент мощности cosf</t>
  </si>
  <si>
    <t>tgf</t>
  </si>
  <si>
    <t>Напряжение питания</t>
  </si>
  <si>
    <t>Фаза</t>
  </si>
  <si>
    <t>CosPHI</t>
  </si>
  <si>
    <t>Voltage</t>
  </si>
  <si>
    <t>Phase</t>
  </si>
  <si>
    <t>Сумма Рр мощности для коллекции устройств</t>
  </si>
  <si>
    <t>Общая мощность Рр на группу в ГУ</t>
  </si>
  <si>
    <t>Сумма Qр реактивная мощность для коллекции устройств</t>
  </si>
  <si>
    <t>Сумма Sр полная мощность для коллекции устройств</t>
  </si>
  <si>
    <t>Сумма Qр реактивная мощность на группу ГУ</t>
  </si>
  <si>
    <t>Сумма Sр реактивная мощность на группу ГУ</t>
  </si>
  <si>
    <t>tgf группы</t>
  </si>
  <si>
    <t>Cosf группы</t>
  </si>
  <si>
    <t>Напряжение к расчетам</t>
  </si>
  <si>
    <t>Un, 
V</t>
  </si>
  <si>
    <t>Pi,
kW</t>
  </si>
  <si>
    <t>Ni</t>
  </si>
  <si>
    <t>Pni, 
kW</t>
  </si>
  <si>
    <t>Ini, 
A</t>
  </si>
  <si>
    <t>Кс</t>
  </si>
  <si>
    <t>Cos φ</t>
  </si>
  <si>
    <t>Qm, 
kvar</t>
  </si>
  <si>
    <t>Qp, 
kvar</t>
  </si>
  <si>
    <t>Sp, 
kVA</t>
  </si>
  <si>
    <t>Ip, 
A</t>
  </si>
  <si>
    <t>_AC_380V_50Hz</t>
  </si>
  <si>
    <t>_AC_220V_50Hz</t>
  </si>
  <si>
    <t>Нагрузка на группу</t>
  </si>
  <si>
    <t>&lt;zimportcab&gt;</t>
  </si>
  <si>
    <t>&lt;/zimportcab&gt;</t>
  </si>
  <si>
    <t>CABLE_MountingMethod</t>
  </si>
  <si>
    <t>AmountD</t>
  </si>
  <si>
    <t>Ед. устройства</t>
  </si>
  <si>
    <t>Cумма устройств если совпадает имя</t>
  </si>
  <si>
    <t>Длина, м</t>
  </si>
  <si>
    <t>&lt;zcopyrow targetsheet="&lt;zlight&gt;" targetcodename="zimporttozcad" keynumcol="35"&gt;</t>
  </si>
  <si>
    <t>&lt;/zinsertblock&gt;</t>
  </si>
  <si>
    <t>&lt;zinsertblock&gt;</t>
  </si>
  <si>
    <t>nameblock</t>
  </si>
  <si>
    <t>movex</t>
  </si>
  <si>
    <t>movey</t>
  </si>
  <si>
    <t>DEVICE_EL_VL_SCHEMA2_2</t>
  </si>
  <si>
    <t>DEVICE_EL_VL_SCHEMA2_1</t>
  </si>
  <si>
    <t>EL_VL_SCHEMA2_0</t>
  </si>
  <si>
    <t>T1</t>
  </si>
  <si>
    <t>T2</t>
  </si>
  <si>
    <t>T3</t>
  </si>
  <si>
    <t>T4</t>
  </si>
  <si>
    <t>T5</t>
  </si>
  <si>
    <t>T6</t>
  </si>
  <si>
    <t>Position</t>
  </si>
  <si>
    <t>T11</t>
  </si>
  <si>
    <t>T10</t>
  </si>
  <si>
    <t>T14</t>
  </si>
  <si>
    <t>T15</t>
  </si>
  <si>
    <t>T16</t>
  </si>
  <si>
    <t>realnamedev</t>
  </si>
  <si>
    <t>Реальное имя</t>
  </si>
  <si>
    <t>T17</t>
  </si>
  <si>
    <t>T26</t>
  </si>
  <si>
    <t>T27</t>
  </si>
  <si>
    <t>BOOLEAN_1</t>
  </si>
  <si>
    <t>BOOLEAN_0</t>
  </si>
  <si>
    <t>T31</t>
  </si>
  <si>
    <t>INTEGER_2</t>
  </si>
  <si>
    <t>suffix</t>
  </si>
  <si>
    <t>hide</t>
  </si>
  <si>
    <t>ГРЩ</t>
  </si>
  <si>
    <t>&lt;zmain&gt;DEVEXPORT</t>
  </si>
  <si>
    <t>&lt;zmain&gt;</t>
  </si>
  <si>
    <t>CABEXPORT</t>
  </si>
  <si>
    <t>&lt;workbook&gt;</t>
  </si>
  <si>
    <t>&lt;zall&gt;</t>
  </si>
  <si>
    <t>&lt;zimportrootdev&gt;</t>
  </si>
  <si>
    <t>&lt;/zimportrootdev&gt;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</si>
  <si>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</si>
  <si>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</si>
  <si>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</si>
  <si>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</si>
  <si>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</si>
  <si>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</si>
  <si>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</si>
  <si>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</si>
  <si>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</si>
  <si>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</si>
  <si>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</si>
  <si>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Имя фидера</t>
  </si>
  <si>
    <t>Имя группы устройства</t>
  </si>
  <si>
    <t>_ABC</t>
  </si>
  <si>
    <t>_A</t>
  </si>
  <si>
    <t>_B</t>
  </si>
  <si>
    <t>_C</t>
  </si>
  <si>
    <t>ABC</t>
  </si>
  <si>
    <t>A</t>
  </si>
  <si>
    <t>B</t>
  </si>
  <si>
    <t>C</t>
  </si>
  <si>
    <t>Cosφ гр.</t>
  </si>
  <si>
    <t>Кс гр.</t>
  </si>
  <si>
    <t>Pр, 
kW</t>
  </si>
  <si>
    <t>Имя/поз. устр.</t>
  </si>
  <si>
    <t>СИСТЕМНЫЕ ЯЧЕЙКИ</t>
  </si>
  <si>
    <t>Нагрузка на одну позицию устройств</t>
  </si>
  <si>
    <t>табл.7.1п.1.1</t>
  </si>
  <si>
    <t>табл.7.1п.1.2</t>
  </si>
  <si>
    <t>табл.7.1п.1.3</t>
  </si>
  <si>
    <t>табл.7.1п.2</t>
  </si>
  <si>
    <t>Пункт СП256 Кс</t>
  </si>
  <si>
    <t>Данные по кабелю</t>
  </si>
  <si>
    <t>Полное имя фидера</t>
  </si>
  <si>
    <t>Мате- риал</t>
  </si>
  <si>
    <t>Кол-во жил</t>
  </si>
  <si>
    <t>Марка кабеля</t>
  </si>
  <si>
    <t>Полное имя кабеля</t>
  </si>
  <si>
    <t>Сечение, мм²</t>
  </si>
  <si>
    <t>Жильность</t>
  </si>
  <si>
    <t>Место</t>
  </si>
  <si>
    <t>Допустимые токовые нагрузки и удельные сопротивления жил для кабелей с изоляцией из ПВХ и полиэтилена</t>
  </si>
  <si>
    <t>ΔU, %</t>
  </si>
  <si>
    <t>ΔU max, %</t>
  </si>
  <si>
    <t>Zmax, Ом/км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</si>
  <si>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</si>
  <si>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</si>
  <si>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</si>
  <si>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</si>
  <si>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</si>
  <si>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</si>
  <si>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</si>
  <si>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</si>
  <si>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</si>
  <si>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</si>
  <si>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</si>
  <si>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</si>
  <si>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</si>
  <si>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</si>
  <si>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</si>
  <si>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</si>
  <si>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</si>
  <si>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</si>
  <si>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</si>
  <si>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</si>
  <si>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</si>
  <si>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</si>
  <si>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</si>
  <si>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</si>
  <si>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</si>
  <si>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</si>
  <si>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</si>
  <si>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</si>
  <si>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</si>
  <si>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</si>
  <si>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</si>
  <si>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</si>
  <si>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</si>
  <si>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</si>
  <si>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Сечение провод макс</t>
  </si>
  <si>
    <t>Сечение провод мин</t>
  </si>
  <si>
    <t>Сечение провод Iддт</t>
  </si>
  <si>
    <t>Сечение провод ΔUmax</t>
  </si>
  <si>
    <t>Характеристика</t>
  </si>
  <si>
    <t xml:space="preserve">Коэф. запаса по току </t>
  </si>
  <si>
    <t>ВА47-60М</t>
  </si>
  <si>
    <t>Кол-во полюсов</t>
  </si>
  <si>
    <t>Рубильник</t>
  </si>
  <si>
    <t>ВН-32</t>
  </si>
  <si>
    <t>1-й уровень схемы</t>
  </si>
  <si>
    <t>Объеденены в одну группу</t>
  </si>
  <si>
    <t>2-й уровень схемы</t>
  </si>
  <si>
    <t xml:space="preserve">ПОЛУЧЕНО.1-й уровень схемы </t>
  </si>
  <si>
    <t xml:space="preserve">ПОЛУЧЕНО.2-й уровень схемы 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</si>
  <si>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</si>
  <si>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</si>
  <si>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</si>
  <si>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</si>
  <si>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</si>
  <si>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</si>
  <si>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</si>
  <si>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</si>
  <si>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</si>
  <si>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</si>
  <si>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</si>
  <si>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</si>
  <si>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</si>
  <si>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</si>
  <si>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</si>
  <si>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</si>
  <si>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</si>
  <si>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</si>
  <si>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</si>
  <si>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</si>
  <si>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</si>
  <si>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</si>
  <si>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</si>
  <si>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</si>
  <si>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</si>
  <si>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Марка</t>
  </si>
  <si>
    <t>Обозначение</t>
  </si>
  <si>
    <t>1-й уровню схемы данные</t>
  </si>
  <si>
    <t>Параметры</t>
  </si>
  <si>
    <t>Ток утечки, мА</t>
  </si>
  <si>
    <t>Ток, А</t>
  </si>
  <si>
    <t>АВО</t>
  </si>
  <si>
    <t>АВМ</t>
  </si>
  <si>
    <t>АВП</t>
  </si>
  <si>
    <t>QF</t>
  </si>
  <si>
    <t>2-й уровню схемы данные</t>
  </si>
  <si>
    <t>АВДТО</t>
  </si>
  <si>
    <t>АВДТМ</t>
  </si>
  <si>
    <t>АВДТП</t>
  </si>
  <si>
    <t>АВДТ32EM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</si>
  <si>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</si>
  <si>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</si>
  <si>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</si>
  <si>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</si>
  <si>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</si>
  <si>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</si>
  <si>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</si>
  <si>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</si>
  <si>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</si>
  <si>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</si>
  <si>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</si>
  <si>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</si>
  <si>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</si>
  <si>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</si>
  <si>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</si>
  <si>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</si>
  <si>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</si>
  <si>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</si>
  <si>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</si>
  <si>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</si>
  <si>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</si>
  <si>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</si>
  <si>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</si>
  <si>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</si>
  <si>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</si>
  <si>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</si>
  <si>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</si>
  <si>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</si>
  <si>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</si>
  <si>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</si>
  <si>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</si>
  <si>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</si>
  <si>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</si>
  <si>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</si>
  <si>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</si>
  <si>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</si>
  <si>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</si>
  <si>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</si>
  <si>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NAME_BLOCK</t>
  </si>
  <si>
    <t>MOVE_X</t>
  </si>
  <si>
    <t>MOVE_Y</t>
  </si>
  <si>
    <t>SCALE_X</t>
  </si>
  <si>
    <t>SCALE_Y</t>
  </si>
  <si>
    <t>Позиция по ТХ</t>
  </si>
  <si>
    <t>Имя узла управления</t>
  </si>
  <si>
    <t>Группа в узле управления</t>
  </si>
  <si>
    <t>SLCABAGEN1_ControlUnitName</t>
  </si>
  <si>
    <t>SLCABAGEN1_NGControlUnit</t>
  </si>
  <si>
    <t>&lt;zcopyrow targetsheet="&lt;zlight&gt;DEVEXPORT" targetcodename="zimportdev" keynumcol="19"&gt;</t>
  </si>
  <si>
    <t>ВАЖНО! Определение я узел управления</t>
  </si>
  <si>
    <t>Данные распределительного устройства</t>
  </si>
  <si>
    <t>Аппарат на вводе распределительного</t>
  </si>
  <si>
    <t>Данные об итоговых значения нагрузок распред.</t>
  </si>
  <si>
    <t>Распред. устройство</t>
  </si>
  <si>
    <t>Тип аппарата</t>
  </si>
  <si>
    <t>ВМ63-4С</t>
  </si>
  <si>
    <t>Установленная полная мощность, кВА</t>
  </si>
  <si>
    <t>Марка оболочки щита</t>
  </si>
  <si>
    <t>ЩРН-12</t>
  </si>
  <si>
    <t>Номинальный ток, А</t>
  </si>
  <si>
    <t>Расчетная полная мощность, кВт</t>
  </si>
  <si>
    <t>Артикул/код щита</t>
  </si>
  <si>
    <t>Уставка расцепителя,А</t>
  </si>
  <si>
    <t>Ток от установленной мощности, А</t>
  </si>
  <si>
    <t>Способ монтажа</t>
  </si>
  <si>
    <t>Навесное</t>
  </si>
  <si>
    <t>Предел коммутац. стойкость,кА</t>
  </si>
  <si>
    <t>Расчетный ток от эквивалент. группы      3-х фаз с суммарной мощностью однофазных, А</t>
  </si>
  <si>
    <t>Степень защиты оболочки</t>
  </si>
  <si>
    <t>IP54</t>
  </si>
  <si>
    <t>Тип защитной характеристики</t>
  </si>
  <si>
    <t>С</t>
  </si>
  <si>
    <t>Место установки щита</t>
  </si>
  <si>
    <t>Кол. откл полюсов</t>
  </si>
  <si>
    <t>Количество фаз питания</t>
  </si>
  <si>
    <t>Уставка дифференц. тока, мА</t>
  </si>
  <si>
    <t>100мА</t>
  </si>
  <si>
    <t>Коэффициент спроса</t>
  </si>
  <si>
    <t>Тип питающей сити</t>
  </si>
  <si>
    <t>TN-C-S (~220/380B, 3L,N,PE)</t>
  </si>
  <si>
    <t>QF1</t>
  </si>
  <si>
    <t>Ток от установл. мощности фазы A, А</t>
  </si>
  <si>
    <t>Электропитание осуществ. от</t>
  </si>
  <si>
    <t>Ток от установл. мощности фазы B, А</t>
  </si>
  <si>
    <t>Кол-во модулей по 18мм</t>
  </si>
  <si>
    <t>Ток от установл. мощности фазы С, А</t>
  </si>
  <si>
    <t>Коэффициент мощности, cosf</t>
  </si>
  <si>
    <t>АВС</t>
  </si>
  <si>
    <t>Напряжение питания щита, В</t>
  </si>
  <si>
    <t>&lt;zallcabimport&gt;</t>
  </si>
  <si>
    <t>&lt;/zallcabimport&gt;</t>
  </si>
  <si>
    <t>ВАЖНО! Истинная группа распределительного щита подклчения</t>
  </si>
  <si>
    <t>ВАЖНО! Подключено ли устройство к УУ</t>
  </si>
  <si>
    <t>Момент изменения глобальной группы</t>
  </si>
  <si>
    <t>Ур подключения</t>
  </si>
  <si>
    <t>0 ур</t>
  </si>
  <si>
    <t>1 ур</t>
  </si>
  <si>
    <t>2 ур</t>
  </si>
  <si>
    <t>Сумм групп ток ,А</t>
  </si>
  <si>
    <t>Имя прокладываемого кабеля</t>
  </si>
  <si>
    <t>VSCHEMA_PANEL_SIDE</t>
  </si>
  <si>
    <t>DEVICE_VSCHEMA_PANEL_IN</t>
  </si>
  <si>
    <t>DEVICE_VSCHEMA_PANEL_OUT</t>
  </si>
  <si>
    <t>VSCHEMAPhase3</t>
  </si>
  <si>
    <t>VSCHEMALevel0start</t>
  </si>
  <si>
    <t>VSCHEMALevel1start</t>
  </si>
  <si>
    <t>VSCHEMALevel1continue</t>
  </si>
  <si>
    <t>VSCHEMALevel1finish</t>
  </si>
  <si>
    <t>VSCHEMALevel2start</t>
  </si>
  <si>
    <t>VSCHEMALevel2continue</t>
  </si>
  <si>
    <t>VSCHEMALevel2finish</t>
  </si>
  <si>
    <t>VSCHEMADevpos</t>
  </si>
  <si>
    <t>NMO_BaseName</t>
  </si>
  <si>
    <t>VSCHEMADevpower</t>
  </si>
  <si>
    <t>VSCHEMADevamperage</t>
  </si>
  <si>
    <t>VSCHEMADevname</t>
  </si>
  <si>
    <t>VSCHEMAShieldpos</t>
  </si>
  <si>
    <t>VSCHEMAShieldname</t>
  </si>
  <si>
    <t>VSCHEMAPy</t>
  </si>
  <si>
    <t>VSCHEMAKc</t>
  </si>
  <si>
    <t>VSCHEMAPp</t>
  </si>
  <si>
    <t>VSCHEMACosf</t>
  </si>
  <si>
    <t>VSCHEMAIp</t>
  </si>
  <si>
    <t>Расчетный ток,А</t>
  </si>
  <si>
    <t>VSCHEMAFeedernamemain</t>
  </si>
  <si>
    <t>VSCHEMACable11</t>
  </si>
  <si>
    <t xml:space="preserve">  </t>
  </si>
  <si>
    <t>VSCHEMACable12</t>
  </si>
  <si>
    <t>VSCHEMACable21</t>
  </si>
  <si>
    <t>DEVICE_VSCHEMES_QF</t>
  </si>
  <si>
    <t>АВТОМАТ 1-й</t>
  </si>
  <si>
    <t>АВUGO</t>
  </si>
  <si>
    <t>АВMOVEX</t>
  </si>
  <si>
    <t>АВMOVEY</t>
  </si>
  <si>
    <t>АВТОМАТ 2-й</t>
  </si>
  <si>
    <t>VSCHEMAUGOtext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</si>
  <si>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</si>
  <si>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</si>
  <si>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</si>
  <si>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</si>
  <si>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</si>
  <si>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</si>
  <si>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</si>
  <si>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</si>
  <si>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&lt;zall&gt;CABEXPORT</t>
  </si>
  <si>
    <t>&lt;zall&gt;CABCOPY</t>
  </si>
  <si>
    <t>&lt;zall&gt;CAB</t>
  </si>
  <si>
    <t>SLCABAGEN1_NGHeadDevice</t>
  </si>
  <si>
    <t>SLCABAGEN1_HeadDeviceName</t>
  </si>
  <si>
    <t>Ток данной группы</t>
  </si>
  <si>
    <t>Фаза (1,3)</t>
  </si>
  <si>
    <t>Расч ток на групп с уч коэфф</t>
  </si>
  <si>
    <t>Цветовые обозначения, применяемые в таблице:</t>
  </si>
  <si>
    <t>- основные исходные данные, вводимые вручную позьзователем</t>
  </si>
  <si>
    <t>- дополнительные исходные данные, имеющие ключевое значение</t>
  </si>
  <si>
    <t>- исходные данные, задаваемые ссылкой на другие ячейки</t>
  </si>
  <si>
    <t>- константы, не подлежащие изменению позьзователем</t>
  </si>
  <si>
    <t>- данные, введенные вручную в нарушение общего алгоритма</t>
  </si>
  <si>
    <t>- промежуточные результаты, вычисляемые автоматически</t>
  </si>
  <si>
    <t>- промежуточные результаты, имеющие ключевое значение</t>
  </si>
  <si>
    <t>- промежуточные результаты, зависящие от ссылок на другие ячейки</t>
  </si>
  <si>
    <t>- результаты, зависящие от диапазонов значений (требуют внимания)</t>
  </si>
  <si>
    <t>- данные, выводимые в протокол, вычисляемые автоматически</t>
  </si>
  <si>
    <t>- данные, выводимые в протокол, задаваемые вручную</t>
  </si>
  <si>
    <t>Принуд. уставка, А</t>
  </si>
  <si>
    <t>Руч уставка мин, А</t>
  </si>
  <si>
    <t>Расчет уставки по току, А</t>
  </si>
  <si>
    <t>Выбран. уставка, А</t>
  </si>
  <si>
    <t>ALL2</t>
  </si>
  <si>
    <t>&lt;zall&gt;DEVEXPORT</t>
  </si>
  <si>
    <t>&lt;zall&gt;DEVCOPY</t>
  </si>
  <si>
    <t>&lt;zall&gt;DEV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</si>
</sst>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sz val="22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i/>
      <sz val="8"/>
      <name val="Arial Unicode MS"/>
      <family val="2"/>
      <charset val="204"/>
    </font>
    <font>
      <sz val="8"/>
      <name val="Arial Unicode MS"/>
      <family val="2"/>
      <charset val="204"/>
    </font>
    <font>
      <b/>
      <sz val="8"/>
      <color indexed="60"/>
      <name val="Arial Unicode MS"/>
      <family val="2"/>
      <charset val="204"/>
    </font>
    <font>
      <b/>
      <sz val="8"/>
      <color indexed="10"/>
      <name val="Arial Unicode MS"/>
      <family val="2"/>
      <charset val="204"/>
    </font>
    <font>
      <b/>
      <sz val="8"/>
      <color indexed="12"/>
      <name val="Arial Unicode MS"/>
      <family val="2"/>
      <charset val="204"/>
    </font>
    <font>
      <b/>
      <sz val="8"/>
      <name val="Arial Unicode MS"/>
      <family val="2"/>
      <charset val="204"/>
    </font>
    <font>
      <b/>
      <sz val="8"/>
      <color indexed="13"/>
      <name val="Arial Unicode MS"/>
      <family val="2"/>
      <charset val="204"/>
    </font>
    <font>
      <b/>
      <sz val="8"/>
      <color indexed="17"/>
      <name val="Arial Unicode MS"/>
      <family val="2"/>
      <charset val="204"/>
    </font>
    <font>
      <b/>
      <sz val="8"/>
      <color indexed="20"/>
      <name val="Arial Unicode MS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7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 wrapText="1"/>
    </xf>
    <xf numFmtId="2" fontId="9" fillId="0" borderId="25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 wrapText="1"/>
    </xf>
    <xf numFmtId="2" fontId="9" fillId="0" borderId="28" xfId="0" applyNumberFormat="1" applyFont="1" applyBorder="1" applyAlignment="1">
      <alignment horizontal="center" vertical="center" wrapText="1"/>
    </xf>
    <xf numFmtId="2" fontId="9" fillId="0" borderId="29" xfId="0" applyNumberFormat="1" applyFont="1" applyBorder="1" applyAlignment="1">
      <alignment horizontal="center" vertical="center" wrapText="1"/>
    </xf>
    <xf numFmtId="2" fontId="9" fillId="0" borderId="30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/>
    <xf numFmtId="2" fontId="9" fillId="0" borderId="33" xfId="0" applyNumberFormat="1" applyFont="1" applyBorder="1" applyAlignment="1">
      <alignment horizontal="center" vertical="center" wrapText="1"/>
    </xf>
    <xf numFmtId="2" fontId="9" fillId="0" borderId="34" xfId="0" applyNumberFormat="1" applyFont="1" applyBorder="1" applyAlignment="1">
      <alignment horizontal="center" vertical="center" wrapText="1"/>
    </xf>
    <xf numFmtId="2" fontId="9" fillId="0" borderId="35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36" xfId="0" applyFont="1" applyBorder="1" applyAlignment="1">
      <alignment vertical="center" wrapText="1"/>
    </xf>
    <xf numFmtId="0" fontId="0" fillId="0" borderId="31" xfId="0" applyBorder="1"/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165" fontId="1" fillId="0" borderId="18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165" fontId="1" fillId="0" borderId="38" xfId="0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8" borderId="10" xfId="1" applyFont="1" applyFill="1" applyBorder="1" applyAlignment="1" applyProtection="1">
      <alignment horizontal="center" vertical="center" wrapText="1"/>
      <protection hidden="1"/>
    </xf>
    <xf numFmtId="0" fontId="4" fillId="8" borderId="11" xfId="1" applyFont="1" applyFill="1" applyBorder="1" applyAlignment="1" applyProtection="1">
      <alignment horizontal="center" vertical="center" wrapText="1"/>
      <protection hidden="1"/>
    </xf>
    <xf numFmtId="0" fontId="13" fillId="8" borderId="10" xfId="1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4" borderId="41" xfId="1" applyFont="1" applyFill="1" applyBorder="1" applyAlignment="1" applyProtection="1">
      <alignment horizontal="center" vertical="center" wrapText="1"/>
      <protection hidden="1"/>
    </xf>
    <xf numFmtId="0" fontId="4" fillId="4" borderId="8" xfId="2" applyFont="1" applyFill="1" applyBorder="1" applyAlignment="1" applyProtection="1">
      <alignment horizontal="center" vertical="center"/>
      <protection hidden="1"/>
    </xf>
    <xf numFmtId="0" fontId="4" fillId="4" borderId="9" xfId="2" applyFont="1" applyFill="1" applyBorder="1" applyAlignment="1" applyProtection="1">
      <alignment horizontal="center" vertical="center" wrapText="1"/>
      <protection hidden="1"/>
    </xf>
    <xf numFmtId="0" fontId="4" fillId="4" borderId="5" xfId="0" applyFont="1" applyFill="1" applyBorder="1" applyAlignment="1" applyProtection="1">
      <alignment horizontal="center" vertical="center" wrapText="1"/>
      <protection hidden="1"/>
    </xf>
    <xf numFmtId="0" fontId="4" fillId="8" borderId="42" xfId="1" applyFont="1" applyFill="1" applyBorder="1" applyAlignment="1" applyProtection="1">
      <alignment horizontal="center" vertical="center" wrapText="1"/>
      <protection hidden="1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4" fillId="8" borderId="42" xfId="1" applyFont="1" applyFill="1" applyBorder="1" applyAlignment="1" applyProtection="1">
      <alignment horizontal="center" vertical="center"/>
      <protection hidden="1"/>
    </xf>
    <xf numFmtId="0" fontId="4" fillId="8" borderId="43" xfId="1" applyFont="1" applyFill="1" applyBorder="1" applyAlignment="1" applyProtection="1">
      <alignment horizontal="center" vertical="center" wrapText="1"/>
      <protection hidden="1"/>
    </xf>
    <xf numFmtId="0" fontId="11" fillId="8" borderId="44" xfId="0" applyFont="1" applyFill="1" applyBorder="1" applyAlignment="1">
      <alignment horizontal="center" vertical="center"/>
    </xf>
    <xf numFmtId="0" fontId="11" fillId="10" borderId="44" xfId="0" applyFont="1" applyFill="1" applyBorder="1" applyAlignment="1">
      <alignment horizontal="center" vertical="center"/>
    </xf>
    <xf numFmtId="0" fontId="4" fillId="8" borderId="45" xfId="1" applyFont="1" applyFill="1" applyBorder="1" applyAlignment="1" applyProtection="1">
      <alignment horizontal="center" vertical="center" wrapText="1"/>
      <protection hidden="1"/>
    </xf>
    <xf numFmtId="0" fontId="13" fillId="8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4" fillId="8" borderId="1" xfId="1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/>
    <xf numFmtId="0" fontId="16" fillId="0" borderId="1" xfId="0" applyFont="1" applyBorder="1" applyAlignment="1">
      <alignment vertical="center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1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right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7" borderId="0" xfId="0" applyFill="1"/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/>
    <xf numFmtId="0" fontId="0" fillId="9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15" borderId="45" xfId="1" applyFont="1" applyFill="1" applyBorder="1" applyAlignment="1" applyProtection="1">
      <alignment horizontal="center" vertical="center" wrapText="1"/>
      <protection hidden="1"/>
    </xf>
    <xf numFmtId="0" fontId="4" fillId="15" borderId="53" xfId="1" applyFont="1" applyFill="1" applyBorder="1" applyAlignment="1" applyProtection="1">
      <alignment horizontal="center" vertical="center" wrapText="1"/>
      <protection hidden="1"/>
    </xf>
    <xf numFmtId="0" fontId="4" fillId="16" borderId="45" xfId="1" applyFont="1" applyFill="1" applyBorder="1" applyAlignment="1" applyProtection="1">
      <alignment horizontal="center" vertical="center" wrapText="1"/>
      <protection hidden="1"/>
    </xf>
    <xf numFmtId="49" fontId="17" fillId="0" borderId="0" xfId="0" applyNumberFormat="1" applyFont="1" applyAlignment="1" applyProtection="1">
      <alignment horizontal="left"/>
      <protection hidden="1"/>
    </xf>
    <xf numFmtId="0" fontId="18" fillId="0" borderId="0" xfId="0" applyFont="1" applyProtection="1">
      <protection hidden="1"/>
    </xf>
    <xf numFmtId="0" fontId="19" fillId="17" borderId="1" xfId="1" applyFont="1" applyFill="1" applyBorder="1" applyAlignment="1" applyProtection="1">
      <alignment horizontal="center"/>
      <protection hidden="1"/>
    </xf>
    <xf numFmtId="49" fontId="18" fillId="0" borderId="0" xfId="0" applyNumberFormat="1" applyFont="1" applyProtection="1">
      <protection hidden="1"/>
    </xf>
    <xf numFmtId="0" fontId="20" fillId="17" borderId="1" xfId="1" applyFont="1" applyFill="1" applyBorder="1" applyAlignment="1" applyProtection="1">
      <alignment horizontal="center"/>
      <protection hidden="1"/>
    </xf>
    <xf numFmtId="0" fontId="21" fillId="17" borderId="1" xfId="1" applyFont="1" applyFill="1" applyBorder="1" applyAlignment="1" applyProtection="1">
      <alignment horizontal="center"/>
      <protection hidden="1"/>
    </xf>
    <xf numFmtId="0" fontId="22" fillId="18" borderId="1" xfId="0" applyFont="1" applyFill="1" applyBorder="1" applyAlignment="1" applyProtection="1">
      <alignment horizontal="center" vertical="center"/>
      <protection hidden="1"/>
    </xf>
    <xf numFmtId="0" fontId="23" fillId="19" borderId="1" xfId="1" applyFont="1" applyFill="1" applyBorder="1" applyAlignment="1" applyProtection="1">
      <alignment horizontal="center" vertical="center"/>
      <protection hidden="1"/>
    </xf>
    <xf numFmtId="0" fontId="22" fillId="20" borderId="1" xfId="1" applyFont="1" applyFill="1" applyBorder="1" applyAlignment="1" applyProtection="1">
      <alignment horizontal="center" vertical="center"/>
      <protection hidden="1"/>
    </xf>
    <xf numFmtId="0" fontId="19" fillId="20" borderId="1" xfId="1" applyFont="1" applyFill="1" applyBorder="1" applyAlignment="1" applyProtection="1">
      <alignment horizontal="center" vertical="center"/>
      <protection hidden="1"/>
    </xf>
    <xf numFmtId="165" fontId="24" fillId="21" borderId="1" xfId="1" applyNumberFormat="1" applyFont="1" applyFill="1" applyBorder="1" applyAlignment="1" applyProtection="1">
      <alignment horizontal="center"/>
      <protection hidden="1"/>
    </xf>
    <xf numFmtId="2" fontId="22" fillId="21" borderId="1" xfId="1" applyNumberFormat="1" applyFont="1" applyFill="1" applyBorder="1" applyAlignment="1" applyProtection="1">
      <alignment horizontal="center"/>
      <protection hidden="1"/>
    </xf>
    <xf numFmtId="2" fontId="21" fillId="21" borderId="1" xfId="1" applyNumberFormat="1" applyFont="1" applyFill="1" applyBorder="1" applyAlignment="1" applyProtection="1">
      <alignment horizontal="center"/>
      <protection hidden="1"/>
    </xf>
    <xf numFmtId="2" fontId="25" fillId="21" borderId="1" xfId="1" applyNumberFormat="1" applyFont="1" applyFill="1" applyBorder="1" applyAlignment="1" applyProtection="1">
      <alignment horizontal="center"/>
      <protection hidden="1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7" borderId="49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0" fillId="10" borderId="50" xfId="0" applyFill="1" applyBorder="1" applyAlignment="1">
      <alignment horizontal="center"/>
    </xf>
    <xf numFmtId="0" fontId="0" fillId="10" borderId="44" xfId="0" applyFill="1" applyBorder="1" applyAlignment="1">
      <alignment horizontal="center"/>
    </xf>
    <xf numFmtId="0" fontId="0" fillId="8" borderId="22" xfId="0" applyFill="1" applyBorder="1" applyAlignment="1">
      <alignment horizontal="center" vertical="center" wrapText="1"/>
    </xf>
    <xf numFmtId="0" fontId="0" fillId="8" borderId="40" xfId="0" applyFill="1" applyBorder="1" applyAlignment="1">
      <alignment horizontal="center" vertical="center" wrapText="1"/>
    </xf>
    <xf numFmtId="0" fontId="5" fillId="4" borderId="2" xfId="2" applyFont="1" applyFill="1" applyBorder="1" applyAlignment="1" applyProtection="1">
      <alignment horizontal="center" vertical="center" wrapText="1"/>
      <protection hidden="1"/>
    </xf>
    <xf numFmtId="0" fontId="5" fillId="4" borderId="3" xfId="2" applyFont="1" applyFill="1" applyBorder="1" applyAlignment="1" applyProtection="1">
      <alignment horizontal="center" vertical="center" wrapText="1"/>
      <protection hidden="1"/>
    </xf>
    <xf numFmtId="0" fontId="4" fillId="8" borderId="30" xfId="1" applyFont="1" applyFill="1" applyBorder="1" applyAlignment="1" applyProtection="1">
      <alignment horizontal="center" vertical="center" wrapText="1"/>
      <protection hidden="1"/>
    </xf>
    <xf numFmtId="0" fontId="4" fillId="8" borderId="46" xfId="1" applyFont="1" applyFill="1" applyBorder="1" applyAlignment="1" applyProtection="1">
      <alignment horizontal="center" vertical="center" wrapText="1"/>
      <protection hidden="1"/>
    </xf>
    <xf numFmtId="0" fontId="4" fillId="8" borderId="37" xfId="1" applyFont="1" applyFill="1" applyBorder="1" applyAlignment="1" applyProtection="1">
      <alignment horizontal="center" vertical="center" wrapText="1"/>
      <protection hidden="1"/>
    </xf>
    <xf numFmtId="0" fontId="4" fillId="8" borderId="47" xfId="1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Alignment="1">
      <alignment horizontal="center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4" fillId="8" borderId="22" xfId="1" applyFont="1" applyFill="1" applyBorder="1" applyAlignment="1" applyProtection="1">
      <alignment horizontal="center" vertical="center" wrapText="1"/>
      <protection hidden="1"/>
    </xf>
    <xf numFmtId="0" fontId="4" fillId="8" borderId="51" xfId="1" applyFont="1" applyFill="1" applyBorder="1" applyAlignment="1" applyProtection="1">
      <alignment horizontal="center" vertical="center" wrapText="1"/>
      <protection hidden="1"/>
    </xf>
    <xf numFmtId="0" fontId="5" fillId="5" borderId="52" xfId="2" applyFont="1" applyFill="1" applyBorder="1" applyAlignment="1" applyProtection="1">
      <alignment horizontal="center" vertical="center" wrapText="1"/>
      <protection hidden="1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5" fillId="8" borderId="2" xfId="2" applyFont="1" applyFill="1" applyBorder="1" applyAlignment="1" applyProtection="1">
      <alignment horizontal="center" vertical="center" wrapText="1"/>
      <protection hidden="1"/>
    </xf>
    <xf numFmtId="0" fontId="5" fillId="8" borderId="3" xfId="2" applyFont="1" applyFill="1" applyBorder="1" applyAlignment="1" applyProtection="1">
      <alignment horizontal="center" vertical="center" wrapText="1"/>
      <protection hidden="1"/>
    </xf>
    <xf numFmtId="0" fontId="5" fillId="8" borderId="4" xfId="2" applyFont="1" applyFill="1" applyBorder="1" applyAlignment="1" applyProtection="1">
      <alignment horizontal="center" vertical="center" wrapText="1"/>
      <protection hidden="1"/>
    </xf>
    <xf numFmtId="0" fontId="5" fillId="8" borderId="10" xfId="2" applyFont="1" applyFill="1" applyBorder="1" applyAlignment="1" applyProtection="1">
      <alignment horizontal="center" vertical="center" wrapText="1"/>
      <protection hidden="1"/>
    </xf>
    <xf numFmtId="0" fontId="5" fillId="8" borderId="11" xfId="2" applyFont="1" applyFill="1" applyBorder="1" applyAlignment="1" applyProtection="1">
      <alignment horizontal="center" vertical="center" wrapText="1"/>
      <protection hidden="1"/>
    </xf>
    <xf numFmtId="0" fontId="5" fillId="8" borderId="12" xfId="2" applyFont="1" applyFill="1" applyBorder="1" applyAlignment="1" applyProtection="1">
      <alignment horizontal="center" vertical="center" wrapText="1"/>
      <protection hidden="1"/>
    </xf>
    <xf numFmtId="0" fontId="5" fillId="8" borderId="5" xfId="2" applyFont="1" applyFill="1" applyBorder="1" applyAlignment="1" applyProtection="1">
      <alignment horizontal="center" vertical="center" wrapText="1"/>
      <protection hidden="1"/>
    </xf>
    <xf numFmtId="0" fontId="5" fillId="8" borderId="9" xfId="2" applyFont="1" applyFill="1" applyBorder="1" applyAlignment="1" applyProtection="1">
      <alignment horizontal="center" vertical="center" wrapText="1"/>
      <protection hidden="1"/>
    </xf>
    <xf numFmtId="0" fontId="5" fillId="8" borderId="48" xfId="2" applyFont="1" applyFill="1" applyBorder="1" applyAlignment="1" applyProtection="1">
      <alignment horizontal="center" vertical="center" wrapText="1"/>
      <protection hidden="1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12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sheetPr codeName="Лист2"/>
  <dimension ref="A1:B6"/>
  <sheetViews>
    <sheetView workbookViewId="0">
      <selection activeCell="D4" sqref="D4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87</v>
      </c>
      <c r="B1" t="s">
        <v>399</v>
      </c>
    </row>
    <row r="2" spans="1:2" x14ac:dyDescent="0.25">
      <c r="A2" t="s">
        <v>88</v>
      </c>
      <c r="B2" t="s">
        <v>1</v>
      </c>
    </row>
    <row r="3" spans="1:2" x14ac:dyDescent="0.25">
      <c r="A3" t="s">
        <v>88</v>
      </c>
      <c r="B3" t="s">
        <v>94</v>
      </c>
    </row>
    <row r="4" spans="1:2" ht="15.75" customHeight="1" x14ac:dyDescent="0.25">
      <c r="A4" t="s">
        <v>88</v>
      </c>
      <c r="B4" t="s">
        <v>91</v>
      </c>
    </row>
    <row r="5" spans="1:2" ht="15.75" customHeight="1" x14ac:dyDescent="0.25">
      <c r="A5" t="s">
        <v>88</v>
      </c>
      <c r="B5" t="s">
        <v>93</v>
      </c>
    </row>
    <row r="6" spans="1:2" x14ac:dyDescent="0.25">
      <c r="A6" t="s">
        <v>88</v>
      </c>
      <c r="B6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D57B-03FA-4732-B562-B52ADE28B03D}">
  <sheetPr codeName="Лист10"/>
  <dimension ref="B1:I5"/>
  <sheetViews>
    <sheetView workbookViewId="0">
      <selection activeCell="C11" sqref="C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8" width="19.140625" customWidth="1"/>
  </cols>
  <sheetData>
    <row r="1" spans="2:9" x14ac:dyDescent="0.25">
      <c r="D1" s="137" t="s">
        <v>89</v>
      </c>
      <c r="E1" s="137"/>
      <c r="F1" s="137"/>
      <c r="G1" s="137"/>
      <c r="H1" s="137"/>
    </row>
    <row r="2" spans="2:9" x14ac:dyDescent="0.25">
      <c r="D2" s="137"/>
      <c r="E2" s="137"/>
      <c r="F2" s="137"/>
      <c r="G2" s="137"/>
      <c r="H2" s="137"/>
    </row>
    <row r="3" spans="2:9" x14ac:dyDescent="0.25">
      <c r="C3" t="s">
        <v>79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</row>
    <row r="4" spans="2:9" ht="45" x14ac:dyDescent="0.25">
      <c r="B4" s="4" t="s">
        <v>19</v>
      </c>
      <c r="C4" s="4"/>
    </row>
    <row r="5" spans="2:9" x14ac:dyDescent="0.25">
      <c r="B5" t="s">
        <v>2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t="s">
        <v>3</v>
      </c>
    </row>
  </sheetData>
  <mergeCells count="1">
    <mergeCell ref="D1:H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E0E3-93E9-4D98-927D-A8C9FCC59321}">
  <sheetPr codeName="Лист11"/>
  <dimension ref="E8:P22"/>
  <sheetViews>
    <sheetView workbookViewId="0">
      <selection activeCell="G6" sqref="G6"/>
    </sheetView>
  </sheetViews>
  <sheetFormatPr defaultRowHeight="15" x14ac:dyDescent="0.25"/>
  <sheetData>
    <row r="8" spans="5:16" x14ac:dyDescent="0.25">
      <c r="E8" s="138" t="s">
        <v>89</v>
      </c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</row>
    <row r="9" spans="5:16" x14ac:dyDescent="0.25"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</row>
    <row r="10" spans="5:16" x14ac:dyDescent="0.25"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</row>
    <row r="11" spans="5:16" x14ac:dyDescent="0.25"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</row>
    <row r="12" spans="5:16" x14ac:dyDescent="0.25"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</row>
    <row r="13" spans="5:16" x14ac:dyDescent="0.25"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</row>
    <row r="14" spans="5:16" x14ac:dyDescent="0.25"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</row>
    <row r="15" spans="5:16" x14ac:dyDescent="0.25"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</row>
    <row r="16" spans="5:16" x14ac:dyDescent="0.25"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</row>
    <row r="17" spans="5:16" x14ac:dyDescent="0.25"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</row>
    <row r="18" spans="5:16" x14ac:dyDescent="0.25"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</row>
    <row r="19" spans="5:16" x14ac:dyDescent="0.25"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</row>
    <row r="20" spans="5:16" x14ac:dyDescent="0.25"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</row>
    <row r="21" spans="5:16" x14ac:dyDescent="0.25"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</row>
    <row r="22" spans="5:16" x14ac:dyDescent="0.25"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</row>
  </sheetData>
  <mergeCells count="1">
    <mergeCell ref="E8:P2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FC8-3239-46C1-B119-51B6AFCFF800}">
  <sheetPr codeName="Лист1"/>
  <dimension ref="A1:A2"/>
  <sheetViews>
    <sheetView workbookViewId="0">
      <selection activeCell="H31" sqref="H31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B96F-A01E-4EBE-9361-360895827D35}">
  <sheetPr codeName="Лист12"/>
  <dimension ref="B4:AL8"/>
  <sheetViews>
    <sheetView workbookViewId="0">
      <selection activeCell="D23" sqref="D23"/>
    </sheetView>
  </sheetViews>
  <sheetFormatPr defaultRowHeight="15" x14ac:dyDescent="0.25"/>
  <cols>
    <col min="3" max="3" width="20.85546875" customWidth="1"/>
    <col min="4" max="4" width="31.28515625" customWidth="1"/>
  </cols>
  <sheetData>
    <row r="4" spans="2:38" x14ac:dyDescent="0.25">
      <c r="D4" t="s">
        <v>60</v>
      </c>
      <c r="E4" t="s">
        <v>61</v>
      </c>
      <c r="F4" t="s">
        <v>62</v>
      </c>
    </row>
    <row r="5" spans="2:38" ht="17.25" customHeight="1" x14ac:dyDescent="0.25">
      <c r="E5">
        <v>0</v>
      </c>
    </row>
    <row r="6" spans="2:38" ht="17.25" customHeight="1" x14ac:dyDescent="0.25">
      <c r="C6" t="s">
        <v>59</v>
      </c>
      <c r="D6" t="s">
        <v>65</v>
      </c>
      <c r="E6">
        <v>0</v>
      </c>
      <c r="F6">
        <v>0</v>
      </c>
      <c r="AK6" t="s">
        <v>58</v>
      </c>
    </row>
    <row r="7" spans="2:38" x14ac:dyDescent="0.25">
      <c r="C7" t="s">
        <v>59</v>
      </c>
      <c r="D7" t="s">
        <v>64</v>
      </c>
      <c r="E7">
        <v>60</v>
      </c>
      <c r="F7">
        <v>0</v>
      </c>
      <c r="AK7" t="s">
        <v>58</v>
      </c>
    </row>
    <row r="8" spans="2:38" x14ac:dyDescent="0.25">
      <c r="B8" t="s">
        <v>57</v>
      </c>
      <c r="C8" t="s">
        <v>59</v>
      </c>
      <c r="D8" t="s">
        <v>63</v>
      </c>
      <c r="E8">
        <f>E7+25</f>
        <v>85</v>
      </c>
      <c r="F8">
        <v>0</v>
      </c>
      <c r="G8" s="1" t="s">
        <v>66</v>
      </c>
      <c r="H8" s="1" t="e">
        <f>'&lt;zlight&gt;'!#REF!&amp;'&lt;zlight&gt;'!D24</f>
        <v>#REF!</v>
      </c>
      <c r="I8" s="1" t="s">
        <v>67</v>
      </c>
      <c r="J8" s="1" t="e">
        <f>'&lt;zlight&gt;'!#REF!</f>
        <v>#REF!</v>
      </c>
      <c r="K8" s="1" t="s">
        <v>68</v>
      </c>
      <c r="L8" s="1" t="e">
        <f>'&lt;zlight&gt;'!#REF!</f>
        <v>#REF!</v>
      </c>
      <c r="M8" s="1" t="s">
        <v>69</v>
      </c>
      <c r="N8" s="1"/>
      <c r="O8" s="1" t="s">
        <v>70</v>
      </c>
      <c r="P8" s="1"/>
      <c r="Q8" s="1" t="s">
        <v>71</v>
      </c>
      <c r="S8" t="s">
        <v>74</v>
      </c>
      <c r="T8" s="1" t="str">
        <f>'&lt;zlight&gt;'!AJ24</f>
        <v>SLCABAGEN1_HeadDeviceName.SLCABAGEN1_NGHeadDevice</v>
      </c>
      <c r="U8" t="s">
        <v>73</v>
      </c>
      <c r="V8" s="1">
        <f>'&lt;zlight&gt;'!AL24</f>
        <v>0</v>
      </c>
      <c r="W8" t="s">
        <v>75</v>
      </c>
      <c r="X8" s="1" t="str">
        <f>'&lt;zlight&gt;'!O24&amp;" ("&amp;'&lt;zlight&gt;'!W24&amp;" шт.)"</f>
        <v>NMO_BaseName (1 шт.)</v>
      </c>
      <c r="Y8" s="1" t="s">
        <v>76</v>
      </c>
      <c r="Z8" s="1" t="e">
        <f ca="1">'&lt;zlight&gt;'!R24</f>
        <v>#VALUE!</v>
      </c>
      <c r="AA8" s="1" t="s">
        <v>77</v>
      </c>
      <c r="AB8" s="1" t="e">
        <f ca="1">'&lt;zlight&gt;'!T24</f>
        <v>#VALUE!</v>
      </c>
      <c r="AC8" s="1" t="s">
        <v>80</v>
      </c>
      <c r="AD8" s="1" t="str">
        <f>'&lt;zlight&gt;'!Z24</f>
        <v>realnamedev</v>
      </c>
      <c r="AE8" s="1" t="s">
        <v>82</v>
      </c>
      <c r="AF8" s="1" t="s">
        <v>83</v>
      </c>
      <c r="AG8" s="1" t="s">
        <v>81</v>
      </c>
      <c r="AH8" s="1" t="s">
        <v>84</v>
      </c>
      <c r="AI8" s="1" t="s">
        <v>85</v>
      </c>
      <c r="AJ8" s="1" t="s">
        <v>86</v>
      </c>
      <c r="AK8" t="s">
        <v>58</v>
      </c>
      <c r="AL8" t="s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C22C-893A-456C-B6B4-5CEC07C317DD}">
  <sheetPr codeName="Лист13"/>
  <dimension ref="C1:ES24"/>
  <sheetViews>
    <sheetView topLeftCell="M1" workbookViewId="0">
      <selection activeCell="T8" sqref="T8:U8"/>
    </sheetView>
  </sheetViews>
  <sheetFormatPr defaultRowHeight="15" x14ac:dyDescent="0.25"/>
  <cols>
    <col min="1" max="1" width="3" customWidth="1"/>
    <col min="2" max="2" width="3.28515625" customWidth="1"/>
    <col min="3" max="3" width="3.7109375" customWidth="1"/>
    <col min="4" max="7" width="9.28515625" customWidth="1"/>
    <col min="8" max="9" width="30.7109375" customWidth="1"/>
    <col min="10" max="12" width="3.7109375" customWidth="1"/>
    <col min="13" max="13" width="30.7109375" customWidth="1"/>
    <col min="14" max="14" width="5.7109375" customWidth="1"/>
    <col min="15" max="15" width="9.5703125" customWidth="1"/>
    <col min="16" max="16" width="10.7109375" customWidth="1"/>
    <col min="21" max="24" width="9.140625" customWidth="1"/>
    <col min="25" max="25" width="23.140625" customWidth="1"/>
    <col min="26" max="26" width="20.7109375" customWidth="1"/>
    <col min="27" max="27" width="10.28515625" bestFit="1" customWidth="1"/>
    <col min="28" max="31" width="10.28515625" customWidth="1"/>
    <col min="36" max="36" width="10.7109375" customWidth="1"/>
    <col min="37" max="37" width="21.5703125" customWidth="1"/>
    <col min="38" max="38" width="10.7109375" customWidth="1"/>
    <col min="39" max="41" width="5.7109375" customWidth="1"/>
    <col min="42" max="43" width="7.7109375" customWidth="1"/>
    <col min="44" max="44" width="19" customWidth="1"/>
    <col min="45" max="59" width="8.28515625" customWidth="1"/>
    <col min="60" max="61" width="7.7109375" customWidth="1"/>
    <col min="62" max="65" width="8.85546875" customWidth="1"/>
    <col min="66" max="73" width="10.42578125" customWidth="1"/>
    <col min="74" max="85" width="3.7109375" customWidth="1"/>
    <col min="86" max="90" width="4.7109375" customWidth="1"/>
    <col min="91" max="91" width="10.42578125" customWidth="1"/>
    <col min="92" max="92" width="28" customWidth="1"/>
    <col min="93" max="98" width="10.42578125" customWidth="1"/>
    <col min="99" max="99" width="25" customWidth="1"/>
    <col min="100" max="117" width="10.42578125" customWidth="1"/>
  </cols>
  <sheetData>
    <row r="1" spans="4:45" x14ac:dyDescent="0.25">
      <c r="D1" s="1" t="str">
        <f>'&lt;zlight&gt;'!F18</f>
        <v>NMO_Name</v>
      </c>
      <c r="E1" s="1" t="e">
        <f ca="1">T6</f>
        <v>#VALUE!</v>
      </c>
      <c r="F1" s="1">
        <f>T8</f>
        <v>0.92</v>
      </c>
      <c r="G1" s="1">
        <f>H11</f>
        <v>380</v>
      </c>
      <c r="H1" s="1" t="str">
        <f>H12</f>
        <v>АВС</v>
      </c>
    </row>
    <row r="2" spans="4:45" x14ac:dyDescent="0.25">
      <c r="AD2" s="109" t="s">
        <v>383</v>
      </c>
      <c r="AE2" s="110"/>
    </row>
    <row r="3" spans="4:45" x14ac:dyDescent="0.25">
      <c r="AD3" s="111">
        <v>1234</v>
      </c>
      <c r="AE3" s="112" t="s">
        <v>384</v>
      </c>
    </row>
    <row r="4" spans="4:45" x14ac:dyDescent="0.25">
      <c r="D4" s="149" t="s">
        <v>281</v>
      </c>
      <c r="E4" s="149"/>
      <c r="F4" s="149"/>
      <c r="G4" s="149"/>
      <c r="H4" s="149"/>
      <c r="I4" s="84" t="s">
        <v>282</v>
      </c>
      <c r="O4" s="84"/>
      <c r="P4" s="149" t="s">
        <v>283</v>
      </c>
      <c r="Q4" s="149"/>
      <c r="R4" s="149"/>
      <c r="S4" s="149"/>
      <c r="T4" s="149"/>
      <c r="U4" s="149"/>
      <c r="AD4" s="113">
        <v>1234</v>
      </c>
      <c r="AE4" s="112" t="s">
        <v>385</v>
      </c>
    </row>
    <row r="5" spans="4:45" x14ac:dyDescent="0.25">
      <c r="D5" s="141" t="s">
        <v>284</v>
      </c>
      <c r="E5" s="141"/>
      <c r="F5" s="141"/>
      <c r="G5" s="141"/>
      <c r="H5" s="78" t="str">
        <f>'&lt;zlight&gt;'!F18</f>
        <v>NMO_Name</v>
      </c>
      <c r="I5" s="82" t="s">
        <v>285</v>
      </c>
      <c r="O5" s="82" t="s">
        <v>286</v>
      </c>
      <c r="P5" s="150" t="s">
        <v>287</v>
      </c>
      <c r="Q5" s="150"/>
      <c r="R5" s="150"/>
      <c r="S5" s="150"/>
      <c r="T5" s="150" t="e">
        <f ca="1">SUM($AC$24:$AC$12000)</f>
        <v>#VALUE!</v>
      </c>
      <c r="U5" s="150"/>
      <c r="AD5" s="114">
        <v>1234</v>
      </c>
      <c r="AE5" s="112" t="s">
        <v>386</v>
      </c>
    </row>
    <row r="6" spans="4:45" x14ac:dyDescent="0.25">
      <c r="D6" s="141" t="s">
        <v>288</v>
      </c>
      <c r="E6" s="141"/>
      <c r="F6" s="141"/>
      <c r="G6" s="141"/>
      <c r="H6" s="79" t="s">
        <v>289</v>
      </c>
      <c r="I6" s="82" t="s">
        <v>290</v>
      </c>
      <c r="O6" s="82">
        <v>63</v>
      </c>
      <c r="P6" s="150" t="s">
        <v>291</v>
      </c>
      <c r="Q6" s="150"/>
      <c r="R6" s="150"/>
      <c r="S6" s="150"/>
      <c r="T6" s="150" t="e">
        <f ca="1">T5*T11</f>
        <v>#VALUE!</v>
      </c>
      <c r="U6" s="150"/>
      <c r="AD6" s="115">
        <v>380</v>
      </c>
      <c r="AE6" s="112" t="s">
        <v>387</v>
      </c>
    </row>
    <row r="7" spans="4:45" x14ac:dyDescent="0.25">
      <c r="D7" s="141" t="s">
        <v>292</v>
      </c>
      <c r="E7" s="141"/>
      <c r="F7" s="141"/>
      <c r="G7" s="141"/>
      <c r="H7" s="79">
        <v>45399</v>
      </c>
      <c r="I7" s="82" t="s">
        <v>293</v>
      </c>
      <c r="O7" s="82">
        <v>32</v>
      </c>
      <c r="P7" s="150" t="s">
        <v>294</v>
      </c>
      <c r="Q7" s="150"/>
      <c r="R7" s="150"/>
      <c r="S7" s="150"/>
      <c r="T7" s="150" t="e">
        <f ca="1">ROUNDUP((T6*1000)/(VLOOKUP(H11,BD!$B$4:$C$5,2,FALSE)*T8),2)</f>
        <v>#VALUE!</v>
      </c>
      <c r="U7" s="150"/>
      <c r="AD7" s="116">
        <v>123.4</v>
      </c>
      <c r="AE7" s="112" t="s">
        <v>388</v>
      </c>
    </row>
    <row r="8" spans="4:45" ht="15" customHeight="1" x14ac:dyDescent="0.25">
      <c r="D8" s="141" t="s">
        <v>295</v>
      </c>
      <c r="E8" s="141"/>
      <c r="F8" s="141"/>
      <c r="G8" s="141"/>
      <c r="H8" s="79" t="s">
        <v>296</v>
      </c>
      <c r="I8" s="82" t="s">
        <v>297</v>
      </c>
      <c r="O8" s="82">
        <v>6</v>
      </c>
      <c r="P8" s="151" t="s">
        <v>317</v>
      </c>
      <c r="Q8" s="152"/>
      <c r="R8" s="152"/>
      <c r="S8" s="153"/>
      <c r="T8" s="145">
        <v>0.92</v>
      </c>
      <c r="U8" s="145"/>
      <c r="AD8" s="120">
        <v>123</v>
      </c>
      <c r="AE8" s="112" t="s">
        <v>389</v>
      </c>
    </row>
    <row r="9" spans="4:45" x14ac:dyDescent="0.25">
      <c r="D9" s="141" t="s">
        <v>299</v>
      </c>
      <c r="E9" s="141"/>
      <c r="F9" s="141"/>
      <c r="G9" s="141"/>
      <c r="H9" s="79" t="s">
        <v>300</v>
      </c>
      <c r="I9" s="82" t="s">
        <v>301</v>
      </c>
      <c r="O9" s="82" t="s">
        <v>302</v>
      </c>
      <c r="P9" s="144" t="s">
        <v>298</v>
      </c>
      <c r="Q9" s="144"/>
      <c r="R9" s="144"/>
      <c r="S9" s="144"/>
      <c r="T9" s="145"/>
      <c r="U9" s="145"/>
      <c r="AD9" s="119">
        <v>123</v>
      </c>
      <c r="AE9" s="112" t="s">
        <v>390</v>
      </c>
      <c r="AR9">
        <f>30/4</f>
        <v>7.5</v>
      </c>
    </row>
    <row r="10" spans="4:45" x14ac:dyDescent="0.25">
      <c r="D10" s="141" t="s">
        <v>303</v>
      </c>
      <c r="E10" s="141"/>
      <c r="F10" s="141"/>
      <c r="G10" s="141"/>
      <c r="I10" s="82" t="s">
        <v>304</v>
      </c>
      <c r="O10" s="82">
        <v>4</v>
      </c>
      <c r="P10" s="144"/>
      <c r="Q10" s="144"/>
      <c r="R10" s="144"/>
      <c r="S10" s="144"/>
      <c r="T10" s="145"/>
      <c r="U10" s="145"/>
      <c r="AD10" s="121">
        <v>123</v>
      </c>
      <c r="AE10" s="112" t="s">
        <v>391</v>
      </c>
      <c r="AS10">
        <f>AR9*100</f>
        <v>750</v>
      </c>
    </row>
    <row r="11" spans="4:45" x14ac:dyDescent="0.25">
      <c r="D11" s="141" t="s">
        <v>319</v>
      </c>
      <c r="E11" s="141"/>
      <c r="F11" s="141"/>
      <c r="G11" s="141"/>
      <c r="H11" s="79">
        <v>380</v>
      </c>
      <c r="I11" s="82" t="s">
        <v>306</v>
      </c>
      <c r="O11" s="82" t="s">
        <v>307</v>
      </c>
      <c r="P11" s="146" t="s">
        <v>308</v>
      </c>
      <c r="Q11" s="147"/>
      <c r="R11" s="147"/>
      <c r="S11" s="148"/>
      <c r="T11" s="146">
        <v>0.65</v>
      </c>
      <c r="U11" s="148"/>
      <c r="AD11" s="122">
        <v>123</v>
      </c>
      <c r="AE11" s="112" t="s">
        <v>392</v>
      </c>
    </row>
    <row r="12" spans="4:45" x14ac:dyDescent="0.25">
      <c r="D12" s="141" t="s">
        <v>305</v>
      </c>
      <c r="E12" s="141"/>
      <c r="F12" s="141"/>
      <c r="G12" s="141"/>
      <c r="H12" s="79" t="s">
        <v>318</v>
      </c>
      <c r="I12" s="82" t="s">
        <v>217</v>
      </c>
      <c r="O12" s="82" t="s">
        <v>311</v>
      </c>
      <c r="P12" s="142" t="s">
        <v>312</v>
      </c>
      <c r="Q12" s="142"/>
      <c r="R12" s="142"/>
      <c r="S12" s="142"/>
      <c r="T12" s="142">
        <v>44.5</v>
      </c>
      <c r="U12" s="142"/>
      <c r="AD12" s="117">
        <v>123.4</v>
      </c>
      <c r="AE12" s="112" t="s">
        <v>393</v>
      </c>
    </row>
    <row r="13" spans="4:45" ht="15" customHeight="1" x14ac:dyDescent="0.25">
      <c r="D13" s="141" t="s">
        <v>309</v>
      </c>
      <c r="E13" s="141"/>
      <c r="F13" s="141"/>
      <c r="G13" s="141"/>
      <c r="H13" s="79" t="s">
        <v>310</v>
      </c>
      <c r="I13" s="83"/>
      <c r="O13" s="83"/>
      <c r="P13" s="142" t="s">
        <v>314</v>
      </c>
      <c r="Q13" s="142"/>
      <c r="R13" s="142"/>
      <c r="S13" s="142"/>
      <c r="T13" s="142">
        <v>44.5</v>
      </c>
      <c r="U13" s="142"/>
      <c r="AC13" s="52"/>
      <c r="AD13" s="118">
        <v>123.4</v>
      </c>
      <c r="AE13" s="112" t="s">
        <v>394</v>
      </c>
    </row>
    <row r="14" spans="4:45" x14ac:dyDescent="0.25">
      <c r="D14" s="141" t="s">
        <v>313</v>
      </c>
      <c r="E14" s="141"/>
      <c r="F14" s="141"/>
      <c r="G14" s="141"/>
      <c r="H14" s="80" t="str">
        <f>'&lt;zlight&gt;'!G18&amp;"."&amp;'&lt;zlight&gt;'!H18</f>
        <v>GC_HeadDevice.GC_HDGroup</v>
      </c>
      <c r="I14" s="83"/>
      <c r="O14" s="83"/>
      <c r="P14" s="142" t="s">
        <v>316</v>
      </c>
      <c r="Q14" s="142"/>
      <c r="R14" s="142"/>
      <c r="S14" s="142"/>
      <c r="T14" s="142">
        <v>44.5</v>
      </c>
      <c r="U14" s="142"/>
    </row>
    <row r="15" spans="4:45" x14ac:dyDescent="0.25">
      <c r="D15" s="141" t="s">
        <v>315</v>
      </c>
      <c r="E15" s="141"/>
      <c r="F15" s="141"/>
      <c r="G15" s="141"/>
      <c r="H15" s="79">
        <v>77</v>
      </c>
      <c r="O15" s="102"/>
      <c r="P15" s="143" t="s">
        <v>354</v>
      </c>
      <c r="Q15" s="143"/>
      <c r="R15" s="143"/>
      <c r="S15" s="143"/>
      <c r="T15" s="143" t="e">
        <f ca="1">ROUNDUP((T6*1000)/(VLOOKUP(H11,BD!$B$4:$C$5,2,FALSE)*T8),2)</f>
        <v>#VALUE!</v>
      </c>
      <c r="U15" s="143"/>
    </row>
    <row r="18" spans="3:149" x14ac:dyDescent="0.25">
      <c r="D18" s="1" t="s">
        <v>95</v>
      </c>
      <c r="E18" s="1" t="s">
        <v>78</v>
      </c>
      <c r="F18" s="1" t="s">
        <v>9</v>
      </c>
      <c r="G18" s="1" t="s">
        <v>5</v>
      </c>
      <c r="H18" s="1" t="s">
        <v>6</v>
      </c>
      <c r="I18" s="1" t="s">
        <v>96</v>
      </c>
      <c r="BV18" s="1"/>
      <c r="BY18" s="1"/>
    </row>
    <row r="20" spans="3:149" x14ac:dyDescent="0.25">
      <c r="CN20" s="77" t="s">
        <v>269</v>
      </c>
      <c r="CO20" s="77" t="s">
        <v>270</v>
      </c>
      <c r="CP20" s="77" t="s">
        <v>271</v>
      </c>
      <c r="CQ20" s="77" t="s">
        <v>272</v>
      </c>
      <c r="CR20" s="77" t="s">
        <v>273</v>
      </c>
    </row>
    <row r="21" spans="3:149" ht="15.75" thickBot="1" x14ac:dyDescent="0.3">
      <c r="BV21" s="11"/>
      <c r="BW21" s="11"/>
      <c r="BX21" s="96"/>
      <c r="BY21" s="11"/>
      <c r="BZ21" s="11"/>
      <c r="CA21" s="11"/>
      <c r="CB21" s="98"/>
      <c r="CC21" s="11"/>
      <c r="CD21" s="79"/>
      <c r="CE21" s="79"/>
      <c r="CF21" s="139"/>
      <c r="CG21" s="140"/>
      <c r="CH21" s="99"/>
      <c r="CI21" s="99"/>
      <c r="CJ21" s="99"/>
      <c r="CK21" s="93"/>
      <c r="CL21" s="94"/>
      <c r="CM21" t="s">
        <v>59</v>
      </c>
      <c r="CN21" s="1" t="s">
        <v>331</v>
      </c>
      <c r="CO21" s="1">
        <v>0</v>
      </c>
      <c r="CP21" s="1">
        <v>0</v>
      </c>
      <c r="CQ21" s="1">
        <v>1</v>
      </c>
      <c r="CR21" s="1">
        <v>1</v>
      </c>
      <c r="EA21" t="s">
        <v>58</v>
      </c>
    </row>
    <row r="22" spans="3:149" ht="15.75" customHeight="1" thickBot="1" x14ac:dyDescent="0.3">
      <c r="D22" s="154" t="s">
        <v>108</v>
      </c>
      <c r="E22" s="158" t="s">
        <v>186</v>
      </c>
      <c r="F22" s="160" t="s">
        <v>187</v>
      </c>
      <c r="G22" s="158" t="s">
        <v>188</v>
      </c>
      <c r="H22" s="160" t="s">
        <v>189</v>
      </c>
      <c r="I22" s="160" t="s">
        <v>190</v>
      </c>
      <c r="J22" s="163" t="s">
        <v>325</v>
      </c>
      <c r="K22" s="163"/>
      <c r="L22" s="163"/>
      <c r="M22" s="164" t="s">
        <v>330</v>
      </c>
      <c r="O22" s="156" t="s">
        <v>123</v>
      </c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68" t="s">
        <v>49</v>
      </c>
      <c r="AB22" s="169"/>
      <c r="AC22" s="169"/>
      <c r="AD22" s="169"/>
      <c r="AE22" s="169"/>
      <c r="AF22" s="169"/>
      <c r="AG22" s="169"/>
      <c r="AH22" s="169"/>
      <c r="AI22" s="170"/>
      <c r="AJ22" s="171" t="s">
        <v>129</v>
      </c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3"/>
      <c r="AX22" s="168" t="s">
        <v>218</v>
      </c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  <c r="BN22" s="170"/>
      <c r="BO22" s="174" t="s">
        <v>226</v>
      </c>
      <c r="BP22" s="175"/>
      <c r="BQ22" s="175"/>
      <c r="BR22" s="175"/>
      <c r="BS22" s="175"/>
      <c r="BT22" s="175"/>
      <c r="BU22" s="176"/>
      <c r="BV22" s="166" t="s">
        <v>122</v>
      </c>
      <c r="BW22" s="167"/>
      <c r="BX22" s="167"/>
      <c r="BY22" s="167"/>
      <c r="BZ22" s="167"/>
      <c r="CA22" s="167"/>
      <c r="CB22" s="167"/>
      <c r="CC22" s="167"/>
      <c r="CD22" s="167"/>
      <c r="CE22" s="167"/>
      <c r="CF22" s="167"/>
      <c r="CG22" s="167"/>
      <c r="CH22" s="89"/>
      <c r="CI22" s="91"/>
      <c r="CJ22" s="95"/>
      <c r="CK22" s="95"/>
      <c r="CL22" s="95"/>
      <c r="CM22" t="s">
        <v>59</v>
      </c>
      <c r="CN22" s="1" t="s">
        <v>332</v>
      </c>
      <c r="CO22" s="1">
        <v>60</v>
      </c>
      <c r="CP22" s="1">
        <v>0</v>
      </c>
      <c r="CQ22" s="1">
        <v>1</v>
      </c>
      <c r="CR22" s="1">
        <v>1</v>
      </c>
      <c r="CS22" t="s">
        <v>347</v>
      </c>
      <c r="CT22" t="str">
        <f>H5</f>
        <v>NMO_Name</v>
      </c>
      <c r="CU22" t="s">
        <v>348</v>
      </c>
      <c r="CV22" t="str">
        <f>H6</f>
        <v>ЩРН-12</v>
      </c>
      <c r="CW22" t="s">
        <v>349</v>
      </c>
      <c r="CX22" t="e">
        <f ca="1">"Установленная полная мощность, Ру = "&amp;T5&amp;"кВт"</f>
        <v>#VALUE!</v>
      </c>
      <c r="CY22" t="s">
        <v>350</v>
      </c>
      <c r="CZ22" t="str">
        <f>"Коэффициент спроса, Кс = "&amp;T11</f>
        <v>Коэффициент спроса, Кс = 0,65</v>
      </c>
      <c r="DA22" t="s">
        <v>351</v>
      </c>
      <c r="DB22" t="e">
        <f ca="1">"Расчетная мощность, Рр = "&amp;T6</f>
        <v>#VALUE!</v>
      </c>
      <c r="DC22" t="s">
        <v>352</v>
      </c>
      <c r="DD22" t="str">
        <f>"Коэффициент мощности, cosf = "&amp;T8</f>
        <v>Коэффициент мощности, cosf = 0,92</v>
      </c>
      <c r="DE22" t="s">
        <v>353</v>
      </c>
      <c r="DF22" t="e">
        <f ca="1">"Расчетный ток, Iр = "&amp;T15&amp;"А"</f>
        <v>#VALUE!</v>
      </c>
      <c r="EA22" t="s">
        <v>58</v>
      </c>
    </row>
    <row r="23" spans="3:149" ht="45.75" thickBot="1" x14ac:dyDescent="0.3">
      <c r="D23" s="155"/>
      <c r="E23" s="159"/>
      <c r="F23" s="161"/>
      <c r="G23" s="159"/>
      <c r="H23" s="161"/>
      <c r="I23" s="161"/>
      <c r="J23" s="85" t="s">
        <v>326</v>
      </c>
      <c r="K23" s="85" t="s">
        <v>327</v>
      </c>
      <c r="L23" s="85" t="s">
        <v>328</v>
      </c>
      <c r="M23" s="165"/>
      <c r="O23" s="56" t="s">
        <v>121</v>
      </c>
      <c r="P23" s="56" t="s">
        <v>36</v>
      </c>
      <c r="Q23" s="56" t="s">
        <v>23</v>
      </c>
      <c r="R23" s="57" t="s">
        <v>39</v>
      </c>
      <c r="S23" s="58" t="s">
        <v>42</v>
      </c>
      <c r="T23" s="57" t="s">
        <v>40</v>
      </c>
      <c r="U23" s="59" t="s">
        <v>43</v>
      </c>
      <c r="V23" s="59" t="s">
        <v>37</v>
      </c>
      <c r="W23" s="58" t="s">
        <v>38</v>
      </c>
      <c r="X23" s="60" t="s">
        <v>41</v>
      </c>
      <c r="Y23" s="61" t="s">
        <v>128</v>
      </c>
      <c r="Z23" s="62" t="s">
        <v>109</v>
      </c>
      <c r="AA23" s="63" t="s">
        <v>119</v>
      </c>
      <c r="AB23" s="69" t="s">
        <v>118</v>
      </c>
      <c r="AC23" s="63" t="s">
        <v>120</v>
      </c>
      <c r="AD23" s="63" t="s">
        <v>139</v>
      </c>
      <c r="AE23" s="63" t="s">
        <v>46</v>
      </c>
      <c r="AF23" s="63" t="s">
        <v>44</v>
      </c>
      <c r="AG23" s="63" t="s">
        <v>45</v>
      </c>
      <c r="AH23" s="73" t="s">
        <v>181</v>
      </c>
      <c r="AI23" s="70" t="s">
        <v>140</v>
      </c>
      <c r="AJ23" s="63" t="s">
        <v>130</v>
      </c>
      <c r="AK23" s="63" t="s">
        <v>134</v>
      </c>
      <c r="AL23" s="63" t="s">
        <v>56</v>
      </c>
      <c r="AM23" s="63" t="s">
        <v>131</v>
      </c>
      <c r="AN23" s="63" t="s">
        <v>136</v>
      </c>
      <c r="AO23" s="63" t="s">
        <v>137</v>
      </c>
      <c r="AP23" s="63" t="s">
        <v>132</v>
      </c>
      <c r="AQ23" s="63" t="s">
        <v>135</v>
      </c>
      <c r="AR23" s="63" t="s">
        <v>133</v>
      </c>
      <c r="AS23" s="63" t="s">
        <v>141</v>
      </c>
      <c r="AT23" s="63" t="s">
        <v>177</v>
      </c>
      <c r="AU23" s="63" t="s">
        <v>176</v>
      </c>
      <c r="AV23" s="63" t="s">
        <v>179</v>
      </c>
      <c r="AW23" s="63" t="s">
        <v>178</v>
      </c>
      <c r="AX23" s="106" t="s">
        <v>186</v>
      </c>
      <c r="AY23" s="106" t="s">
        <v>187</v>
      </c>
      <c r="AZ23" s="107" t="s">
        <v>380</v>
      </c>
      <c r="BA23" s="63" t="s">
        <v>329</v>
      </c>
      <c r="BB23" s="107" t="s">
        <v>381</v>
      </c>
      <c r="BC23" s="108" t="s">
        <v>181</v>
      </c>
      <c r="BD23" s="73" t="s">
        <v>382</v>
      </c>
      <c r="BE23" s="73" t="s">
        <v>397</v>
      </c>
      <c r="BF23" s="73" t="s">
        <v>396</v>
      </c>
      <c r="BG23" s="73" t="s">
        <v>395</v>
      </c>
      <c r="BH23" s="63" t="s">
        <v>398</v>
      </c>
      <c r="BI23" s="73" t="s">
        <v>180</v>
      </c>
      <c r="BJ23" s="73" t="s">
        <v>183</v>
      </c>
      <c r="BK23" s="73" t="s">
        <v>220</v>
      </c>
      <c r="BL23" s="63" t="s">
        <v>217</v>
      </c>
      <c r="BM23" s="73" t="s">
        <v>216</v>
      </c>
      <c r="BN23" s="70" t="s">
        <v>219</v>
      </c>
      <c r="BO23" s="76" t="s">
        <v>221</v>
      </c>
      <c r="BP23" s="76" t="s">
        <v>180</v>
      </c>
      <c r="BQ23" s="76" t="s">
        <v>183</v>
      </c>
      <c r="BR23" s="76" t="s">
        <v>220</v>
      </c>
      <c r="BS23" s="76" t="s">
        <v>217</v>
      </c>
      <c r="BT23" s="76" t="s">
        <v>216</v>
      </c>
      <c r="BU23" s="76" t="s">
        <v>219</v>
      </c>
      <c r="BV23" s="166"/>
      <c r="BW23" s="167"/>
      <c r="BX23" s="167"/>
      <c r="BY23" s="167"/>
      <c r="BZ23" s="167"/>
      <c r="CA23" s="167"/>
      <c r="CB23" s="167"/>
      <c r="CC23" s="167"/>
      <c r="CD23" s="167"/>
      <c r="CE23" s="167"/>
      <c r="CF23" s="167"/>
      <c r="CG23" s="167"/>
      <c r="CH23" s="89"/>
      <c r="CI23" s="91"/>
      <c r="CJ23" s="95"/>
      <c r="CK23" s="95"/>
      <c r="CL23" s="95"/>
      <c r="CO23" s="1">
        <v>35</v>
      </c>
      <c r="EB23" s="162" t="s">
        <v>361</v>
      </c>
      <c r="EC23" s="162"/>
      <c r="ED23" s="162"/>
      <c r="EE23" s="162"/>
      <c r="EF23" s="162"/>
      <c r="EG23" s="162"/>
      <c r="EH23" s="162"/>
      <c r="EI23" s="162"/>
      <c r="EJ23" s="162"/>
      <c r="EK23" s="162" t="s">
        <v>365</v>
      </c>
      <c r="EL23" s="162"/>
      <c r="EM23" s="162"/>
      <c r="EN23" s="162"/>
      <c r="EO23" s="162"/>
      <c r="EP23" s="162"/>
      <c r="EQ23" s="162"/>
      <c r="ER23" s="162"/>
      <c r="ES23" s="162"/>
    </row>
    <row r="24" spans="3:149" x14ac:dyDescent="0.25">
      <c r="C24" t="s">
        <v>279</v>
      </c>
      <c r="D24" s="64" t="str">
        <f>IF('&lt;zlight&gt;DEVEXPORT'!P11=1,'&lt;zlight&gt;DEVEXPORT'!F11,"")</f>
        <v>SLCABAGEN1_NGHeadDevice</v>
      </c>
      <c r="E24" s="111" t="str">
        <f>IF(D24="","","АВ")</f>
        <v>АВ</v>
      </c>
      <c r="F24" s="111">
        <f>IF(D24="","",1)</f>
        <v>1</v>
      </c>
      <c r="G24" s="111" t="str">
        <f>IF(D24="","","АВ")</f>
        <v>АВ</v>
      </c>
      <c r="H24" s="64" t="e">
        <f ca="1">IF(E24="","",IF(F24="",BL24&amp;", "&amp;BM24&amp;", "&amp;BN24,IF(MATCH(F24,$F$24:F24,0)=MATCH(F24,$F$24:F24,1),BL24&amp;", "&amp;BM24&amp;", "&amp;BN24,"")))</f>
        <v>#VALUE!</v>
      </c>
      <c r="I24" s="64" t="e">
        <f ca="1">IF(G24="","",BS24&amp;", "&amp;BT24&amp;", "&amp;BU24)</f>
        <v>#VALUE!</v>
      </c>
      <c r="J24" s="1">
        <f>IF(BZ24=0,1,0)</f>
        <v>1</v>
      </c>
      <c r="K24" s="1">
        <f>IF(BZ24=0,0,IF(L24=0,IF(MATCH(BZ24,$O$24:O24,0)=0,0,1),0))</f>
        <v>0</v>
      </c>
      <c r="L24" s="1">
        <f>IF(BZ24=0,0,IF(INDEX($BZ$24:BZ24,MATCH(BZ24,$O$24:O24,0))=0,0,1))</f>
        <v>0</v>
      </c>
      <c r="M24" s="88" t="e">
        <f ca="1">IF(AJ24="","",AJ24&amp;"; "&amp;AK24&amp;" L="&amp;AL24&amp;"м")</f>
        <v>#N/A</v>
      </c>
      <c r="O24" s="65" t="str">
        <f>'&lt;zlight&gt;DEVEXPORT'!G11</f>
        <v>NMO_BaseName</v>
      </c>
      <c r="P24" s="86" t="e">
        <f ca="1">IF(IFERROR(BW24,1)=1,VLOOKUP('&lt;zlight&gt;DEVEXPORT'!M11,BD!$A$4:$C$5,2,FALSE),INDIRECT("'"&amp;O24&amp;"'!"&amp;"G1"))</f>
        <v>#N/A</v>
      </c>
      <c r="Q24" s="86" t="e">
        <f ca="1">IF(IFERROR(BW24,1)=1,VLOOKUP('&lt;zlight&gt;DEVEXPORT'!N11,BD!$A$10:$B$13,2,FALSE),INDIRECT("'"&amp;O24&amp;"'!"&amp;"H1"))</f>
        <v>#N/A</v>
      </c>
      <c r="R24" s="86" t="e">
        <f ca="1">IF(IFERROR(BW24,1)=1,W24*V24,INDIRECT("'"&amp;O24&amp;"'!"&amp;"E1"))</f>
        <v>#VALUE!</v>
      </c>
      <c r="S24" s="86" t="str">
        <f ca="1">IF(IFERROR(BW24,1)=1,'&lt;zlight&gt;DEVEXPORT'!K11,INDIRECT("'"&amp;O24&amp;"'!"&amp;"F1"))</f>
        <v>CosPHI</v>
      </c>
      <c r="T24" s="87" t="e">
        <f ca="1">ROUNDUP((R24*1000)/(VLOOKUP(P24,BD!$B$4:$C$5,2,FALSE)*S24),2)</f>
        <v>#VALUE!</v>
      </c>
      <c r="U24" s="65" t="e">
        <f ca="1">ROUNDUP(R24*ROUNDUP(TAN(ACOS(S24)),2),2)</f>
        <v>#VALUE!</v>
      </c>
      <c r="V24" s="65" t="str">
        <f>'&lt;zlight&gt;DEVEXPORT'!J11</f>
        <v>Power</v>
      </c>
      <c r="W24" s="65">
        <f>'&lt;zlight&gt;DEVEXPORT'!Q11</f>
        <v>1</v>
      </c>
      <c r="X24" s="65">
        <v>1</v>
      </c>
      <c r="Y24" s="66"/>
      <c r="Z24" s="65" t="str">
        <f>'&lt;zlight&gt;DEVEXPORT'!C11</f>
        <v>realnamedev</v>
      </c>
      <c r="AA24" s="67">
        <v>1</v>
      </c>
      <c r="AB24" s="67" t="e">
        <f ca="1">IF(D24="","",ROUNDUP(COS(ATAN(ROUNDUP(AF24/AC24,2))),2))</f>
        <v>#VALUE!</v>
      </c>
      <c r="AC24" s="67" t="e">
        <f ca="1">IF(D24="","",AA24*SUMIFS($R$24:$R$12000,$BV$24:$BV$12000,BV24))</f>
        <v>#VALUE!</v>
      </c>
      <c r="AD24" s="67" t="e">
        <f ca="1">IF(D24="","",ROUNDUP((1/1000)*(100/P24)*IF(P24&lt;380,2,SQRT(3))*AE24*AL24*(INDEX(INDIRECT("BDКаб!"&amp;INDEX(BDКаб!$C$4:$AH$4,1,MATCH(AM24&amp;AN24&amp;AO24&amp;"R",BDКаб!$C$3:$AH$3,0))),MATCH(AQ24,BDКаб!$B$5:$B$12,0))*AB24 + INDEX(INDIRECT("BDКаб!"&amp;INDEX(BDКаб!$C$4:$AH$4,1,MATCH(AM24&amp;AN24&amp;AO24&amp;"X",BDКаб!$C$3:$AH$3,0))),MATCH(AQ24,BDКаб!$B$5:$B$12,0))*SQRT(1-AB24*AB24)),2))</f>
        <v>#N/A</v>
      </c>
      <c r="AE24" s="67" t="e">
        <f ca="1">IF(D24="","",ROUNDUP((AC24*1000)/(VLOOKUP(P24,BD!$B$4:$C$5,2,FALSE)*AB24),2))</f>
        <v>#VALUE!</v>
      </c>
      <c r="AF24" s="67" t="e">
        <f ca="1">IF(D24="","",AA24*SUMIFS($U$24:$U$12000,$BV$24:$BV$12000,BV24))</f>
        <v>#VALUE!</v>
      </c>
      <c r="AG24" s="67" t="e">
        <f ca="1">IF(D24="","",ROUNDUP(SQRT(AC24*AC24+AF24*AF24),2))</f>
        <v>#VALUE!</v>
      </c>
      <c r="AH24" s="68">
        <f>IF(D24="","",1.3)</f>
        <v>1.3</v>
      </c>
      <c r="AI24" s="68">
        <f>IF(AJ24="","",3)</f>
        <v>3</v>
      </c>
      <c r="AJ24" s="67" t="str">
        <f>IF(D24="",IF(BZ24=0,"",IF(BZ24=O24,"",BZ24&amp;"."&amp;CA24)),'&lt;zlight&gt;DEVEXPORT'!E11&amp;"."&amp;'&lt;zlight&gt;DEVEXPORT'!F11)</f>
        <v>SLCABAGEN1_HeadDeviceName.SLCABAGEN1_NGHeadDevice</v>
      </c>
      <c r="AK24" s="67" t="e">
        <f ca="1">IF(AJ24="","",AR24&amp;"-"&amp;AP24&amp;"х"&amp;AQ24&amp;"мм²")</f>
        <v>#N/A</v>
      </c>
      <c r="AL24" s="67">
        <f>IF(AJ24="","",SUMIFS('&lt;zall&gt;CABEXPORT'!$F$4:$F$120000,'&lt;zall&gt;CABEXPORT'!$D$4:$D$120000,AJ24))</f>
        <v>0</v>
      </c>
      <c r="AM24" s="68" t="str">
        <f>IF(AJ24="","","М")</f>
        <v>М</v>
      </c>
      <c r="AN24" s="68" t="str">
        <f>IF(AJ24="","","М")</f>
        <v>М</v>
      </c>
      <c r="AO24" s="68" t="str">
        <f>IF(AJ24="","","В")</f>
        <v>В</v>
      </c>
      <c r="AP24" s="66" t="e">
        <f ca="1">IF(AJ24="","",IF(P24=380,5,3))</f>
        <v>#N/A</v>
      </c>
      <c r="AQ24" s="66" t="e">
        <f ca="1">IF(AJ24="","",IF(AT24&gt;IF(AV24&gt;AW24,AV24,AW24),AT24,IF(AV24&gt;AW24,AV24,AW24)))</f>
        <v>#VALUE!</v>
      </c>
      <c r="AR24" s="66" t="str">
        <f>IF(AJ24="","","ВВГнг(А)-LS")</f>
        <v>ВВГнг(А)-LS</v>
      </c>
      <c r="AS24" s="66" t="e">
        <f ca="1">IF(AJ24="","",(AI24*380*1000)/(SQRT(3)*IF(AJ24="","",IF(D24="",T24,AE24))*AL24*100))</f>
        <v>#VALUE!</v>
      </c>
      <c r="AT24" s="68"/>
      <c r="AU24" s="68"/>
      <c r="AV24" s="66" t="e">
        <f ca="1">IF(AJ24="","",INDEX(BDКаб!$B$5:$B$12,MATCH(AS24,INDIRECT("BDКаб!"&amp;HLOOKUP(AM24&amp;AN24&amp;AO24&amp;"Z",BDКаб!$B$3:$AH$4,2,FALSE)),-1)+1))</f>
        <v>#VALUE!</v>
      </c>
      <c r="AW24" s="66" t="e">
        <f ca="1">IF(AJ24="","",INDEX(BDКаб!$B$5:$B$12,MATCH(IF(AJ24="","",IF(D24="",T24,AE24)),INDIRECT("BDКаб!"&amp;HLOOKUP(AM24&amp;AN24&amp;AO24&amp;"I",BDКаб!$B$3:$AH$4,2,FALSE)),1)+1))</f>
        <v>#VALUE!</v>
      </c>
      <c r="AX24" s="114" t="str">
        <f>IF(E24="","",E24)</f>
        <v>АВ</v>
      </c>
      <c r="AY24" s="114">
        <f>IF(F24="","",F24)</f>
        <v>1</v>
      </c>
      <c r="AZ24" s="114" t="e">
        <f ca="1">IF(AE24="","",AE24)</f>
        <v>#VALUE!</v>
      </c>
      <c r="BA24" s="120" t="e">
        <f ca="1">IF(AX24="","",IF(AY24="",AZ24,SUMIFS($AZ$24:$AZ$500000,$AY$24:$AY$500000,AY24)))</f>
        <v>#VALUE!</v>
      </c>
      <c r="BB24" s="114" t="e">
        <f ca="1">IF(AX24="","",IF(P24&lt;380,1,3))</f>
        <v>#N/A</v>
      </c>
      <c r="BC24" s="113">
        <f>IF(AX24="","",1.3)</f>
        <v>1.3</v>
      </c>
      <c r="BD24" s="120" t="e">
        <f ca="1">IF(AX24="","",IF(BC24="",BA24*1.3,BC24*BA24))</f>
        <v>#VALUE!</v>
      </c>
      <c r="BE24" s="120" t="e">
        <f ca="1">IF(AX24="","",INDEX(INDIRECT("BD!"&amp;INDEX(BD!$K$5:$BX$5,1,MATCH(AX24&amp;"I",BD!$K$4:$BY$4,0))),MATCH(BD24,INDIRECT("BD!"&amp;INDEX(BD!$K$5:$BX$5,1,MATCH(AX24&amp;"I",BD!$K$4:$BY$4,0))),-1)))</f>
        <v>#VALUE!</v>
      </c>
      <c r="BF24" s="111">
        <f>IF(AX24="","",10)</f>
        <v>10</v>
      </c>
      <c r="BG24" s="113"/>
      <c r="BH24" s="120" t="e">
        <f ca="1">IF(AX24="","",IF(BG24="",IF(BE24&gt;=BF24,BE24,BF24),BG24))</f>
        <v>#VALUE!</v>
      </c>
      <c r="BI24" s="68" t="str">
        <f>IF(E24="","","C")</f>
        <v>C</v>
      </c>
      <c r="BJ24" s="72" t="e">
        <f ca="1">IF(E24="","",IF(P24=380,3,1))</f>
        <v>#N/A</v>
      </c>
      <c r="BK24" s="72" t="str">
        <f>IF(E24="","","30")</f>
        <v>30</v>
      </c>
      <c r="BL24" s="72" t="e">
        <f ca="1">IF(E24="","",INDEX(INDIRECT("BD!"&amp;INDEX(BD!$K$5:$BX$5,1,MATCH(E24&amp;"О",BD!$K$4:$BY$4,0))),MATCH(BE24,INDIRECT("BD!"&amp;INDEX(BD!$K$5:$BX$5,1,MATCH(E24&amp;"I",BD!$K$4:$BY$4,0))),0))&amp;D24)</f>
        <v>#VALUE!</v>
      </c>
      <c r="BM24" s="71" t="e">
        <f ca="1">IF(E24="","",INDEX(INDIRECT("BD!"&amp;INDEX(BD!$K$5:$BX$5,1,MATCH(E24&amp;"М",BD!$K$4:$BY$4,0))),MATCH(BE24,INDIRECT("BD!"&amp;INDEX(BD!$K$5:$BX$5,1,MATCH(E24&amp;"I",BD!$K$4:$BY$4,0))),0)))</f>
        <v>#VALUE!</v>
      </c>
      <c r="BN24" t="e">
        <f ca="1">IF(E24="","",BJ24&amp;"P,"&amp;BE24&amp;"А,"&amp;BI24&amp;IF(BK24="","",","&amp;BK24&amp;"мА"))</f>
        <v>#N/A</v>
      </c>
      <c r="BO24" s="67" t="e">
        <f ca="1">IF(G24="","",INDEX(INDIRECT("BD!"&amp;INDEX(BD!$K$5:$CA$5,1,MATCH(G24&amp;"I",BD!$K$4:$CB$4,0))),MATCH(AH24*AE24,INDIRECT("BD!"&amp;INDEX(BD!$K$5:$CA$5,1,MATCH(G24&amp;"I",BD!$K$4:$CB$4,0))),-1)))</f>
        <v>#VALUE!</v>
      </c>
      <c r="BP24" s="68" t="str">
        <f>IF(G24="","","C")</f>
        <v>C</v>
      </c>
      <c r="BQ24" s="72" t="str">
        <f>IF(G24="","","3")</f>
        <v>3</v>
      </c>
      <c r="BR24" s="72" t="str">
        <f>IF(G24="","","30")</f>
        <v>30</v>
      </c>
      <c r="BS24" s="72" t="e">
        <f ca="1">IF(G24="","",INDEX(INDIRECT("BD!"&amp;INDEX(BD!$K$5:$CA$5,1,MATCH(G24&amp;"О",BD!$K$4:$CB$4,0))),MATCH(BO24,INDIRECT("BD!"&amp;INDEX(BD!$K$5:$CA$5,1,MATCH(G24&amp;"I",BD!$K$4:$CB$4,0))),0))&amp;D24)</f>
        <v>#VALUE!</v>
      </c>
      <c r="BT24" s="71" t="e">
        <f ca="1">IF(G24="","",INDEX(INDIRECT("BD!"&amp;INDEX(BD!$K$5:$CA$5,1,MATCH(G24&amp;"М",BD!$K$4:$CB$4,0))),MATCH(BO24,INDIRECT("BD!"&amp;INDEX(BD!$K$5:$CA$5,1,MATCH(G24&amp;"I",BD!$K$4:$CB$4,0))),0)))</f>
        <v>#VALUE!</v>
      </c>
      <c r="BU24" t="e">
        <f ca="1">IF(G24="","",BQ24&amp;"P,"&amp;BO24&amp;"А,"&amp;BP24&amp;IF(BR24="","",","&amp;BR24&amp;"мА"))</f>
        <v>#VALUE!</v>
      </c>
      <c r="BV24" s="11" t="str">
        <f>'&lt;zlight&gt;DEVEXPORT'!V11</f>
        <v>SLCABAGEN1_NGHeadDevice</v>
      </c>
      <c r="BW24" s="11" t="e">
        <f ca="1">INDIRECT("'"&amp;O24&amp;"'!"&amp;"X14")</f>
        <v>#REF!</v>
      </c>
      <c r="BX24" s="97">
        <f>COUNT($BV$24:BV24)</f>
        <v>0</v>
      </c>
      <c r="BY24" s="97">
        <f>IF('&lt;zlight&gt;DEVEXPORT'!T11=0,'&lt;zlight&gt;DEVEXPORT'!T11,1)</f>
        <v>0</v>
      </c>
      <c r="BZ24" s="97">
        <f>IF('&lt;zlight&gt;DEVEXPORT'!U11=0,0,'&lt;zlight&gt;DEVEXPORT'!U11)</f>
        <v>0</v>
      </c>
      <c r="CA24" s="97">
        <f>IF('&lt;zlight&gt;DEVEXPORT'!U11=0,0,'&lt;zlight&gt;DEVEXPORT'!F11)</f>
        <v>0</v>
      </c>
      <c r="CB24" s="90">
        <f>IF(MATCH(BV24,$BV$24:BV24,0)=COUNT($BV$24:BV24),COUNTIFS(F24:$F$120000,F24),0)</f>
        <v>0</v>
      </c>
      <c r="CC24" s="11">
        <f>IF(INDEX($CB$24:CB24,MATCH(BV24,$BV$24:BV24,0))&gt;1,IF(CB24=0,2,1),IF(CB24=1,1,0))</f>
        <v>0</v>
      </c>
      <c r="CD24" s="90" t="e">
        <f>INDEX($BY$24:BY24,COUNT($BV$24:BV24)-1)</f>
        <v>#VALUE!</v>
      </c>
      <c r="CE24" s="90">
        <f>IF(INDEX($BY$24:$BY$120000,COUNT($BV$24:BV24))=1,IF(INDEX($BY$24:$BY$120000,COUNT($BV$24:BV24)+1)=1,1,0),0)</f>
        <v>0</v>
      </c>
      <c r="CF24" s="100" t="e">
        <f>IF(COUNT($BV$24:BV24)=1,1,IF(INDEX($BV$24:BV24,COUNT($BV$24:BV24)-1)=INDEX($BV$24:BV24,COUNT($BV$24:BV24)),0,COUNT($BV$24:BV24)))</f>
        <v>#VALUE!</v>
      </c>
      <c r="CG24" s="100" t="e">
        <f>IF(CF24&gt;0,ROW(),"-")</f>
        <v>#VALUE!</v>
      </c>
      <c r="CH24" s="100">
        <f>IF(BZ24=0,0,SUMIFS(BY24:$BY$120000,BZ24:$BZ$120000,BZ24))</f>
        <v>0</v>
      </c>
      <c r="CI24" s="100" t="e">
        <f ca="1">IF(COUNTIF(INDIRECT(ADDRESS(ROW(),COLUMN(BZ24))&amp;":"&amp;ADDRESS(MIN(CG24:$CG$120000),COLUMN(BZ24))),0)&gt;1,1,0)</f>
        <v>#VALUE!</v>
      </c>
      <c r="CJ24" s="90" t="e">
        <f>IF(BX24=1,0,IF(INDEX($BV$24:BV24,BX24-1)=BV24,IF(INDEX($BZ$24:BZ24,BX24-1)=BZ24,IF(INDEX($CA$24:CA24,BX24-1)=CA24,1,0),0),0))</f>
        <v>#VALUE!</v>
      </c>
      <c r="CK24" s="94">
        <f>MATCH(1,J24:L24,0)</f>
        <v>1</v>
      </c>
      <c r="CL24" s="101" t="e">
        <f>IF(BX24&lt;&gt;1,INDEX($CL$24:CL24,BX24-1)+25 - IF(BY24=0,IF(CD24=1,IF(CH24&lt;2,25,0),0),0),60)</f>
        <v>#VALUE!</v>
      </c>
      <c r="CM24" t="s">
        <v>59</v>
      </c>
      <c r="CN24" s="1" t="s">
        <v>333</v>
      </c>
      <c r="CO24" s="1" t="e">
        <f>CL24</f>
        <v>#VALUE!</v>
      </c>
      <c r="CP24" s="1">
        <v>0</v>
      </c>
      <c r="CQ24" s="1">
        <v>1</v>
      </c>
      <c r="CR24" s="1">
        <v>1</v>
      </c>
      <c r="CS24" s="1" t="s">
        <v>334</v>
      </c>
      <c r="CT24" s="1" t="e">
        <f ca="1">IF(Q24="ABC","BOOLEAN_1","BOOLEAN_0")</f>
        <v>#N/A</v>
      </c>
      <c r="CU24" s="1" t="s">
        <v>335</v>
      </c>
      <c r="CV24" s="1" t="e">
        <f ca="1">IF(H24&lt;&gt;"","INTEGER_0",IF(CB24=0,IF(CC24=0,"INTEGER_3","INTEGER_"&amp;CC24),"INTEGER_"&amp;CC24))</f>
        <v>#VALUE!</v>
      </c>
      <c r="CW24" s="92" t="s">
        <v>336</v>
      </c>
      <c r="CX24" s="1" t="str">
        <f t="shared" ref="CX24" ca="1" si="0">IFERROR(_xlfn.IFS(CV24="INTEGER_0","INTEGER_0",CV24="INTEGER_1","INTEGER_0",IF(CD24=1,IF(CK24=1,1,0),0),"INTEGER_1",IF(BY24=1,IF(CD24=1,1,0),0),"INTEGER_2",IF(BY24=0,IF(CD24=1,1,0),0),"INTEGER_0",IF(CD24=1,IF(CK24=2,IF(BZ24=0,IF(CI24=0,1,0),0),0),0),"INTEGER_2",IF(CD24=1,IF(CK24=2,IF(BZ24=0,IF(CI24&lt;&gt;0,1,0),0),0),0),"INTEGER_4",IF(CD24=1,IF(CK24=2,IF(BZ24&lt;&gt;0,1,0),0),0),"INTEGER_3",IF(CD24=0,IF(BY24=1,IF(CJ24=1,1,0),0),0),"INTEGER_5"),"INTEGER_0")</f>
        <v>INTEGER_0</v>
      </c>
      <c r="CY24" s="92" t="s">
        <v>337</v>
      </c>
      <c r="CZ24" s="1" t="str">
        <f t="shared" ref="CZ24" si="1">"INTEGER_0"</f>
        <v>INTEGER_0</v>
      </c>
      <c r="DA24" s="92" t="s">
        <v>338</v>
      </c>
      <c r="DB24" s="1" t="str">
        <f t="shared" ref="DB24" ca="1" si="2">IFERROR(_xlfn.IFS(CV24="INTEGER_0","INTEGER_4",CV24="INTEGER_1","INTEGER_4",IF(BY24=1,IF(CD24=1,1,0),0),"INTEGER_2",CX24="INTEGER_5","INTEGER_3"),"INTEGER_0")</f>
        <v>INTEGER_0</v>
      </c>
      <c r="DC24" s="92" t="s">
        <v>339</v>
      </c>
      <c r="DD24" s="1" t="str">
        <f ca="1">IFERROR(_xlfn.IFS(BY24=1,"INTEGER_0",I24&lt;&gt;"","INTEGER_0",H24&lt;&gt;"","INTEGER_0",IF(CD24=1,1,0),"INTEGER_0",IF(BY24=0,IF(CD24=0,IF(AJ24="",1,0),0),0),"INTEGER_3",IF(BY24=0,IF(CD24=0,IF(AJ24=INDEX($AJ$24:AJ24,BX24-1),1,0),0),0),"INTEGER_3"),"INTEGER_0")</f>
        <v>INTEGER_0</v>
      </c>
      <c r="DE24" s="92" t="s">
        <v>340</v>
      </c>
      <c r="DF24" s="1" t="str">
        <f t="shared" ref="DF24" si="3">IF(CE24=0,"INTEGER_0","INTEGER_0")</f>
        <v>INTEGER_0</v>
      </c>
      <c r="DG24" s="92" t="s">
        <v>341</v>
      </c>
      <c r="DH24" s="1" t="str">
        <f ca="1">IFERROR(_xlfn.IFS(IF(BY24=1,1,0),"INTEGER_0",I24&lt;&gt;"","INTEGER_5",H24&lt;&gt;"","INTEGER_5",DD24="INTEGER_3","INTEGER_3",IF(CD24=1,IF(BY24=0,1,0),0),"INTEGER_5",IF(AJ24=INDEX($AJ$24:AJ24,BX24-1),1,0),"INTEGER_5"),"INTEGER_0")</f>
        <v>INTEGER_0</v>
      </c>
      <c r="DI24" s="1" t="s">
        <v>342</v>
      </c>
      <c r="DJ24" s="1" t="str">
        <f>IF(W24&gt;1,O24&amp;"("&amp;W24&amp;"шт.)",O24)</f>
        <v>NMO_BaseName</v>
      </c>
      <c r="DK24" s="1" t="s">
        <v>344</v>
      </c>
      <c r="DL24" s="1" t="e">
        <f ca="1">R24</f>
        <v>#VALUE!</v>
      </c>
      <c r="DM24" s="1" t="s">
        <v>345</v>
      </c>
      <c r="DN24" s="1" t="e">
        <f ca="1">T24</f>
        <v>#VALUE!</v>
      </c>
      <c r="DO24" s="1" t="s">
        <v>346</v>
      </c>
      <c r="DP24" s="1" t="e">
        <f ca="1">Z24&amp;"\P~"&amp;P24&amp;"V"</f>
        <v>#N/A</v>
      </c>
      <c r="DQ24" s="103" t="s">
        <v>355</v>
      </c>
      <c r="DR24" s="103" t="str">
        <f>AJ24</f>
        <v>SLCABAGEN1_HeadDeviceName.SLCABAGEN1_NGHeadDevice</v>
      </c>
      <c r="DS24" s="103" t="s">
        <v>356</v>
      </c>
      <c r="DT24" s="103" t="s">
        <v>357</v>
      </c>
      <c r="DU24" s="103" t="s">
        <v>358</v>
      </c>
      <c r="DV24" s="103" t="s">
        <v>357</v>
      </c>
      <c r="DW24" s="103" t="s">
        <v>359</v>
      </c>
      <c r="DX24" s="103" t="e">
        <f ca="1">AK24</f>
        <v>#N/A</v>
      </c>
      <c r="DY24" s="103" t="str">
        <f>"VSCHEMACable22"</f>
        <v>VSCHEMACable22</v>
      </c>
      <c r="DZ24" s="103" t="str">
        <f>IF(AL24&lt;&gt;"","L="&amp;AL24&amp;"м"," ")</f>
        <v>L=0м</v>
      </c>
      <c r="EA24" t="s">
        <v>58</v>
      </c>
      <c r="EB24" t="e">
        <f ca="1">IF(H24&lt;&gt;"","&lt;zinsertblock&gt;","")</f>
        <v>#VALUE!</v>
      </c>
      <c r="EC24" s="1" t="e">
        <f ca="1">IF(EB24="","",INDEX(INDIRECT("BD!"&amp;INDEX(BD!$K$5:$BX$5,1,MATCH(E24&amp;"UGO",BD!$K$4:$BY$4,0))),MATCH(BE24,INDIRECT("BD!"&amp;INDEX(BD!$K$5:$BX$5,1,MATCH(E24&amp;"I",BD!$K$4:$BY$4,0))),0)))</f>
        <v>#VALUE!</v>
      </c>
      <c r="ED24" s="1" t="e">
        <f ca="1">IF(EB24="","",CO24+INDEX(INDIRECT("BD!"&amp;INDEX(BD!$K$5:$BX$5,1,MATCH(E24&amp;"MOVEX",BD!$K$4:$BY$4,0))),MATCH(BE24,INDIRECT("BD!"&amp;INDEX(BD!$K$5:$BX$5,1,MATCH(E24&amp;"I",BD!$K$4:$BY$4,0))),0)))</f>
        <v>#VALUE!</v>
      </c>
      <c r="EE24" s="1" t="e">
        <f ca="1">IF(EB24="","",CP24+INDEX(INDIRECT("BD!"&amp;INDEX(BD!$K$5:$BX$5,1,MATCH(E24&amp;"MOVEY",BD!$K$4:$BY$4,0))),MATCH(BE24,INDIRECT("BD!"&amp;INDEX(BD!$K$5:$BX$5,1,MATCH(E24&amp;"I",BD!$K$4:$BY$4,0))),0)))</f>
        <v>#VALUE!</v>
      </c>
      <c r="EF24" s="1">
        <v>1</v>
      </c>
      <c r="EG24" s="1">
        <v>1</v>
      </c>
      <c r="EH24" s="1" t="s">
        <v>366</v>
      </c>
      <c r="EI24" s="1" t="e">
        <f ca="1">BL24&amp;"\P"&amp;BM24&amp;"\P"&amp;BN24</f>
        <v>#VALUE!</v>
      </c>
      <c r="EJ24" t="e">
        <f ca="1">IF(EB24="","","&lt;/zinsertblock&gt;")</f>
        <v>#VALUE!</v>
      </c>
      <c r="EK24" t="e">
        <f ca="1">IF(I24&lt;&gt;"","&lt;zinsertblock&gt;","")</f>
        <v>#VALUE!</v>
      </c>
      <c r="EL24" s="1" t="e">
        <f ca="1">IF(EK24="","",INDEX(INDIRECT("BD!"&amp;INDEX(BD!$K$5:$CA$5,1,MATCH(G24&amp;"UGO",BD!$K$4:$CB$4,0))),MATCH(BO24,INDIRECT("BD!"&amp;INDEX(BD!$K$5:$CA$5,1,MATCH(G24&amp;"I",BD!$K$4:$CB$4,0))),0)))</f>
        <v>#VALUE!</v>
      </c>
      <c r="EM24" s="1" t="e">
        <f ca="1">IF(EK24="","",CO24+INDEX(INDIRECT("BD!"&amp;INDEX(BD!$K$5:$CA$5,1,MATCH(G24&amp;"MOVEX",BD!$K$4:$CB$4,0))),MATCH(BO24,INDIRECT("BD!"&amp;INDEX(BD!$K$5:$CA$5,1,MATCH(G24&amp;"I",BD!$K$4:$CB$4,0))),0)))</f>
        <v>#VALUE!</v>
      </c>
      <c r="EN24" s="1" t="e">
        <f ca="1">IF(EK24="","",CP24-20+INDEX(INDIRECT("BD!"&amp;INDEX(BD!$K$5:$CA$5,1,MATCH(G24&amp;"MOVEY",BD!$K$4:$CB$4,0))),MATCH(BO24,INDIRECT("BD!"&amp;INDEX(BD!$K$5:$CA$5,1,MATCH(G24&amp;"I",BD!$K$4:$CB$4,0))),0)))</f>
        <v>#VALUE!</v>
      </c>
      <c r="EO24" s="1">
        <v>1</v>
      </c>
      <c r="EP24" s="1">
        <v>1</v>
      </c>
      <c r="EQ24" s="1" t="s">
        <v>366</v>
      </c>
      <c r="ER24" s="1" t="e">
        <f ca="1">BS24&amp;"\P"&amp;BT24&amp;"\P"&amp;BU24</f>
        <v>#VALUE!</v>
      </c>
      <c r="ES24" t="e">
        <f ca="1">IF(EK24="","","&lt;/zinsertblock&gt;")</f>
        <v>#VALUE!</v>
      </c>
    </row>
  </sheetData>
  <mergeCells count="50">
    <mergeCell ref="EB23:EJ23"/>
    <mergeCell ref="EK23:ES23"/>
    <mergeCell ref="I22:I23"/>
    <mergeCell ref="J22:L22"/>
    <mergeCell ref="M22:M23"/>
    <mergeCell ref="BV22:CG23"/>
    <mergeCell ref="AA22:AI22"/>
    <mergeCell ref="AJ22:AW22"/>
    <mergeCell ref="BO22:BU22"/>
    <mergeCell ref="AX22:BN22"/>
    <mergeCell ref="D22:D23"/>
    <mergeCell ref="O22:Z22"/>
    <mergeCell ref="E22:E23"/>
    <mergeCell ref="F22:F23"/>
    <mergeCell ref="G22:G23"/>
    <mergeCell ref="H22:H23"/>
    <mergeCell ref="D6:G6"/>
    <mergeCell ref="P6:S6"/>
    <mergeCell ref="T6:U6"/>
    <mergeCell ref="T8:U8"/>
    <mergeCell ref="P8:S8"/>
    <mergeCell ref="D7:G7"/>
    <mergeCell ref="P7:S7"/>
    <mergeCell ref="T7:U7"/>
    <mergeCell ref="D8:G8"/>
    <mergeCell ref="D4:H4"/>
    <mergeCell ref="P4:U4"/>
    <mergeCell ref="D5:G5"/>
    <mergeCell ref="P5:S5"/>
    <mergeCell ref="T5:U5"/>
    <mergeCell ref="P9:S10"/>
    <mergeCell ref="T9:U10"/>
    <mergeCell ref="D9:G9"/>
    <mergeCell ref="T12:U12"/>
    <mergeCell ref="D12:G12"/>
    <mergeCell ref="P11:S11"/>
    <mergeCell ref="T11:U11"/>
    <mergeCell ref="D11:G11"/>
    <mergeCell ref="D10:G10"/>
    <mergeCell ref="CF21:CG21"/>
    <mergeCell ref="D15:G15"/>
    <mergeCell ref="P14:S14"/>
    <mergeCell ref="P12:S12"/>
    <mergeCell ref="T14:U14"/>
    <mergeCell ref="D14:G14"/>
    <mergeCell ref="P13:S13"/>
    <mergeCell ref="T13:U13"/>
    <mergeCell ref="D13:G13"/>
    <mergeCell ref="P15:S15"/>
    <mergeCell ref="T15:U15"/>
  </mergeCells>
  <conditionalFormatting sqref="P24">
    <cfRule type="expression" dxfId="102" priority="332">
      <formula>NOT(_xlfn.ISFORMULA(P24))</formula>
    </cfRule>
  </conditionalFormatting>
  <conditionalFormatting sqref="Q24">
    <cfRule type="expression" dxfId="101" priority="326">
      <formula>NOT(_xlfn.ISFORMULA(Q24))</formula>
    </cfRule>
  </conditionalFormatting>
  <conditionalFormatting sqref="R24">
    <cfRule type="expression" dxfId="100" priority="325">
      <formula>NOT(_xlfn.ISFORMULA(R24))</formula>
    </cfRule>
  </conditionalFormatting>
  <conditionalFormatting sqref="S24">
    <cfRule type="expression" dxfId="99" priority="324">
      <formula>NOT(_xlfn.ISFORMULA(S24))</formula>
    </cfRule>
  </conditionalFormatting>
  <conditionalFormatting sqref="Y24">
    <cfRule type="expression" dxfId="98" priority="323">
      <formula>NOT(_xlfn.ISFORMULA(Y24))</formula>
    </cfRule>
  </conditionalFormatting>
  <conditionalFormatting sqref="AP24">
    <cfRule type="expression" dxfId="97" priority="321">
      <formula>NOT(_xlfn.ISFORMULA(AP24))</formula>
    </cfRule>
  </conditionalFormatting>
  <conditionalFormatting sqref="AS24">
    <cfRule type="expression" dxfId="96" priority="320">
      <formula>NOT(_xlfn.ISFORMULA(AS24))</formula>
    </cfRule>
  </conditionalFormatting>
  <conditionalFormatting sqref="AV24">
    <cfRule type="expression" dxfId="95" priority="318">
      <formula>NOT(_xlfn.ISFORMULA(AV24))</formula>
    </cfRule>
  </conditionalFormatting>
  <conditionalFormatting sqref="AQ24">
    <cfRule type="expression" dxfId="94" priority="317">
      <formula>NOT(_xlfn.ISFORMULA(AQ24))</formula>
    </cfRule>
  </conditionalFormatting>
  <conditionalFormatting sqref="J24">
    <cfRule type="cellIs" dxfId="93" priority="315" operator="equal">
      <formula>0</formula>
    </cfRule>
    <cfRule type="cellIs" dxfId="92" priority="316" operator="equal">
      <formula>1</formula>
    </cfRule>
  </conditionalFormatting>
  <conditionalFormatting sqref="K24:L24">
    <cfRule type="cellIs" dxfId="91" priority="313" operator="equal">
      <formula>0</formula>
    </cfRule>
    <cfRule type="cellIs" dxfId="90" priority="314" operator="equal">
      <formula>1</formula>
    </cfRule>
  </conditionalFormatting>
  <conditionalFormatting sqref="CV24">
    <cfRule type="cellIs" dxfId="89" priority="126" operator="equal">
      <formula>"INTEGER_0"</formula>
    </cfRule>
  </conditionalFormatting>
  <conditionalFormatting sqref="CV24">
    <cfRule type="cellIs" dxfId="88" priority="121" operator="equal">
      <formula>"INTEGER_5"</formula>
    </cfRule>
    <cfRule type="cellIs" dxfId="87" priority="122" operator="equal">
      <formula>"INTEGER_4"</formula>
    </cfRule>
    <cfRule type="cellIs" dxfId="86" priority="123" operator="equal">
      <formula>"INTEGER_3"</formula>
    </cfRule>
    <cfRule type="cellIs" dxfId="85" priority="124" operator="equal">
      <formula>"INTEGER_2"</formula>
    </cfRule>
    <cfRule type="cellIs" dxfId="84" priority="125" operator="equal">
      <formula>"INTEGER_1"</formula>
    </cfRule>
  </conditionalFormatting>
  <conditionalFormatting sqref="CW24">
    <cfRule type="cellIs" dxfId="83" priority="120" operator="equal">
      <formula>"INTEGER_0"</formula>
    </cfRule>
  </conditionalFormatting>
  <conditionalFormatting sqref="CW24">
    <cfRule type="cellIs" dxfId="82" priority="115" operator="equal">
      <formula>"INTEGER_5"</formula>
    </cfRule>
    <cfRule type="cellIs" dxfId="81" priority="116" operator="equal">
      <formula>"INTEGER_4"</formula>
    </cfRule>
    <cfRule type="cellIs" dxfId="80" priority="117" operator="equal">
      <formula>"INTEGER_3"</formula>
    </cfRule>
    <cfRule type="cellIs" dxfId="79" priority="118" operator="equal">
      <formula>"INTEGER_2"</formula>
    </cfRule>
    <cfRule type="cellIs" dxfId="78" priority="119" operator="equal">
      <formula>"INTEGER_1"</formula>
    </cfRule>
  </conditionalFormatting>
  <conditionalFormatting sqref="CX24">
    <cfRule type="cellIs" dxfId="77" priority="114" operator="equal">
      <formula>"INTEGER_0"</formula>
    </cfRule>
  </conditionalFormatting>
  <conditionalFormatting sqref="CX24">
    <cfRule type="cellIs" dxfId="76" priority="109" operator="equal">
      <formula>"INTEGER_5"</formula>
    </cfRule>
    <cfRule type="cellIs" dxfId="75" priority="110" operator="equal">
      <formula>"INTEGER_4"</formula>
    </cfRule>
    <cfRule type="cellIs" dxfId="74" priority="111" operator="equal">
      <formula>"INTEGER_3"</formula>
    </cfRule>
    <cfRule type="cellIs" dxfId="73" priority="112" operator="equal">
      <formula>"INTEGER_2"</formula>
    </cfRule>
    <cfRule type="cellIs" dxfId="72" priority="113" operator="equal">
      <formula>"INTEGER_1"</formula>
    </cfRule>
  </conditionalFormatting>
  <conditionalFormatting sqref="CY24">
    <cfRule type="cellIs" dxfId="71" priority="108" operator="equal">
      <formula>"INTEGER_0"</formula>
    </cfRule>
  </conditionalFormatting>
  <conditionalFormatting sqref="CY24">
    <cfRule type="cellIs" dxfId="70" priority="103" operator="equal">
      <formula>"INTEGER_5"</formula>
    </cfRule>
    <cfRule type="cellIs" dxfId="69" priority="104" operator="equal">
      <formula>"INTEGER_4"</formula>
    </cfRule>
    <cfRule type="cellIs" dxfId="68" priority="105" operator="equal">
      <formula>"INTEGER_3"</formula>
    </cfRule>
    <cfRule type="cellIs" dxfId="67" priority="106" operator="equal">
      <formula>"INTEGER_2"</formula>
    </cfRule>
    <cfRule type="cellIs" dxfId="66" priority="107" operator="equal">
      <formula>"INTEGER_1"</formula>
    </cfRule>
  </conditionalFormatting>
  <conditionalFormatting sqref="CZ24">
    <cfRule type="cellIs" dxfId="65" priority="102" operator="equal">
      <formula>"INTEGER_0"</formula>
    </cfRule>
  </conditionalFormatting>
  <conditionalFormatting sqref="CZ24">
    <cfRule type="cellIs" dxfId="64" priority="97" operator="equal">
      <formula>"INTEGER_5"</formula>
    </cfRule>
    <cfRule type="cellIs" dxfId="63" priority="98" operator="equal">
      <formula>"INTEGER_4"</formula>
    </cfRule>
    <cfRule type="cellIs" dxfId="62" priority="99" operator="equal">
      <formula>"INTEGER_3"</formula>
    </cfRule>
    <cfRule type="cellIs" dxfId="61" priority="100" operator="equal">
      <formula>"INTEGER_2"</formula>
    </cfRule>
    <cfRule type="cellIs" dxfId="60" priority="101" operator="equal">
      <formula>"INTEGER_1"</formula>
    </cfRule>
  </conditionalFormatting>
  <conditionalFormatting sqref="DA24">
    <cfRule type="cellIs" dxfId="59" priority="96" operator="equal">
      <formula>"INTEGER_0"</formula>
    </cfRule>
  </conditionalFormatting>
  <conditionalFormatting sqref="DA24">
    <cfRule type="cellIs" dxfId="58" priority="91" operator="equal">
      <formula>"INTEGER_5"</formula>
    </cfRule>
    <cfRule type="cellIs" dxfId="57" priority="92" operator="equal">
      <formula>"INTEGER_4"</formula>
    </cfRule>
    <cfRule type="cellIs" dxfId="56" priority="93" operator="equal">
      <formula>"INTEGER_3"</formula>
    </cfRule>
    <cfRule type="cellIs" dxfId="55" priority="94" operator="equal">
      <formula>"INTEGER_2"</formula>
    </cfRule>
    <cfRule type="cellIs" dxfId="54" priority="95" operator="equal">
      <formula>"INTEGER_1"</formula>
    </cfRule>
  </conditionalFormatting>
  <conditionalFormatting sqref="DB24">
    <cfRule type="cellIs" dxfId="53" priority="90" operator="equal">
      <formula>"INTEGER_0"</formula>
    </cfRule>
  </conditionalFormatting>
  <conditionalFormatting sqref="DB24">
    <cfRule type="cellIs" dxfId="52" priority="85" operator="equal">
      <formula>"INTEGER_5"</formula>
    </cfRule>
    <cfRule type="cellIs" dxfId="51" priority="86" operator="equal">
      <formula>"INTEGER_4"</formula>
    </cfRule>
    <cfRule type="cellIs" dxfId="50" priority="87" operator="equal">
      <formula>"INTEGER_3"</formula>
    </cfRule>
    <cfRule type="cellIs" dxfId="49" priority="88" operator="equal">
      <formula>"INTEGER_2"</formula>
    </cfRule>
    <cfRule type="cellIs" dxfId="48" priority="89" operator="equal">
      <formula>"INTEGER_1"</formula>
    </cfRule>
  </conditionalFormatting>
  <conditionalFormatting sqref="DC24">
    <cfRule type="cellIs" dxfId="47" priority="84" operator="equal">
      <formula>"INTEGER_0"</formula>
    </cfRule>
  </conditionalFormatting>
  <conditionalFormatting sqref="DC24">
    <cfRule type="cellIs" dxfId="46" priority="79" operator="equal">
      <formula>"INTEGER_5"</formula>
    </cfRule>
    <cfRule type="cellIs" dxfId="45" priority="80" operator="equal">
      <formula>"INTEGER_4"</formula>
    </cfRule>
    <cfRule type="cellIs" dxfId="44" priority="81" operator="equal">
      <formula>"INTEGER_3"</formula>
    </cfRule>
    <cfRule type="cellIs" dxfId="43" priority="82" operator="equal">
      <formula>"INTEGER_2"</formula>
    </cfRule>
    <cfRule type="cellIs" dxfId="42" priority="83" operator="equal">
      <formula>"INTEGER_1"</formula>
    </cfRule>
  </conditionalFormatting>
  <conditionalFormatting sqref="DE24">
    <cfRule type="cellIs" dxfId="41" priority="72" operator="equal">
      <formula>"INTEGER_0"</formula>
    </cfRule>
  </conditionalFormatting>
  <conditionalFormatting sqref="DE24">
    <cfRule type="cellIs" dxfId="40" priority="67" operator="equal">
      <formula>"INTEGER_5"</formula>
    </cfRule>
    <cfRule type="cellIs" dxfId="39" priority="68" operator="equal">
      <formula>"INTEGER_4"</formula>
    </cfRule>
    <cfRule type="cellIs" dxfId="38" priority="69" operator="equal">
      <formula>"INTEGER_3"</formula>
    </cfRule>
    <cfRule type="cellIs" dxfId="37" priority="70" operator="equal">
      <formula>"INTEGER_2"</formula>
    </cfRule>
    <cfRule type="cellIs" dxfId="36" priority="71" operator="equal">
      <formula>"INTEGER_1"</formula>
    </cfRule>
  </conditionalFormatting>
  <conditionalFormatting sqref="DF24">
    <cfRule type="cellIs" dxfId="35" priority="66" operator="equal">
      <formula>"INTEGER_0"</formula>
    </cfRule>
  </conditionalFormatting>
  <conditionalFormatting sqref="DF24">
    <cfRule type="cellIs" dxfId="34" priority="61" operator="equal">
      <formula>"INTEGER_5"</formula>
    </cfRule>
    <cfRule type="cellIs" dxfId="33" priority="62" operator="equal">
      <formula>"INTEGER_4"</formula>
    </cfRule>
    <cfRule type="cellIs" dxfId="32" priority="63" operator="equal">
      <formula>"INTEGER_3"</formula>
    </cfRule>
    <cfRule type="cellIs" dxfId="31" priority="64" operator="equal">
      <formula>"INTEGER_2"</formula>
    </cfRule>
    <cfRule type="cellIs" dxfId="30" priority="65" operator="equal">
      <formula>"INTEGER_1"</formula>
    </cfRule>
  </conditionalFormatting>
  <conditionalFormatting sqref="DD24">
    <cfRule type="cellIs" dxfId="29" priority="30" operator="equal">
      <formula>"INTEGER_0"</formula>
    </cfRule>
  </conditionalFormatting>
  <conditionalFormatting sqref="DD24">
    <cfRule type="cellIs" dxfId="28" priority="25" operator="equal">
      <formula>"INTEGER_5"</formula>
    </cfRule>
    <cfRule type="cellIs" dxfId="27" priority="26" operator="equal">
      <formula>"INTEGER_4"</formula>
    </cfRule>
    <cfRule type="cellIs" dxfId="26" priority="27" operator="equal">
      <formula>"INTEGER_3"</formula>
    </cfRule>
    <cfRule type="cellIs" dxfId="25" priority="28" operator="equal">
      <formula>"INTEGER_2"</formula>
    </cfRule>
    <cfRule type="cellIs" dxfId="24" priority="29" operator="equal">
      <formula>"INTEGER_1"</formula>
    </cfRule>
  </conditionalFormatting>
  <conditionalFormatting sqref="DG24">
    <cfRule type="cellIs" dxfId="23" priority="24" operator="equal">
      <formula>"INTEGER_0"</formula>
    </cfRule>
  </conditionalFormatting>
  <conditionalFormatting sqref="DG24">
    <cfRule type="cellIs" dxfId="22" priority="19" operator="equal">
      <formula>"INTEGER_5"</formula>
    </cfRule>
    <cfRule type="cellIs" dxfId="21" priority="20" operator="equal">
      <formula>"INTEGER_4"</formula>
    </cfRule>
    <cfRule type="cellIs" dxfId="20" priority="21" operator="equal">
      <formula>"INTEGER_3"</formula>
    </cfRule>
    <cfRule type="cellIs" dxfId="19" priority="22" operator="equal">
      <formula>"INTEGER_2"</formula>
    </cfRule>
    <cfRule type="cellIs" dxfId="18" priority="23" operator="equal">
      <formula>"INTEGER_1"</formula>
    </cfRule>
  </conditionalFormatting>
  <conditionalFormatting sqref="DH24">
    <cfRule type="cellIs" dxfId="17" priority="18" operator="equal">
      <formula>"INTEGER_0"</formula>
    </cfRule>
  </conditionalFormatting>
  <conditionalFormatting sqref="DH24">
    <cfRule type="cellIs" dxfId="16" priority="13" operator="equal">
      <formula>"INTEGER_5"</formula>
    </cfRule>
    <cfRule type="cellIs" dxfId="15" priority="14" operator="equal">
      <formula>"INTEGER_4"</formula>
    </cfRule>
    <cfRule type="cellIs" dxfId="14" priority="15" operator="equal">
      <formula>"INTEGER_3"</formula>
    </cfRule>
    <cfRule type="cellIs" dxfId="13" priority="16" operator="equal">
      <formula>"INTEGER_2"</formula>
    </cfRule>
    <cfRule type="cellIs" dxfId="12" priority="17" operator="equal">
      <formula>"INTEGER_1"</formula>
    </cfRule>
  </conditionalFormatting>
  <conditionalFormatting sqref="DI24">
    <cfRule type="cellIs" dxfId="11" priority="12" operator="equal">
      <formula>"INTEGER_0"</formula>
    </cfRule>
  </conditionalFormatting>
  <conditionalFormatting sqref="DI24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DJ24:DZ24">
    <cfRule type="cellIs" dxfId="5" priority="6" operator="equal">
      <formula>"INTEGER_0"</formula>
    </cfRule>
  </conditionalFormatting>
  <conditionalFormatting sqref="DJ24:DZ24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ECD8-F93D-41DA-984E-EC1C5AEE2748}">
  <sheetPr codeName="Лист14"/>
  <dimension ref="B5:W11"/>
  <sheetViews>
    <sheetView workbookViewId="0">
      <selection activeCell="B11" sqref="B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9" width="16.140625" customWidth="1"/>
    <col min="10" max="14" width="19.140625" customWidth="1"/>
    <col min="17" max="17" width="14.85546875" customWidth="1"/>
    <col min="18" max="18" width="12.140625" customWidth="1"/>
    <col min="19" max="21" width="16.28515625" customWidth="1"/>
    <col min="22" max="22" width="33.85546875" customWidth="1"/>
  </cols>
  <sheetData>
    <row r="5" spans="2:23" x14ac:dyDescent="0.25">
      <c r="B5" t="s">
        <v>95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t="s">
        <v>96</v>
      </c>
    </row>
    <row r="9" spans="2:23" ht="90" x14ac:dyDescent="0.25">
      <c r="C9" t="s">
        <v>79</v>
      </c>
      <c r="D9" s="1" t="s">
        <v>10</v>
      </c>
      <c r="E9" s="1" t="s">
        <v>7</v>
      </c>
      <c r="F9" s="1" t="s">
        <v>8</v>
      </c>
      <c r="G9" s="1" t="s">
        <v>274</v>
      </c>
      <c r="H9" s="2" t="s">
        <v>275</v>
      </c>
      <c r="I9" s="2" t="s">
        <v>276</v>
      </c>
      <c r="J9" s="1" t="s">
        <v>11</v>
      </c>
      <c r="K9" s="6" t="s">
        <v>20</v>
      </c>
      <c r="L9" s="6" t="s">
        <v>21</v>
      </c>
      <c r="M9" s="7" t="s">
        <v>22</v>
      </c>
      <c r="N9" s="7" t="s">
        <v>23</v>
      </c>
      <c r="O9" s="2" t="s">
        <v>14</v>
      </c>
      <c r="P9" s="2" t="s">
        <v>324</v>
      </c>
      <c r="Q9" s="2" t="s">
        <v>16</v>
      </c>
      <c r="R9" s="2" t="s">
        <v>17</v>
      </c>
      <c r="S9" s="3" t="s">
        <v>18</v>
      </c>
      <c r="T9" s="3" t="s">
        <v>280</v>
      </c>
      <c r="U9" s="3" t="s">
        <v>323</v>
      </c>
      <c r="V9" s="3" t="s">
        <v>322</v>
      </c>
    </row>
    <row r="10" spans="2:23" ht="45" x14ac:dyDescent="0.25">
      <c r="B10" s="4" t="s">
        <v>19</v>
      </c>
      <c r="C10" s="4"/>
      <c r="P10" s="1"/>
      <c r="S10" s="5"/>
      <c r="T10" s="5"/>
      <c r="U10" s="5"/>
      <c r="V10" s="5"/>
    </row>
    <row r="11" spans="2:23" x14ac:dyDescent="0.25">
      <c r="B11" t="s">
        <v>2</v>
      </c>
      <c r="C11" s="1" t="s">
        <v>78</v>
      </c>
      <c r="D11" s="1" t="s">
        <v>9</v>
      </c>
      <c r="E11" s="1" t="s">
        <v>379</v>
      </c>
      <c r="F11" s="1" t="s">
        <v>378</v>
      </c>
      <c r="G11" s="1" t="s">
        <v>343</v>
      </c>
      <c r="H11" s="1" t="s">
        <v>277</v>
      </c>
      <c r="I11" s="1" t="s">
        <v>278</v>
      </c>
      <c r="J11" s="1" t="s">
        <v>4</v>
      </c>
      <c r="K11" s="7" t="s">
        <v>24</v>
      </c>
      <c r="L11" s="1" t="e">
        <f>ROUNDUP(TAN(ACOS(K11)),2)</f>
        <v>#VALUE!</v>
      </c>
      <c r="M11" s="7" t="s">
        <v>25</v>
      </c>
      <c r="N11" s="7" t="s">
        <v>26</v>
      </c>
      <c r="O11" s="1">
        <v>1</v>
      </c>
      <c r="P11" s="1">
        <f>IF(F10&lt;&gt;F11,IFERROR(IF(MATCH(E11,$D$11:D11,0)&gt;0,0,1),1),0)</f>
        <v>1</v>
      </c>
      <c r="Q11" s="1">
        <f>SUMIFS($O$11:$O$12006,$G$11:$G$12006,G11,$F$11:$F$12006,F11,$E$11:$E$12006,E11)</f>
        <v>1</v>
      </c>
      <c r="R11" s="1">
        <f>IF(SUMIFS($O$11:O11,$G$11:G11,G11,$F$11:F11,F11,$E$11:E11,E11)=1,1,0)</f>
        <v>1</v>
      </c>
      <c r="S11" s="1">
        <f>IF(G11&lt;&gt;"Вкл",IF(F11&lt;&gt;"GC_HDGroup",IF(R11=1,1,0),0),0)</f>
        <v>1</v>
      </c>
      <c r="T11" s="1">
        <f>IFERROR(IF(MATCH(D11,$E$11:$E$12000,0)&gt;0,D11,0),0)</f>
        <v>0</v>
      </c>
      <c r="U11" s="1">
        <f>IFERROR(IF(MATCH(E11,$D$11:D11,0)&gt;0,INDEX($D$11:D11,MATCH(E11,$D$11:D11,0)),0),0)</f>
        <v>0</v>
      </c>
      <c r="V11" s="1" t="s">
        <v>378</v>
      </c>
      <c r="W11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52C0-E32A-4424-80F0-EAFBD7621661}">
  <sheetPr codeName="Лист15"/>
  <dimension ref="C3:O5"/>
  <sheetViews>
    <sheetView workbookViewId="0">
      <selection activeCell="N5" sqref="D3:N5"/>
    </sheetView>
  </sheetViews>
  <sheetFormatPr defaultRowHeight="15" x14ac:dyDescent="0.25"/>
  <cols>
    <col min="7" max="7" width="23.42578125" bestFit="1" customWidth="1"/>
    <col min="8" max="8" width="23.42578125" customWidth="1"/>
    <col min="9" max="9" width="15.140625" customWidth="1"/>
    <col min="10" max="10" width="20" customWidth="1"/>
    <col min="11" max="11" width="16.7109375" customWidth="1"/>
    <col min="12" max="12" width="20.28515625" customWidth="1"/>
    <col min="13" max="13" width="18.42578125" customWidth="1"/>
    <col min="14" max="14" width="21.5703125" customWidth="1"/>
  </cols>
  <sheetData>
    <row r="3" spans="3:15" ht="45" x14ac:dyDescent="0.25">
      <c r="I3" s="2" t="s">
        <v>54</v>
      </c>
      <c r="J3" s="2" t="s">
        <v>15</v>
      </c>
      <c r="K3" s="2" t="s">
        <v>55</v>
      </c>
      <c r="L3" s="2" t="s">
        <v>17</v>
      </c>
      <c r="M3" s="3" t="s">
        <v>18</v>
      </c>
      <c r="N3" s="3" t="s">
        <v>27</v>
      </c>
    </row>
    <row r="4" spans="3:15" x14ac:dyDescent="0.25">
      <c r="J4" s="1"/>
      <c r="M4" s="5"/>
      <c r="N4" s="5"/>
    </row>
    <row r="5" spans="3:15" x14ac:dyDescent="0.25">
      <c r="C5" t="s">
        <v>50</v>
      </c>
      <c r="D5" s="1" t="s">
        <v>9</v>
      </c>
      <c r="E5" s="1" t="s">
        <v>5</v>
      </c>
      <c r="F5" s="1" t="s">
        <v>6</v>
      </c>
      <c r="G5" s="1" t="s">
        <v>52</v>
      </c>
      <c r="H5" s="1" t="s">
        <v>53</v>
      </c>
      <c r="I5" s="1">
        <v>1</v>
      </c>
      <c r="J5" s="1">
        <f>IF(D4&lt;&gt;D5,1,0)</f>
        <v>1</v>
      </c>
      <c r="K5" s="1">
        <f>SUMIFS($H$4:$H$12000,$D$4:$D$12000,D5)</f>
        <v>0</v>
      </c>
      <c r="L5" s="1">
        <f>IF(SUMIFS($I$5:I5,$D$5:D5,D5)=1,1,0)</f>
        <v>1</v>
      </c>
      <c r="M5" s="1">
        <f>IF(L5=1,1,0)</f>
        <v>1</v>
      </c>
      <c r="N5" s="1">
        <f>IF(L5=1,SUMIFS($H$4:$H$12000,$D$4:$D$12000,D5),0)</f>
        <v>0</v>
      </c>
      <c r="O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BDDE-60BA-44D5-BCC5-6893FF63103C}">
  <sheetPr codeName="Лист3"/>
  <dimension ref="A1:A3"/>
  <sheetViews>
    <sheetView workbookViewId="0">
      <selection activeCell="E9" sqref="E9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375</v>
      </c>
    </row>
    <row r="2" spans="1:1" x14ac:dyDescent="0.25">
      <c r="A2" t="s">
        <v>376</v>
      </c>
    </row>
    <row r="3" spans="1:1" x14ac:dyDescent="0.25">
      <c r="A3" t="s">
        <v>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sheetPr codeName="Лист5"/>
  <dimension ref="C4:G5"/>
  <sheetViews>
    <sheetView workbookViewId="0">
      <selection activeCell="F8" sqref="F8"/>
    </sheetView>
  </sheetViews>
  <sheetFormatPr defaultRowHeight="15" x14ac:dyDescent="0.25"/>
  <cols>
    <col min="3" max="3" width="22" customWidth="1"/>
    <col min="4" max="4" width="13.28515625" customWidth="1"/>
    <col min="5" max="5" width="30.140625" customWidth="1"/>
    <col min="6" max="6" width="13.28515625" customWidth="1"/>
  </cols>
  <sheetData>
    <row r="4" spans="3:7" ht="45" x14ac:dyDescent="0.25">
      <c r="C4" s="4" t="s">
        <v>19</v>
      </c>
    </row>
    <row r="5" spans="3:7" x14ac:dyDescent="0.25">
      <c r="C5" t="s">
        <v>320</v>
      </c>
      <c r="D5" s="1" t="s">
        <v>9</v>
      </c>
      <c r="E5" s="1" t="s">
        <v>52</v>
      </c>
      <c r="F5" s="1" t="s">
        <v>53</v>
      </c>
      <c r="G5" t="s">
        <v>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A6F2-34F0-434E-8040-CB29DE649961}">
  <sheetPr codeName="Лист16"/>
  <dimension ref="A1:A3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400</v>
      </c>
    </row>
    <row r="2" spans="1:1" x14ac:dyDescent="0.25">
      <c r="A2" t="s">
        <v>401</v>
      </c>
    </row>
    <row r="3" spans="1:1" x14ac:dyDescent="0.25">
      <c r="A3" t="s">
        <v>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sheetPr codeName="Лист4"/>
  <dimension ref="B3:Z5"/>
  <sheetViews>
    <sheetView tabSelected="1" topLeftCell="K1" workbookViewId="0">
      <selection activeCell="Z6" sqref="Z6"/>
    </sheetView>
  </sheetViews>
  <sheetFormatPr defaultRowHeight="15" x14ac:dyDescent="0.25"/>
  <cols>
    <col min="2" max="2" width="28.42578125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12" width="19.140625" customWidth="1"/>
    <col min="15" max="15" width="14.85546875" customWidth="1"/>
    <col min="16" max="16" width="12.140625" customWidth="1"/>
    <col min="17" max="17" width="16.28515625" customWidth="1"/>
    <col min="18" max="20" width="12" customWidth="1"/>
    <col min="21" max="25" width="11.42578125" customWidth="1"/>
  </cols>
  <sheetData>
    <row r="3" spans="2:26" ht="90" x14ac:dyDescent="0.25">
      <c r="C3" t="s">
        <v>79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  <c r="I3" s="6" t="s">
        <v>20</v>
      </c>
      <c r="J3" s="6" t="s">
        <v>21</v>
      </c>
      <c r="K3" s="7" t="s">
        <v>22</v>
      </c>
      <c r="L3" s="7" t="s">
        <v>23</v>
      </c>
      <c r="M3" s="2" t="s">
        <v>14</v>
      </c>
      <c r="N3" s="2" t="s">
        <v>15</v>
      </c>
      <c r="O3" s="2" t="s">
        <v>16</v>
      </c>
      <c r="P3" s="2" t="s">
        <v>17</v>
      </c>
      <c r="Q3" s="3" t="s">
        <v>18</v>
      </c>
      <c r="R3" s="3" t="s">
        <v>27</v>
      </c>
      <c r="S3" s="6" t="s">
        <v>29</v>
      </c>
      <c r="T3" s="6" t="s">
        <v>30</v>
      </c>
      <c r="U3" s="3" t="s">
        <v>28</v>
      </c>
      <c r="V3" s="6" t="s">
        <v>31</v>
      </c>
      <c r="W3" s="6" t="s">
        <v>32</v>
      </c>
      <c r="X3" s="6" t="s">
        <v>33</v>
      </c>
      <c r="Y3" s="6" t="s">
        <v>34</v>
      </c>
    </row>
    <row r="4" spans="2:26" ht="45" x14ac:dyDescent="0.25">
      <c r="B4" s="4" t="s">
        <v>19</v>
      </c>
      <c r="C4" s="4"/>
      <c r="N4" s="1"/>
      <c r="Q4" s="5"/>
      <c r="R4" s="5"/>
      <c r="S4" s="5"/>
      <c r="T4" s="5"/>
      <c r="U4" s="5"/>
      <c r="V4" s="5"/>
      <c r="W4" s="5"/>
      <c r="X4" s="5"/>
      <c r="Y4" s="5"/>
    </row>
    <row r="5" spans="2:26" x14ac:dyDescent="0.25">
      <c r="B5" t="s">
        <v>2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s="8" t="s">
        <v>24</v>
      </c>
      <c r="J5" t="e">
        <f>ROUNDUP(TAN(ACOS(I5)),2)</f>
        <v>#VALUE!</v>
      </c>
      <c r="K5" s="9" t="s">
        <v>25</v>
      </c>
      <c r="L5" s="9" t="s">
        <v>26</v>
      </c>
      <c r="M5">
        <v>1</v>
      </c>
      <c r="N5">
        <f>IF(F4&lt;&gt;F5,1,0)</f>
        <v>1</v>
      </c>
      <c r="O5">
        <f>SUMIFS($M$5:$M$12000,$G$5:$G$12000,G5,$F$5:$F$12000,F5)</f>
        <v>1</v>
      </c>
      <c r="P5">
        <f>IF(SUMIFS($M$5:M5,$G$5:G5,G5,$F$5:F5,F5)=1,1,0)</f>
        <v>1</v>
      </c>
      <c r="Q5">
        <f>IF(P5=1,1,0)</f>
        <v>1</v>
      </c>
      <c r="R5">
        <f>IF(P5=1,SUMIFS($H$5:$H$12000,$G$5:$G$12000,G5,$F$5:$F$12000,F5),0)</f>
        <v>0</v>
      </c>
      <c r="S5" t="e">
        <f>ROUNDUP(R5*J5,2)</f>
        <v>#VALUE!</v>
      </c>
      <c r="T5" t="e">
        <f>ROUNDUP(SQRT(R5*R5+S5*S5),2)</f>
        <v>#VALUE!</v>
      </c>
      <c r="U5">
        <f>IF(N5=1,SUMIFS($H$5:$H$12000,$F$5:$F$12000,F5),0)</f>
        <v>0</v>
      </c>
      <c r="V5" t="e">
        <f>IF(N5=1,SUMIFS($S$5:$S$12000,$F$5:$F$12000,F5),0)</f>
        <v>#VALUE!</v>
      </c>
      <c r="W5" t="e">
        <f>IF(N5=1,SUMIFS($T$5:$T$12000,$F$5:$F$12000,F5),0)</f>
        <v>#VALUE!</v>
      </c>
      <c r="X5" t="e">
        <f>ROUNDUP(V5/U5,2)</f>
        <v>#VALUE!</v>
      </c>
      <c r="Y5" t="e">
        <f>ROUNDUP(COS(ATAN(X5)),2)</f>
        <v>#VALUE!</v>
      </c>
      <c r="Z5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sheetPr codeName="Лист6"/>
  <dimension ref="A2:BX67"/>
  <sheetViews>
    <sheetView workbookViewId="0">
      <selection activeCell="T16" sqref="T15:T16"/>
    </sheetView>
  </sheetViews>
  <sheetFormatPr defaultRowHeight="15" x14ac:dyDescent="0.25"/>
  <cols>
    <col min="1" max="1" width="15" bestFit="1" customWidth="1"/>
    <col min="2" max="2" width="14.7109375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123" t="s">
        <v>35</v>
      </c>
      <c r="B3" s="124"/>
      <c r="C3" s="125"/>
      <c r="F3" s="126" t="s">
        <v>104</v>
      </c>
      <c r="G3" s="127"/>
      <c r="H3" s="128"/>
      <c r="K3" s="131" t="s">
        <v>191</v>
      </c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</row>
    <row r="4" spans="1:76" ht="32.25" thickBot="1" x14ac:dyDescent="0.3">
      <c r="A4" s="13" t="s">
        <v>48</v>
      </c>
      <c r="B4" s="34">
        <v>220</v>
      </c>
      <c r="C4" s="48">
        <f>B4</f>
        <v>220</v>
      </c>
      <c r="F4" s="45" t="s">
        <v>105</v>
      </c>
      <c r="G4" s="46" t="s">
        <v>106</v>
      </c>
      <c r="H4" s="47" t="s">
        <v>107</v>
      </c>
      <c r="K4" s="53" t="s">
        <v>192</v>
      </c>
      <c r="L4" s="53" t="s">
        <v>193</v>
      </c>
      <c r="M4" s="53" t="s">
        <v>194</v>
      </c>
      <c r="N4" s="53" t="s">
        <v>222</v>
      </c>
      <c r="O4" s="53" t="s">
        <v>223</v>
      </c>
      <c r="P4" s="53" t="s">
        <v>224</v>
      </c>
      <c r="Q4" s="53" t="s">
        <v>261</v>
      </c>
      <c r="R4" s="53" t="s">
        <v>362</v>
      </c>
      <c r="S4" s="53" t="s">
        <v>363</v>
      </c>
      <c r="T4" s="53" t="s">
        <v>364</v>
      </c>
      <c r="U4" s="53" t="s">
        <v>195</v>
      </c>
      <c r="V4" s="53" t="s">
        <v>196</v>
      </c>
      <c r="W4" s="53" t="s">
        <v>197</v>
      </c>
      <c r="X4" s="53" t="s">
        <v>231</v>
      </c>
      <c r="Y4" s="53" t="s">
        <v>232</v>
      </c>
      <c r="Z4" s="53" t="s">
        <v>233</v>
      </c>
      <c r="AA4" s="53" t="s">
        <v>262</v>
      </c>
      <c r="AB4" s="53" t="s">
        <v>371</v>
      </c>
      <c r="AC4" s="53" t="s">
        <v>372</v>
      </c>
      <c r="AD4" s="53" t="s">
        <v>373</v>
      </c>
      <c r="AE4" s="53" t="s">
        <v>198</v>
      </c>
      <c r="AF4" s="53" t="s">
        <v>199</v>
      </c>
      <c r="AG4" s="53" t="s">
        <v>200</v>
      </c>
      <c r="AH4" s="53" t="s">
        <v>227</v>
      </c>
      <c r="AI4" s="53" t="s">
        <v>228</v>
      </c>
      <c r="AJ4" s="53" t="s">
        <v>229</v>
      </c>
      <c r="AK4" s="53" t="s">
        <v>263</v>
      </c>
      <c r="AL4" s="53" t="s">
        <v>367</v>
      </c>
      <c r="AM4" s="53" t="s">
        <v>368</v>
      </c>
      <c r="AN4" s="53" t="s">
        <v>369</v>
      </c>
      <c r="AO4" s="53" t="s">
        <v>201</v>
      </c>
      <c r="AP4" s="53" t="s">
        <v>202</v>
      </c>
      <c r="AQ4" s="53" t="s">
        <v>203</v>
      </c>
      <c r="AR4" s="53" t="s">
        <v>234</v>
      </c>
      <c r="AS4" s="53" t="s">
        <v>235</v>
      </c>
      <c r="AT4" s="53" t="s">
        <v>236</v>
      </c>
      <c r="AU4" s="53" t="s">
        <v>264</v>
      </c>
      <c r="AV4" s="53" t="s">
        <v>204</v>
      </c>
      <c r="AW4" s="53" t="s">
        <v>205</v>
      </c>
      <c r="AX4" s="53" t="s">
        <v>206</v>
      </c>
      <c r="AY4" s="53" t="s">
        <v>237</v>
      </c>
      <c r="AZ4" s="53" t="s">
        <v>238</v>
      </c>
      <c r="BA4" s="53" t="s">
        <v>239</v>
      </c>
      <c r="BB4" s="53" t="s">
        <v>265</v>
      </c>
      <c r="BC4" s="53" t="s">
        <v>207</v>
      </c>
      <c r="BD4" s="53" t="s">
        <v>208</v>
      </c>
      <c r="BE4" s="53" t="s">
        <v>209</v>
      </c>
      <c r="BF4" s="53" t="s">
        <v>240</v>
      </c>
      <c r="BG4" s="53" t="s">
        <v>241</v>
      </c>
      <c r="BH4" s="53" t="s">
        <v>242</v>
      </c>
      <c r="BI4" s="53" t="s">
        <v>266</v>
      </c>
      <c r="BJ4" s="53" t="s">
        <v>210</v>
      </c>
      <c r="BK4" s="53" t="s">
        <v>211</v>
      </c>
      <c r="BL4" s="53" t="s">
        <v>212</v>
      </c>
      <c r="BM4" s="53" t="s">
        <v>243</v>
      </c>
      <c r="BN4" s="53" t="s">
        <v>244</v>
      </c>
      <c r="BO4" s="53" t="s">
        <v>245</v>
      </c>
      <c r="BP4" s="53" t="s">
        <v>267</v>
      </c>
      <c r="BQ4" s="53" t="s">
        <v>213</v>
      </c>
      <c r="BR4" s="53" t="s">
        <v>214</v>
      </c>
      <c r="BS4" s="53" t="s">
        <v>215</v>
      </c>
      <c r="BT4" s="53" t="s">
        <v>246</v>
      </c>
      <c r="BU4" s="53" t="s">
        <v>247</v>
      </c>
      <c r="BV4" s="53" t="s">
        <v>248</v>
      </c>
      <c r="BW4" s="53" t="s">
        <v>268</v>
      </c>
      <c r="BX4" s="53"/>
    </row>
    <row r="5" spans="1:76" ht="23.25" thickBot="1" x14ac:dyDescent="0.3">
      <c r="A5" s="16" t="s">
        <v>47</v>
      </c>
      <c r="B5" s="35">
        <v>380</v>
      </c>
      <c r="C5" s="49">
        <f>ROUNDUP(SQRT(3)*B5,2)</f>
        <v>658.18</v>
      </c>
      <c r="F5" s="36">
        <v>6300</v>
      </c>
      <c r="G5" s="37">
        <v>2.7E-2</v>
      </c>
      <c r="H5" s="38">
        <v>2E-3</v>
      </c>
      <c r="K5" s="74" t="str">
        <f>ADDRESS(ROW()+1,COLUMN())&amp;":"&amp;ADDRESS(100,COLUMN())</f>
        <v>$K$6:$K$100</v>
      </c>
      <c r="L5" s="74" t="str">
        <f t="shared" ref="L5:BW5" si="0">ADDRESS(ROW()+1,COLUMN())&amp;":"&amp;ADDRESS(100,COLUMN())</f>
        <v>$L$6:$L$100</v>
      </c>
      <c r="M5" s="74" t="str">
        <f t="shared" si="0"/>
        <v>$M$6:$M$100</v>
      </c>
      <c r="N5" s="74" t="str">
        <f t="shared" si="0"/>
        <v>$N$6:$N$100</v>
      </c>
      <c r="O5" s="74" t="str">
        <f t="shared" si="0"/>
        <v>$O$6:$O$100</v>
      </c>
      <c r="P5" s="74" t="str">
        <f t="shared" si="0"/>
        <v>$P$6:$P$100</v>
      </c>
      <c r="Q5" s="74" t="str">
        <f t="shared" si="0"/>
        <v>$Q$6:$Q$100</v>
      </c>
      <c r="R5" s="74" t="str">
        <f t="shared" si="0"/>
        <v>$R$6:$R$100</v>
      </c>
      <c r="S5" s="74" t="str">
        <f t="shared" si="0"/>
        <v>$S$6:$S$100</v>
      </c>
      <c r="T5" s="74" t="str">
        <f t="shared" si="0"/>
        <v>$T$6:$T$100</v>
      </c>
      <c r="U5" s="74" t="str">
        <f t="shared" si="0"/>
        <v>$U$6:$U$100</v>
      </c>
      <c r="V5" s="74" t="str">
        <f t="shared" si="0"/>
        <v>$V$6:$V$100</v>
      </c>
      <c r="W5" s="74" t="str">
        <f t="shared" si="0"/>
        <v>$W$6:$W$100</v>
      </c>
      <c r="X5" s="74" t="str">
        <f t="shared" si="0"/>
        <v>$X$6:$X$100</v>
      </c>
      <c r="Y5" s="74" t="str">
        <f t="shared" si="0"/>
        <v>$Y$6:$Y$100</v>
      </c>
      <c r="Z5" s="74" t="str">
        <f t="shared" si="0"/>
        <v>$Z$6:$Z$100</v>
      </c>
      <c r="AA5" s="74" t="str">
        <f t="shared" si="0"/>
        <v>$AA$6:$AA$100</v>
      </c>
      <c r="AB5" s="74" t="str">
        <f t="shared" si="0"/>
        <v>$AB$6:$AB$100</v>
      </c>
      <c r="AC5" s="74" t="str">
        <f t="shared" si="0"/>
        <v>$AC$6:$AC$100</v>
      </c>
      <c r="AD5" s="74" t="str">
        <f t="shared" si="0"/>
        <v>$AD$6:$AD$100</v>
      </c>
      <c r="AE5" s="74" t="str">
        <f t="shared" si="0"/>
        <v>$AE$6:$AE$100</v>
      </c>
      <c r="AF5" s="74" t="str">
        <f t="shared" si="0"/>
        <v>$AF$6:$AF$100</v>
      </c>
      <c r="AG5" s="74" t="str">
        <f t="shared" si="0"/>
        <v>$AG$6:$AG$100</v>
      </c>
      <c r="AH5" s="74" t="str">
        <f t="shared" si="0"/>
        <v>$AH$6:$AH$100</v>
      </c>
      <c r="AI5" s="74" t="str">
        <f t="shared" si="0"/>
        <v>$AI$6:$AI$100</v>
      </c>
      <c r="AJ5" s="74" t="str">
        <f t="shared" si="0"/>
        <v>$AJ$6:$AJ$100</v>
      </c>
      <c r="AK5" s="74" t="str">
        <f t="shared" si="0"/>
        <v>$AK$6:$AK$100</v>
      </c>
      <c r="AL5" s="74" t="str">
        <f t="shared" si="0"/>
        <v>$AL$6:$AL$100</v>
      </c>
      <c r="AM5" s="74" t="str">
        <f t="shared" si="0"/>
        <v>$AM$6:$AM$100</v>
      </c>
      <c r="AN5" s="74" t="str">
        <f t="shared" si="0"/>
        <v>$AN$6:$AN$100</v>
      </c>
      <c r="AO5" s="74" t="str">
        <f t="shared" si="0"/>
        <v>$AO$6:$AO$100</v>
      </c>
      <c r="AP5" s="74" t="str">
        <f t="shared" si="0"/>
        <v>$AP$6:$AP$100</v>
      </c>
      <c r="AQ5" s="74" t="str">
        <f t="shared" si="0"/>
        <v>$AQ$6:$AQ$100</v>
      </c>
      <c r="AR5" s="74" t="str">
        <f t="shared" si="0"/>
        <v>$AR$6:$AR$100</v>
      </c>
      <c r="AS5" s="74" t="str">
        <f t="shared" si="0"/>
        <v>$AS$6:$AS$100</v>
      </c>
      <c r="AT5" s="74" t="str">
        <f t="shared" si="0"/>
        <v>$AT$6:$AT$100</v>
      </c>
      <c r="AU5" s="74" t="str">
        <f t="shared" si="0"/>
        <v>$AU$6:$AU$100</v>
      </c>
      <c r="AV5" s="74" t="str">
        <f t="shared" si="0"/>
        <v>$AV$6:$AV$100</v>
      </c>
      <c r="AW5" s="74" t="str">
        <f t="shared" si="0"/>
        <v>$AW$6:$AW$100</v>
      </c>
      <c r="AX5" s="74" t="str">
        <f t="shared" si="0"/>
        <v>$AX$6:$AX$100</v>
      </c>
      <c r="AY5" s="74" t="str">
        <f t="shared" si="0"/>
        <v>$AY$6:$AY$100</v>
      </c>
      <c r="AZ5" s="74" t="str">
        <f t="shared" si="0"/>
        <v>$AZ$6:$AZ$100</v>
      </c>
      <c r="BA5" s="74" t="str">
        <f t="shared" si="0"/>
        <v>$BA$6:$BA$100</v>
      </c>
      <c r="BB5" s="74" t="str">
        <f t="shared" si="0"/>
        <v>$BB$6:$BB$100</v>
      </c>
      <c r="BC5" s="74" t="str">
        <f t="shared" si="0"/>
        <v>$BC$6:$BC$100</v>
      </c>
      <c r="BD5" s="74" t="str">
        <f t="shared" si="0"/>
        <v>$BD$6:$BD$100</v>
      </c>
      <c r="BE5" s="74" t="str">
        <f t="shared" si="0"/>
        <v>$BE$6:$BE$100</v>
      </c>
      <c r="BF5" s="74" t="str">
        <f t="shared" si="0"/>
        <v>$BF$6:$BF$100</v>
      </c>
      <c r="BG5" s="74" t="str">
        <f t="shared" si="0"/>
        <v>$BG$6:$BG$100</v>
      </c>
      <c r="BH5" s="74" t="str">
        <f t="shared" si="0"/>
        <v>$BH$6:$BH$100</v>
      </c>
      <c r="BI5" s="74" t="str">
        <f t="shared" si="0"/>
        <v>$BI$6:$BI$100</v>
      </c>
      <c r="BJ5" s="74" t="str">
        <f t="shared" si="0"/>
        <v>$BJ$6:$BJ$100</v>
      </c>
      <c r="BK5" s="74" t="str">
        <f t="shared" si="0"/>
        <v>$BK$6:$BK$100</v>
      </c>
      <c r="BL5" s="74" t="str">
        <f t="shared" si="0"/>
        <v>$BL$6:$BL$100</v>
      </c>
      <c r="BM5" s="74" t="str">
        <f t="shared" si="0"/>
        <v>$BM$6:$BM$100</v>
      </c>
      <c r="BN5" s="74" t="str">
        <f t="shared" si="0"/>
        <v>$BN$6:$BN$100</v>
      </c>
      <c r="BO5" s="74" t="str">
        <f t="shared" si="0"/>
        <v>$BO$6:$BO$100</v>
      </c>
      <c r="BP5" s="74" t="str">
        <f t="shared" si="0"/>
        <v>$BP$6:$BP$100</v>
      </c>
      <c r="BQ5" s="74" t="str">
        <f t="shared" si="0"/>
        <v>$BQ$6:$BQ$100</v>
      </c>
      <c r="BR5" s="74" t="str">
        <f t="shared" si="0"/>
        <v>$BR$6:$BR$100</v>
      </c>
      <c r="BS5" s="74" t="str">
        <f t="shared" si="0"/>
        <v>$BS$6:$BS$100</v>
      </c>
      <c r="BT5" s="74" t="str">
        <f t="shared" si="0"/>
        <v>$BT$6:$BT$100</v>
      </c>
      <c r="BU5" s="74" t="str">
        <f t="shared" si="0"/>
        <v>$BU$6:$BU$100</v>
      </c>
      <c r="BV5" s="74" t="str">
        <f t="shared" si="0"/>
        <v>$BV$6:$BV$100</v>
      </c>
      <c r="BW5" s="74" t="str">
        <f t="shared" si="0"/>
        <v>$BW$6:$BW$100</v>
      </c>
      <c r="BX5" s="74"/>
    </row>
    <row r="6" spans="1:76" x14ac:dyDescent="0.25">
      <c r="F6" s="36">
        <v>5000</v>
      </c>
      <c r="G6" s="37">
        <v>2.8000000000000001E-2</v>
      </c>
      <c r="H6" s="38">
        <v>2E-3</v>
      </c>
      <c r="K6" s="10">
        <v>6300</v>
      </c>
      <c r="L6" s="10">
        <v>2.7E-2</v>
      </c>
      <c r="M6" s="10">
        <v>2E-3</v>
      </c>
      <c r="N6" s="10" t="s">
        <v>225</v>
      </c>
      <c r="O6" s="10"/>
      <c r="P6" s="10"/>
      <c r="Q6" s="10">
        <v>2</v>
      </c>
      <c r="R6" s="104" t="s">
        <v>360</v>
      </c>
      <c r="S6" s="104">
        <v>12.5</v>
      </c>
      <c r="T6" s="104">
        <v>150</v>
      </c>
      <c r="U6" s="10">
        <v>125</v>
      </c>
      <c r="V6" s="10">
        <v>0</v>
      </c>
      <c r="W6" s="10">
        <v>0</v>
      </c>
      <c r="X6" s="10" t="s">
        <v>249</v>
      </c>
      <c r="Y6" s="10" t="s">
        <v>185</v>
      </c>
      <c r="Z6" s="10"/>
      <c r="AA6" s="10">
        <v>1</v>
      </c>
      <c r="AB6" s="105" t="s">
        <v>374</v>
      </c>
      <c r="AC6" s="105">
        <v>12.5</v>
      </c>
      <c r="AD6" s="105">
        <v>150</v>
      </c>
      <c r="AE6" s="10">
        <v>100</v>
      </c>
      <c r="AF6" s="10">
        <v>0</v>
      </c>
      <c r="AG6" s="10">
        <v>0</v>
      </c>
      <c r="AH6" s="10" t="s">
        <v>254</v>
      </c>
      <c r="AI6" s="10" t="s">
        <v>230</v>
      </c>
      <c r="AJ6" s="10">
        <v>0</v>
      </c>
      <c r="AK6" s="10">
        <v>3</v>
      </c>
      <c r="AL6" s="105" t="s">
        <v>370</v>
      </c>
      <c r="AM6" s="105">
        <v>12.5</v>
      </c>
      <c r="AN6" s="105">
        <v>150</v>
      </c>
      <c r="AO6" s="10">
        <v>100</v>
      </c>
      <c r="AP6" s="10">
        <v>0</v>
      </c>
      <c r="AQ6" s="10">
        <v>0</v>
      </c>
      <c r="AR6" s="10" t="s">
        <v>255</v>
      </c>
      <c r="AS6" s="10" t="s">
        <v>253</v>
      </c>
      <c r="AT6" s="10">
        <v>4</v>
      </c>
      <c r="AU6" s="10"/>
      <c r="AV6" s="81">
        <v>50</v>
      </c>
      <c r="AW6" s="10">
        <v>0</v>
      </c>
      <c r="AX6" s="10">
        <v>0</v>
      </c>
      <c r="AY6" s="10" t="s">
        <v>256</v>
      </c>
      <c r="AZ6" s="10" t="s">
        <v>250</v>
      </c>
      <c r="BA6" s="10"/>
      <c r="BB6" s="10">
        <v>5</v>
      </c>
      <c r="BC6" s="10">
        <v>5000</v>
      </c>
      <c r="BD6" s="10">
        <v>0</v>
      </c>
      <c r="BE6" s="10">
        <v>0</v>
      </c>
      <c r="BF6" s="10" t="s">
        <v>257</v>
      </c>
      <c r="BG6" s="10" t="str">
        <f t="shared" ref="BG6:BG36" si="1">"ТТИ-А "&amp;BC6&amp;"/5А 5ВА 0,5S"</f>
        <v>ТТИ-А 5000/5А 5ВА 0,5S</v>
      </c>
      <c r="BI6">
        <v>6</v>
      </c>
      <c r="BJ6" s="10">
        <v>100</v>
      </c>
      <c r="BK6" s="10">
        <v>0</v>
      </c>
      <c r="BL6" s="10">
        <v>0</v>
      </c>
      <c r="BM6" s="10" t="s">
        <v>258</v>
      </c>
      <c r="BN6" s="10" t="s">
        <v>252</v>
      </c>
      <c r="BO6" s="10"/>
      <c r="BP6" s="10">
        <v>7</v>
      </c>
      <c r="BQ6" s="10">
        <v>80</v>
      </c>
      <c r="BR6" s="10">
        <v>0</v>
      </c>
      <c r="BS6" s="10">
        <v>0</v>
      </c>
      <c r="BT6" s="10" t="s">
        <v>259</v>
      </c>
      <c r="BU6" s="10" t="s">
        <v>260</v>
      </c>
      <c r="BV6" s="10"/>
      <c r="BW6" s="10">
        <v>8</v>
      </c>
      <c r="BX6" s="10"/>
    </row>
    <row r="7" spans="1:76" x14ac:dyDescent="0.25">
      <c r="F7" s="36">
        <v>4000</v>
      </c>
      <c r="G7" s="37">
        <v>0.1</v>
      </c>
      <c r="H7" s="38">
        <v>0.05</v>
      </c>
      <c r="K7" s="10">
        <v>5000</v>
      </c>
      <c r="L7" s="10">
        <v>2.8000000000000001E-2</v>
      </c>
      <c r="M7" s="10">
        <v>2E-3</v>
      </c>
      <c r="N7" s="10" t="s">
        <v>225</v>
      </c>
      <c r="O7" s="10"/>
      <c r="P7" s="10"/>
      <c r="Q7" s="10">
        <v>2</v>
      </c>
      <c r="R7" s="104" t="s">
        <v>360</v>
      </c>
      <c r="S7" s="104">
        <v>12.5</v>
      </c>
      <c r="T7" s="104">
        <v>150</v>
      </c>
      <c r="U7" s="10">
        <v>100</v>
      </c>
      <c r="V7" s="10">
        <v>0</v>
      </c>
      <c r="W7" s="10">
        <v>0</v>
      </c>
      <c r="X7" s="10" t="s">
        <v>249</v>
      </c>
      <c r="Y7" s="10" t="s">
        <v>185</v>
      </c>
      <c r="Z7" s="10"/>
      <c r="AA7" s="10">
        <v>1</v>
      </c>
      <c r="AB7" s="105" t="s">
        <v>374</v>
      </c>
      <c r="AC7" s="105">
        <v>12.5</v>
      </c>
      <c r="AD7" s="105">
        <v>150</v>
      </c>
      <c r="AE7" s="10">
        <v>63</v>
      </c>
      <c r="AF7" s="10">
        <v>0</v>
      </c>
      <c r="AG7" s="10">
        <v>0</v>
      </c>
      <c r="AH7" s="10" t="s">
        <v>254</v>
      </c>
      <c r="AI7" s="10" t="s">
        <v>230</v>
      </c>
      <c r="AJ7" s="10">
        <v>0</v>
      </c>
      <c r="AK7" s="10">
        <v>3</v>
      </c>
      <c r="AL7" s="105" t="s">
        <v>370</v>
      </c>
      <c r="AM7" s="105">
        <v>12.5</v>
      </c>
      <c r="AN7" s="105">
        <v>150</v>
      </c>
      <c r="AO7" s="10">
        <v>80</v>
      </c>
      <c r="AP7" s="10">
        <v>0</v>
      </c>
      <c r="AQ7" s="10">
        <v>0</v>
      </c>
      <c r="AR7" s="10" t="s">
        <v>255</v>
      </c>
      <c r="AS7" s="10" t="s">
        <v>253</v>
      </c>
      <c r="AT7" s="10">
        <v>4</v>
      </c>
      <c r="AU7" s="10"/>
      <c r="AV7" s="81">
        <v>40</v>
      </c>
      <c r="AW7" s="10">
        <v>0</v>
      </c>
      <c r="AX7" s="10">
        <v>0</v>
      </c>
      <c r="AY7" s="10" t="s">
        <v>256</v>
      </c>
      <c r="AZ7" s="10" t="s">
        <v>250</v>
      </c>
      <c r="BA7" s="10"/>
      <c r="BB7" s="10">
        <v>5</v>
      </c>
      <c r="BC7" s="10">
        <v>4000</v>
      </c>
      <c r="BD7" s="10">
        <v>0</v>
      </c>
      <c r="BE7" s="10">
        <v>0</v>
      </c>
      <c r="BF7" s="10" t="s">
        <v>257</v>
      </c>
      <c r="BG7" s="10" t="str">
        <f t="shared" si="1"/>
        <v>ТТИ-А 4000/5А 5ВА 0,5S</v>
      </c>
      <c r="BH7" s="10"/>
      <c r="BI7">
        <v>6</v>
      </c>
      <c r="BJ7" s="10">
        <v>60</v>
      </c>
      <c r="BK7" s="10">
        <v>0</v>
      </c>
      <c r="BL7" s="10">
        <v>0</v>
      </c>
      <c r="BM7" s="10" t="s">
        <v>258</v>
      </c>
      <c r="BN7" s="10" t="s">
        <v>251</v>
      </c>
      <c r="BO7" s="10"/>
      <c r="BP7" s="10">
        <v>7</v>
      </c>
      <c r="BQ7" s="10">
        <v>63</v>
      </c>
      <c r="BR7" s="10">
        <v>0</v>
      </c>
      <c r="BS7" s="10">
        <v>0</v>
      </c>
      <c r="BT7" s="10" t="s">
        <v>259</v>
      </c>
      <c r="BU7" s="10" t="s">
        <v>260</v>
      </c>
      <c r="BV7" s="10"/>
      <c r="BW7" s="10">
        <v>8</v>
      </c>
      <c r="BX7" s="10"/>
    </row>
    <row r="8" spans="1:76" ht="15.75" thickBot="1" x14ac:dyDescent="0.3">
      <c r="F8" s="36">
        <v>3200</v>
      </c>
      <c r="G8" s="37">
        <v>0.12</v>
      </c>
      <c r="H8" s="38">
        <v>0.06</v>
      </c>
      <c r="K8" s="10">
        <v>4000</v>
      </c>
      <c r="L8" s="10">
        <v>0.1</v>
      </c>
      <c r="M8" s="10">
        <v>0.05</v>
      </c>
      <c r="N8" s="10" t="s">
        <v>225</v>
      </c>
      <c r="O8" s="10"/>
      <c r="P8" s="10"/>
      <c r="Q8" s="10">
        <v>2</v>
      </c>
      <c r="R8" s="104" t="s">
        <v>360</v>
      </c>
      <c r="S8" s="104">
        <v>12.5</v>
      </c>
      <c r="T8" s="104">
        <v>150</v>
      </c>
      <c r="U8" s="10">
        <v>63</v>
      </c>
      <c r="V8" s="10">
        <v>0</v>
      </c>
      <c r="W8" s="10">
        <v>0</v>
      </c>
      <c r="X8" s="10" t="s">
        <v>249</v>
      </c>
      <c r="Y8" s="10" t="s">
        <v>185</v>
      </c>
      <c r="Z8" s="10"/>
      <c r="AA8" s="10">
        <v>1</v>
      </c>
      <c r="AB8" s="105" t="s">
        <v>374</v>
      </c>
      <c r="AC8" s="105">
        <v>12.5</v>
      </c>
      <c r="AD8" s="105">
        <v>150</v>
      </c>
      <c r="AE8" s="10">
        <v>50</v>
      </c>
      <c r="AF8" s="10">
        <v>0</v>
      </c>
      <c r="AG8" s="10">
        <v>0</v>
      </c>
      <c r="AH8" s="10" t="s">
        <v>254</v>
      </c>
      <c r="AI8" s="10" t="s">
        <v>230</v>
      </c>
      <c r="AJ8" s="10">
        <v>0</v>
      </c>
      <c r="AK8" s="10">
        <v>3</v>
      </c>
      <c r="AL8" s="105" t="s">
        <v>370</v>
      </c>
      <c r="AM8" s="105">
        <v>12.5</v>
      </c>
      <c r="AN8" s="105">
        <v>150</v>
      </c>
      <c r="AO8" s="10">
        <v>63</v>
      </c>
      <c r="AP8" s="10">
        <v>0</v>
      </c>
      <c r="AQ8" s="10">
        <v>0</v>
      </c>
      <c r="AR8" s="10" t="s">
        <v>255</v>
      </c>
      <c r="AS8" s="10" t="s">
        <v>253</v>
      </c>
      <c r="AT8" s="10">
        <v>4</v>
      </c>
      <c r="AU8" s="10"/>
      <c r="AV8" s="10">
        <v>32</v>
      </c>
      <c r="AW8" s="10">
        <v>0</v>
      </c>
      <c r="AX8" s="10">
        <v>0</v>
      </c>
      <c r="AY8" s="10" t="s">
        <v>256</v>
      </c>
      <c r="AZ8" s="10" t="s">
        <v>250</v>
      </c>
      <c r="BA8" s="10"/>
      <c r="BB8" s="10">
        <v>5</v>
      </c>
      <c r="BC8" s="10">
        <v>3000</v>
      </c>
      <c r="BD8" s="10">
        <v>0</v>
      </c>
      <c r="BE8" s="10">
        <v>0</v>
      </c>
      <c r="BF8" s="10" t="s">
        <v>257</v>
      </c>
      <c r="BG8" s="10" t="str">
        <f t="shared" si="1"/>
        <v>ТТИ-А 3000/5А 5ВА 0,5S</v>
      </c>
      <c r="BH8" s="10"/>
      <c r="BI8">
        <v>6</v>
      </c>
      <c r="BJ8" s="10">
        <v>0</v>
      </c>
      <c r="BK8" s="10">
        <v>0</v>
      </c>
      <c r="BL8" s="10">
        <v>0</v>
      </c>
      <c r="BM8" s="10"/>
      <c r="BN8" s="10"/>
      <c r="BO8" s="10"/>
      <c r="BP8" s="10"/>
      <c r="BQ8" s="10">
        <v>50</v>
      </c>
      <c r="BR8" s="10">
        <v>0</v>
      </c>
      <c r="BS8" s="10">
        <v>0</v>
      </c>
      <c r="BT8" s="10" t="s">
        <v>259</v>
      </c>
      <c r="BU8" s="10" t="s">
        <v>260</v>
      </c>
      <c r="BV8" s="10"/>
      <c r="BW8" s="10">
        <v>8</v>
      </c>
      <c r="BX8" s="10"/>
    </row>
    <row r="9" spans="1:76" ht="15.75" thickBot="1" x14ac:dyDescent="0.3">
      <c r="A9" s="129" t="s">
        <v>23</v>
      </c>
      <c r="B9" s="130"/>
      <c r="F9" s="36">
        <v>2500</v>
      </c>
      <c r="G9" s="37">
        <v>0.13</v>
      </c>
      <c r="H9" s="38">
        <v>7.0000000000000007E-2</v>
      </c>
      <c r="K9" s="10">
        <v>3200</v>
      </c>
      <c r="L9" s="10">
        <v>0.12</v>
      </c>
      <c r="M9" s="10">
        <v>0.06</v>
      </c>
      <c r="N9" s="10" t="s">
        <v>225</v>
      </c>
      <c r="O9" s="10"/>
      <c r="P9" s="10"/>
      <c r="Q9" s="10">
        <v>2</v>
      </c>
      <c r="R9" s="104" t="s">
        <v>360</v>
      </c>
      <c r="S9" s="104">
        <v>12.5</v>
      </c>
      <c r="T9" s="104">
        <v>150</v>
      </c>
      <c r="U9" s="10">
        <v>40</v>
      </c>
      <c r="V9" s="10">
        <v>0</v>
      </c>
      <c r="W9" s="10">
        <v>0</v>
      </c>
      <c r="X9" s="10" t="s">
        <v>249</v>
      </c>
      <c r="Y9" s="10" t="s">
        <v>185</v>
      </c>
      <c r="Z9" s="10"/>
      <c r="AA9" s="10">
        <v>1</v>
      </c>
      <c r="AB9" s="105" t="s">
        <v>374</v>
      </c>
      <c r="AC9" s="105">
        <v>12.5</v>
      </c>
      <c r="AD9" s="105">
        <v>150</v>
      </c>
      <c r="AE9" s="10">
        <v>40</v>
      </c>
      <c r="AF9" s="10">
        <v>0</v>
      </c>
      <c r="AG9" s="10">
        <v>0</v>
      </c>
      <c r="AH9" s="10" t="s">
        <v>254</v>
      </c>
      <c r="AI9" s="10" t="s">
        <v>230</v>
      </c>
      <c r="AJ9" s="10">
        <v>0</v>
      </c>
      <c r="AK9" s="10">
        <v>3</v>
      </c>
      <c r="AL9" s="105" t="s">
        <v>370</v>
      </c>
      <c r="AM9" s="105">
        <v>12.5</v>
      </c>
      <c r="AN9" s="105">
        <v>150</v>
      </c>
      <c r="AO9" s="10">
        <v>50</v>
      </c>
      <c r="AP9" s="10">
        <v>0</v>
      </c>
      <c r="AQ9" s="10">
        <v>0</v>
      </c>
      <c r="AR9" s="10" t="s">
        <v>255</v>
      </c>
      <c r="AS9" s="10" t="s">
        <v>253</v>
      </c>
      <c r="AT9" s="10">
        <v>4</v>
      </c>
      <c r="AU9" s="10"/>
      <c r="AV9" s="10">
        <v>25</v>
      </c>
      <c r="AW9" s="10">
        <v>0</v>
      </c>
      <c r="AX9" s="10">
        <v>0</v>
      </c>
      <c r="AY9" s="10" t="s">
        <v>256</v>
      </c>
      <c r="AZ9" s="10" t="s">
        <v>250</v>
      </c>
      <c r="BA9" s="10"/>
      <c r="BB9" s="10">
        <v>5</v>
      </c>
      <c r="BC9" s="10">
        <v>2000</v>
      </c>
      <c r="BD9" s="10">
        <v>0</v>
      </c>
      <c r="BE9" s="10">
        <v>0</v>
      </c>
      <c r="BF9" s="10" t="s">
        <v>257</v>
      </c>
      <c r="BG9" s="10" t="str">
        <f t="shared" si="1"/>
        <v>ТТИ-А 2000/5А 5ВА 0,5S</v>
      </c>
      <c r="BH9" s="10"/>
      <c r="BI9">
        <v>6</v>
      </c>
      <c r="BJ9" s="10">
        <v>0</v>
      </c>
      <c r="BK9" s="10">
        <v>0</v>
      </c>
      <c r="BL9" s="10">
        <v>0</v>
      </c>
      <c r="BM9" s="10"/>
      <c r="BN9" s="10"/>
      <c r="BO9" s="10"/>
      <c r="BP9" s="10"/>
      <c r="BQ9" s="10">
        <v>40</v>
      </c>
      <c r="BR9" s="10">
        <v>0</v>
      </c>
      <c r="BS9" s="10">
        <v>0</v>
      </c>
      <c r="BT9" s="10" t="s">
        <v>259</v>
      </c>
      <c r="BU9" s="10" t="s">
        <v>260</v>
      </c>
      <c r="BV9" s="10"/>
      <c r="BW9" s="10">
        <v>8</v>
      </c>
      <c r="BX9" s="10"/>
    </row>
    <row r="10" spans="1:76" x14ac:dyDescent="0.25">
      <c r="A10" s="13" t="s">
        <v>110</v>
      </c>
      <c r="B10" s="48" t="s">
        <v>114</v>
      </c>
      <c r="F10" s="36">
        <v>2000</v>
      </c>
      <c r="G10" s="37">
        <v>0.13500000000000001</v>
      </c>
      <c r="H10" s="38">
        <v>7.4999999999999997E-2</v>
      </c>
      <c r="K10" s="10">
        <v>2500</v>
      </c>
      <c r="L10" s="10">
        <v>0.13</v>
      </c>
      <c r="M10" s="10">
        <v>7.0000000000000007E-2</v>
      </c>
      <c r="N10" s="10" t="s">
        <v>225</v>
      </c>
      <c r="O10" s="10"/>
      <c r="P10" s="10"/>
      <c r="Q10" s="10">
        <v>2</v>
      </c>
      <c r="R10" s="104" t="s">
        <v>360</v>
      </c>
      <c r="S10" s="104">
        <v>12.5</v>
      </c>
      <c r="T10" s="104">
        <v>150</v>
      </c>
      <c r="U10" s="10">
        <v>32</v>
      </c>
      <c r="V10" s="10">
        <v>0</v>
      </c>
      <c r="W10" s="10">
        <v>0</v>
      </c>
      <c r="X10" s="10" t="s">
        <v>249</v>
      </c>
      <c r="Y10" s="10" t="s">
        <v>185</v>
      </c>
      <c r="Z10" s="10"/>
      <c r="AA10" s="10">
        <v>1</v>
      </c>
      <c r="AB10" s="105" t="s">
        <v>374</v>
      </c>
      <c r="AC10" s="105">
        <v>12.5</v>
      </c>
      <c r="AD10" s="105">
        <v>150</v>
      </c>
      <c r="AE10" s="10">
        <v>32</v>
      </c>
      <c r="AF10" s="10">
        <v>0</v>
      </c>
      <c r="AG10" s="10">
        <v>0</v>
      </c>
      <c r="AH10" s="10" t="s">
        <v>254</v>
      </c>
      <c r="AI10" s="10" t="s">
        <v>230</v>
      </c>
      <c r="AJ10" s="10">
        <v>0</v>
      </c>
      <c r="AK10" s="10">
        <v>3</v>
      </c>
      <c r="AL10" s="105" t="s">
        <v>370</v>
      </c>
      <c r="AM10" s="105">
        <v>12.5</v>
      </c>
      <c r="AN10" s="105">
        <v>150</v>
      </c>
      <c r="AO10" s="10">
        <v>40</v>
      </c>
      <c r="AP10" s="10">
        <v>0</v>
      </c>
      <c r="AQ10" s="10">
        <v>0</v>
      </c>
      <c r="AR10" s="10" t="s">
        <v>255</v>
      </c>
      <c r="AS10" s="10" t="s">
        <v>253</v>
      </c>
      <c r="AT10" s="10">
        <v>4</v>
      </c>
      <c r="AU10" s="10"/>
      <c r="AV10" s="10">
        <v>20</v>
      </c>
      <c r="AW10" s="10">
        <v>0</v>
      </c>
      <c r="AX10" s="10">
        <v>0</v>
      </c>
      <c r="AY10" s="10" t="s">
        <v>256</v>
      </c>
      <c r="AZ10" s="10" t="s">
        <v>250</v>
      </c>
      <c r="BA10" s="10"/>
      <c r="BB10" s="10">
        <v>5</v>
      </c>
      <c r="BC10" s="10">
        <v>1600</v>
      </c>
      <c r="BD10" s="10">
        <v>0</v>
      </c>
      <c r="BE10" s="10">
        <v>0</v>
      </c>
      <c r="BF10" s="10" t="s">
        <v>257</v>
      </c>
      <c r="BG10" s="10" t="str">
        <f t="shared" si="1"/>
        <v>ТТИ-А 1600/5А 5ВА 0,5S</v>
      </c>
      <c r="BH10" s="10"/>
      <c r="BI10">
        <v>6</v>
      </c>
      <c r="BJ10" s="10">
        <v>0</v>
      </c>
      <c r="BK10" s="10">
        <v>0</v>
      </c>
      <c r="BL10" s="10">
        <v>0</v>
      </c>
      <c r="BM10" s="10"/>
      <c r="BN10" s="10"/>
      <c r="BO10" s="10"/>
      <c r="BP10" s="10"/>
      <c r="BQ10" s="10">
        <v>32</v>
      </c>
      <c r="BR10" s="10">
        <v>0</v>
      </c>
      <c r="BS10" s="10">
        <v>0</v>
      </c>
      <c r="BT10" s="10" t="s">
        <v>259</v>
      </c>
      <c r="BU10" s="10" t="s">
        <v>260</v>
      </c>
      <c r="BV10" s="10"/>
      <c r="BW10" s="10">
        <v>8</v>
      </c>
      <c r="BX10" s="10"/>
    </row>
    <row r="11" spans="1:76" x14ac:dyDescent="0.25">
      <c r="A11" s="50" t="s">
        <v>111</v>
      </c>
      <c r="B11" s="51" t="s">
        <v>115</v>
      </c>
      <c r="F11" s="36">
        <v>1600</v>
      </c>
      <c r="G11" s="37">
        <v>0.14000000000000001</v>
      </c>
      <c r="H11" s="38">
        <v>0.08</v>
      </c>
      <c r="K11" s="10">
        <v>2000</v>
      </c>
      <c r="L11" s="10">
        <v>0.13500000000000001</v>
      </c>
      <c r="M11" s="10">
        <v>7.4999999999999997E-2</v>
      </c>
      <c r="N11" s="10" t="s">
        <v>225</v>
      </c>
      <c r="O11" s="10"/>
      <c r="P11" s="10"/>
      <c r="Q11" s="10">
        <v>2</v>
      </c>
      <c r="R11" s="104" t="s">
        <v>360</v>
      </c>
      <c r="S11" s="104">
        <v>12.5</v>
      </c>
      <c r="T11" s="104">
        <v>150</v>
      </c>
      <c r="U11" s="10">
        <v>25</v>
      </c>
      <c r="V11" s="10">
        <v>0</v>
      </c>
      <c r="W11" s="10">
        <v>0</v>
      </c>
      <c r="X11" s="10" t="s">
        <v>249</v>
      </c>
      <c r="Y11" s="10" t="s">
        <v>185</v>
      </c>
      <c r="Z11" s="10"/>
      <c r="AA11" s="10">
        <v>1</v>
      </c>
      <c r="AB11" s="105" t="s">
        <v>374</v>
      </c>
      <c r="AC11" s="105">
        <v>12.5</v>
      </c>
      <c r="AD11" s="105">
        <v>150</v>
      </c>
      <c r="AE11" s="10">
        <v>25</v>
      </c>
      <c r="AF11" s="10">
        <v>0</v>
      </c>
      <c r="AG11" s="10">
        <v>0</v>
      </c>
      <c r="AH11" s="10" t="s">
        <v>254</v>
      </c>
      <c r="AI11" s="10" t="s">
        <v>230</v>
      </c>
      <c r="AJ11" s="10">
        <v>0</v>
      </c>
      <c r="AK11" s="10">
        <v>3</v>
      </c>
      <c r="AL11" s="105" t="s">
        <v>370</v>
      </c>
      <c r="AM11" s="105">
        <v>12.5</v>
      </c>
      <c r="AN11" s="105">
        <v>150</v>
      </c>
      <c r="AO11" s="10">
        <v>32</v>
      </c>
      <c r="AP11" s="10">
        <v>0</v>
      </c>
      <c r="AQ11" s="10">
        <v>0</v>
      </c>
      <c r="AR11" s="10" t="s">
        <v>255</v>
      </c>
      <c r="AS11" s="10" t="s">
        <v>253</v>
      </c>
      <c r="AT11" s="10">
        <v>4</v>
      </c>
      <c r="AU11" s="10"/>
      <c r="AV11" s="10">
        <v>16</v>
      </c>
      <c r="AW11" s="10">
        <v>0</v>
      </c>
      <c r="AX11" s="10">
        <v>0</v>
      </c>
      <c r="AY11" s="81" t="s">
        <v>256</v>
      </c>
      <c r="AZ11" s="81" t="s">
        <v>250</v>
      </c>
      <c r="BA11" s="10"/>
      <c r="BB11" s="10"/>
      <c r="BC11" s="10">
        <v>1500</v>
      </c>
      <c r="BD11" s="10">
        <v>0</v>
      </c>
      <c r="BE11" s="10">
        <v>0</v>
      </c>
      <c r="BF11" s="10" t="s">
        <v>257</v>
      </c>
      <c r="BG11" s="10" t="str">
        <f t="shared" si="1"/>
        <v>ТТИ-А 1500/5А 5ВА 0,5S</v>
      </c>
      <c r="BH11" s="10"/>
      <c r="BI11">
        <v>6</v>
      </c>
      <c r="BJ11" s="10">
        <v>0</v>
      </c>
      <c r="BK11" s="10">
        <v>0</v>
      </c>
      <c r="BL11" s="10">
        <v>0</v>
      </c>
      <c r="BM11" s="10"/>
      <c r="BN11" s="10"/>
      <c r="BO11" s="10"/>
      <c r="BP11" s="10"/>
      <c r="BQ11" s="10">
        <v>25</v>
      </c>
      <c r="BR11" s="10">
        <v>0</v>
      </c>
      <c r="BS11" s="10">
        <v>0</v>
      </c>
      <c r="BT11" s="10" t="s">
        <v>259</v>
      </c>
      <c r="BU11" s="10" t="s">
        <v>260</v>
      </c>
      <c r="BV11" s="10"/>
      <c r="BW11" s="10">
        <v>8</v>
      </c>
      <c r="BX11" s="10"/>
    </row>
    <row r="12" spans="1:76" x14ac:dyDescent="0.25">
      <c r="A12" s="50" t="s">
        <v>112</v>
      </c>
      <c r="B12" s="51" t="s">
        <v>116</v>
      </c>
      <c r="F12" s="36">
        <v>1250</v>
      </c>
      <c r="G12" s="37">
        <v>0.2</v>
      </c>
      <c r="H12" s="38">
        <v>0.09</v>
      </c>
      <c r="K12" s="10">
        <v>1600</v>
      </c>
      <c r="L12" s="10">
        <v>0.14000000000000001</v>
      </c>
      <c r="M12" s="10">
        <v>0.08</v>
      </c>
      <c r="N12" s="10" t="s">
        <v>225</v>
      </c>
      <c r="O12" s="10"/>
      <c r="P12" s="10"/>
      <c r="Q12" s="10">
        <v>2</v>
      </c>
      <c r="R12" s="104" t="s">
        <v>360</v>
      </c>
      <c r="S12" s="104">
        <v>12.5</v>
      </c>
      <c r="T12" s="104">
        <v>150</v>
      </c>
      <c r="U12" s="10">
        <v>20</v>
      </c>
      <c r="V12" s="10">
        <v>0</v>
      </c>
      <c r="W12" s="10">
        <v>0</v>
      </c>
      <c r="X12" s="10" t="s">
        <v>249</v>
      </c>
      <c r="Y12" s="10" t="s">
        <v>185</v>
      </c>
      <c r="Z12" s="10"/>
      <c r="AA12" s="10">
        <v>1</v>
      </c>
      <c r="AB12" s="105" t="s">
        <v>374</v>
      </c>
      <c r="AC12" s="105">
        <v>12.5</v>
      </c>
      <c r="AD12" s="105">
        <v>150</v>
      </c>
      <c r="AE12" s="10">
        <v>20</v>
      </c>
      <c r="AF12" s="10">
        <v>0</v>
      </c>
      <c r="AG12" s="10">
        <v>0</v>
      </c>
      <c r="AH12" s="10" t="s">
        <v>254</v>
      </c>
      <c r="AI12" s="10" t="s">
        <v>230</v>
      </c>
      <c r="AJ12" s="10">
        <v>0</v>
      </c>
      <c r="AK12" s="10">
        <v>3</v>
      </c>
      <c r="AL12" s="105" t="s">
        <v>370</v>
      </c>
      <c r="AM12" s="105">
        <v>12.5</v>
      </c>
      <c r="AN12" s="105">
        <v>150</v>
      </c>
      <c r="AO12" s="10">
        <v>25</v>
      </c>
      <c r="AP12" s="10">
        <v>0</v>
      </c>
      <c r="AQ12" s="10">
        <v>0</v>
      </c>
      <c r="AR12" s="10" t="s">
        <v>255</v>
      </c>
      <c r="AS12" s="10" t="s">
        <v>253</v>
      </c>
      <c r="AT12" s="10">
        <v>4</v>
      </c>
      <c r="AU12" s="10"/>
      <c r="AV12" s="10">
        <v>10</v>
      </c>
      <c r="AW12" s="10">
        <v>0</v>
      </c>
      <c r="AX12" s="10">
        <v>0</v>
      </c>
      <c r="AY12" s="81" t="s">
        <v>256</v>
      </c>
      <c r="AZ12" s="81" t="s">
        <v>250</v>
      </c>
      <c r="BA12" s="10"/>
      <c r="BB12" s="10"/>
      <c r="BC12" s="10">
        <v>1250</v>
      </c>
      <c r="BD12" s="10">
        <v>0</v>
      </c>
      <c r="BE12" s="10">
        <v>0</v>
      </c>
      <c r="BF12" s="10" t="s">
        <v>257</v>
      </c>
      <c r="BG12" s="10" t="str">
        <f t="shared" si="1"/>
        <v>ТТИ-А 1250/5А 5ВА 0,5S</v>
      </c>
      <c r="BH12" s="10"/>
      <c r="BI12">
        <v>6</v>
      </c>
      <c r="BJ12" s="10">
        <v>0</v>
      </c>
      <c r="BK12" s="10">
        <v>0</v>
      </c>
      <c r="BL12" s="10">
        <v>0</v>
      </c>
      <c r="BM12" s="10"/>
      <c r="BN12" s="10"/>
      <c r="BO12" s="10"/>
      <c r="BP12" s="10"/>
      <c r="BQ12" s="10">
        <v>16</v>
      </c>
      <c r="BR12" s="10">
        <v>0</v>
      </c>
      <c r="BS12" s="10">
        <v>0</v>
      </c>
      <c r="BT12" s="10" t="s">
        <v>259</v>
      </c>
      <c r="BU12" s="10" t="s">
        <v>260</v>
      </c>
      <c r="BV12" s="10"/>
      <c r="BW12" s="10">
        <v>8</v>
      </c>
      <c r="BX12" s="10"/>
    </row>
    <row r="13" spans="1:76" ht="15.75" thickBot="1" x14ac:dyDescent="0.3">
      <c r="A13" s="16" t="s">
        <v>113</v>
      </c>
      <c r="B13" s="49" t="s">
        <v>117</v>
      </c>
      <c r="F13" s="36">
        <v>1000</v>
      </c>
      <c r="G13" s="37">
        <v>0.25</v>
      </c>
      <c r="H13" s="38">
        <v>0.1</v>
      </c>
      <c r="K13" s="10">
        <v>1250</v>
      </c>
      <c r="L13" s="10">
        <v>0.2</v>
      </c>
      <c r="M13" s="10">
        <v>0.09</v>
      </c>
      <c r="N13" s="10" t="s">
        <v>225</v>
      </c>
      <c r="O13" s="10"/>
      <c r="P13" s="10"/>
      <c r="Q13" s="10">
        <v>2</v>
      </c>
      <c r="R13" s="104" t="s">
        <v>360</v>
      </c>
      <c r="S13" s="104">
        <v>12.5</v>
      </c>
      <c r="T13" s="104">
        <v>150</v>
      </c>
      <c r="U13" s="10">
        <v>0</v>
      </c>
      <c r="V13" s="10">
        <v>0</v>
      </c>
      <c r="W13" s="10">
        <v>0</v>
      </c>
      <c r="X13" s="10"/>
      <c r="Y13" s="10"/>
      <c r="Z13" s="10"/>
      <c r="AA13" s="10"/>
      <c r="AB13" s="105" t="s">
        <v>374</v>
      </c>
      <c r="AC13" s="105">
        <v>12.5</v>
      </c>
      <c r="AD13" s="105">
        <v>150</v>
      </c>
      <c r="AE13" s="10">
        <v>16</v>
      </c>
      <c r="AF13" s="10">
        <v>0</v>
      </c>
      <c r="AG13" s="10">
        <v>0</v>
      </c>
      <c r="AH13" s="10" t="s">
        <v>254</v>
      </c>
      <c r="AI13" s="10" t="s">
        <v>230</v>
      </c>
      <c r="AJ13" s="10">
        <v>0</v>
      </c>
      <c r="AK13" s="10">
        <v>3</v>
      </c>
      <c r="AL13" s="105" t="s">
        <v>370</v>
      </c>
      <c r="AM13" s="105">
        <v>12.5</v>
      </c>
      <c r="AN13" s="105">
        <v>150</v>
      </c>
      <c r="AO13" s="10">
        <v>16</v>
      </c>
      <c r="AP13" s="10">
        <v>0</v>
      </c>
      <c r="AQ13" s="10">
        <v>0</v>
      </c>
      <c r="AR13" s="10" t="s">
        <v>255</v>
      </c>
      <c r="AS13" s="10" t="s">
        <v>253</v>
      </c>
      <c r="AT13" s="10">
        <v>4</v>
      </c>
      <c r="AU13" s="10"/>
      <c r="AV13" s="10">
        <v>0</v>
      </c>
      <c r="AW13" s="10">
        <v>0</v>
      </c>
      <c r="AX13" s="10">
        <v>0</v>
      </c>
      <c r="AY13" s="10"/>
      <c r="AZ13" s="10"/>
      <c r="BA13" s="10"/>
      <c r="BB13" s="10"/>
      <c r="BC13" s="10">
        <v>1200</v>
      </c>
      <c r="BD13" s="10">
        <v>0</v>
      </c>
      <c r="BE13" s="10">
        <v>0</v>
      </c>
      <c r="BF13" s="10" t="s">
        <v>257</v>
      </c>
      <c r="BG13" s="10" t="str">
        <f t="shared" si="1"/>
        <v>ТТИ-А 1200/5А 5ВА 0,5S</v>
      </c>
      <c r="BH13" s="10"/>
      <c r="BI13">
        <v>6</v>
      </c>
      <c r="BJ13" s="10">
        <v>0</v>
      </c>
      <c r="BK13" s="10">
        <v>0</v>
      </c>
      <c r="BL13" s="10">
        <v>0</v>
      </c>
      <c r="BM13" s="10"/>
      <c r="BN13" s="10"/>
      <c r="BO13" s="10"/>
      <c r="BP13" s="10"/>
      <c r="BQ13" s="10">
        <v>12</v>
      </c>
      <c r="BR13" s="10">
        <v>0</v>
      </c>
      <c r="BS13" s="10">
        <v>0</v>
      </c>
      <c r="BT13" s="10" t="s">
        <v>259</v>
      </c>
      <c r="BU13" s="10" t="s">
        <v>260</v>
      </c>
      <c r="BV13" s="10"/>
      <c r="BW13" s="10">
        <v>8</v>
      </c>
      <c r="BX13" s="10"/>
    </row>
    <row r="14" spans="1:76" x14ac:dyDescent="0.25">
      <c r="F14" s="36">
        <v>800</v>
      </c>
      <c r="G14" s="37">
        <v>0.33</v>
      </c>
      <c r="H14" s="38">
        <v>0.115</v>
      </c>
      <c r="K14" s="10">
        <v>1000</v>
      </c>
      <c r="L14" s="10">
        <v>0.25</v>
      </c>
      <c r="M14" s="10">
        <v>0.1</v>
      </c>
      <c r="N14" s="10" t="s">
        <v>225</v>
      </c>
      <c r="O14" s="10"/>
      <c r="P14" s="10"/>
      <c r="Q14" s="10">
        <v>2</v>
      </c>
      <c r="R14" s="104" t="s">
        <v>360</v>
      </c>
      <c r="S14" s="104">
        <v>12.5</v>
      </c>
      <c r="T14" s="104">
        <v>150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5" t="s">
        <v>374</v>
      </c>
      <c r="AC14" s="105">
        <v>12.5</v>
      </c>
      <c r="AD14" s="105">
        <v>150</v>
      </c>
      <c r="AE14" s="75">
        <v>10</v>
      </c>
      <c r="AF14" s="10">
        <v>0</v>
      </c>
      <c r="AG14" s="10">
        <v>0</v>
      </c>
      <c r="AH14" s="10" t="s">
        <v>254</v>
      </c>
      <c r="AI14" s="10" t="s">
        <v>230</v>
      </c>
      <c r="AJ14" s="10">
        <v>0</v>
      </c>
      <c r="AK14" s="10">
        <v>3</v>
      </c>
      <c r="AL14" s="105" t="s">
        <v>370</v>
      </c>
      <c r="AM14" s="105">
        <v>12.5</v>
      </c>
      <c r="AN14" s="105">
        <v>150</v>
      </c>
      <c r="AO14" s="75">
        <v>0</v>
      </c>
      <c r="AP14" s="10">
        <v>0</v>
      </c>
      <c r="AQ14" s="10">
        <v>0</v>
      </c>
      <c r="AR14" s="10"/>
      <c r="AS14" s="10"/>
      <c r="AT14" s="10"/>
      <c r="AU14" s="10"/>
      <c r="AV14" s="10">
        <v>0</v>
      </c>
      <c r="AW14" s="10">
        <v>0</v>
      </c>
      <c r="AX14" s="10">
        <v>0</v>
      </c>
      <c r="AY14" s="10"/>
      <c r="AZ14" s="10"/>
      <c r="BA14" s="10"/>
      <c r="BB14" s="10"/>
      <c r="BC14" s="75">
        <v>1000</v>
      </c>
      <c r="BD14" s="10">
        <v>0</v>
      </c>
      <c r="BE14" s="10">
        <v>0</v>
      </c>
      <c r="BF14" s="10" t="s">
        <v>257</v>
      </c>
      <c r="BG14" s="10" t="str">
        <f t="shared" si="1"/>
        <v>ТТИ-А 1000/5А 5ВА 0,5S</v>
      </c>
      <c r="BH14" s="10"/>
      <c r="BI14">
        <v>6</v>
      </c>
      <c r="BJ14" s="10">
        <v>0</v>
      </c>
      <c r="BK14" s="10">
        <v>0</v>
      </c>
      <c r="BL14" s="10">
        <v>0</v>
      </c>
      <c r="BM14" s="10"/>
      <c r="BN14" s="10"/>
      <c r="BO14" s="10"/>
      <c r="BP14" s="10"/>
      <c r="BQ14" s="75">
        <v>10</v>
      </c>
      <c r="BR14" s="10">
        <v>0</v>
      </c>
      <c r="BS14" s="10">
        <v>0</v>
      </c>
      <c r="BT14" s="10" t="s">
        <v>259</v>
      </c>
      <c r="BU14" s="10" t="s">
        <v>260</v>
      </c>
      <c r="BV14" s="10"/>
      <c r="BW14" s="10">
        <v>8</v>
      </c>
      <c r="BX14" s="10"/>
    </row>
    <row r="15" spans="1:76" x14ac:dyDescent="0.25">
      <c r="F15" s="36">
        <v>630</v>
      </c>
      <c r="G15" s="37">
        <v>0.41</v>
      </c>
      <c r="H15" s="38">
        <v>0.13</v>
      </c>
      <c r="K15" s="10">
        <v>800</v>
      </c>
      <c r="L15" s="10">
        <v>0.33</v>
      </c>
      <c r="M15" s="10">
        <v>0.115</v>
      </c>
      <c r="N15" s="10" t="s">
        <v>225</v>
      </c>
      <c r="O15" s="10"/>
      <c r="P15" s="10"/>
      <c r="Q15" s="10">
        <v>2</v>
      </c>
      <c r="R15" s="104" t="s">
        <v>360</v>
      </c>
      <c r="S15" s="104">
        <v>12.5</v>
      </c>
      <c r="T15" s="104">
        <v>150</v>
      </c>
      <c r="U15" s="10">
        <v>0</v>
      </c>
      <c r="V15" s="10">
        <v>0</v>
      </c>
      <c r="W15" s="10">
        <v>0</v>
      </c>
      <c r="X15" s="10"/>
      <c r="Y15" s="10"/>
      <c r="Z15" s="10"/>
      <c r="AA15" s="10"/>
      <c r="AB15" s="105" t="s">
        <v>374</v>
      </c>
      <c r="AC15" s="105">
        <v>12.5</v>
      </c>
      <c r="AD15" s="105">
        <v>150</v>
      </c>
      <c r="AE15" s="75">
        <v>6</v>
      </c>
      <c r="AF15" s="10">
        <v>0</v>
      </c>
      <c r="AG15" s="10">
        <v>0</v>
      </c>
      <c r="AH15" s="10" t="s">
        <v>254</v>
      </c>
      <c r="AI15" s="10" t="s">
        <v>230</v>
      </c>
      <c r="AJ15" s="10">
        <v>0</v>
      </c>
      <c r="AK15" s="10">
        <v>3</v>
      </c>
      <c r="AL15" s="105" t="s">
        <v>370</v>
      </c>
      <c r="AM15" s="105">
        <v>12.5</v>
      </c>
      <c r="AN15" s="105">
        <v>150</v>
      </c>
      <c r="AO15" s="75">
        <v>0</v>
      </c>
      <c r="AP15" s="10">
        <v>0</v>
      </c>
      <c r="AQ15" s="10">
        <v>0</v>
      </c>
      <c r="AR15" s="10"/>
      <c r="AS15" s="10"/>
      <c r="AT15" s="10"/>
      <c r="AU15" s="10"/>
      <c r="AV15" s="10">
        <v>0</v>
      </c>
      <c r="AW15" s="10">
        <v>0</v>
      </c>
      <c r="AX15" s="10">
        <v>0</v>
      </c>
      <c r="AY15" s="10"/>
      <c r="AZ15" s="10"/>
      <c r="BA15" s="10"/>
      <c r="BB15" s="10"/>
      <c r="BC15" s="75">
        <v>800</v>
      </c>
      <c r="BD15" s="10">
        <v>0</v>
      </c>
      <c r="BE15" s="10">
        <v>0</v>
      </c>
      <c r="BF15" s="10" t="s">
        <v>257</v>
      </c>
      <c r="BG15" s="10" t="str">
        <f t="shared" si="1"/>
        <v>ТТИ-А 800/5А 5ВА 0,5S</v>
      </c>
      <c r="BH15" s="10"/>
      <c r="BI15">
        <v>6</v>
      </c>
      <c r="BJ15" s="10">
        <v>0</v>
      </c>
      <c r="BK15" s="10">
        <v>0</v>
      </c>
      <c r="BL15" s="10">
        <v>0</v>
      </c>
      <c r="BM15" s="10"/>
      <c r="BN15" s="10"/>
      <c r="BO15" s="10"/>
      <c r="BP15" s="10"/>
      <c r="BQ15" s="75">
        <v>8</v>
      </c>
      <c r="BR15" s="10">
        <v>0</v>
      </c>
      <c r="BS15" s="10">
        <v>0</v>
      </c>
      <c r="BT15" s="10" t="s">
        <v>259</v>
      </c>
      <c r="BU15" s="10" t="s">
        <v>260</v>
      </c>
      <c r="BV15" s="10"/>
      <c r="BW15" s="10">
        <v>8</v>
      </c>
      <c r="BX15" s="10"/>
    </row>
    <row r="16" spans="1:76" x14ac:dyDescent="0.25">
      <c r="F16" s="36">
        <v>400</v>
      </c>
      <c r="G16" s="37">
        <v>0.65</v>
      </c>
      <c r="H16" s="38">
        <v>0.01</v>
      </c>
      <c r="K16" s="10">
        <v>630</v>
      </c>
      <c r="L16" s="10">
        <v>0.41</v>
      </c>
      <c r="M16" s="10">
        <v>0.13</v>
      </c>
      <c r="N16" s="10" t="s">
        <v>225</v>
      </c>
      <c r="O16" s="10"/>
      <c r="P16" s="10"/>
      <c r="Q16" s="10">
        <v>2</v>
      </c>
      <c r="R16" s="104" t="s">
        <v>360</v>
      </c>
      <c r="S16" s="104">
        <v>12.5</v>
      </c>
      <c r="T16" s="104">
        <v>150</v>
      </c>
      <c r="U16" s="10">
        <v>0</v>
      </c>
      <c r="V16" s="10">
        <v>0</v>
      </c>
      <c r="W16" s="10">
        <v>0</v>
      </c>
      <c r="X16" s="10"/>
      <c r="Y16" s="10"/>
      <c r="Z16" s="10"/>
      <c r="AA16" s="10"/>
      <c r="AB16" s="105" t="s">
        <v>374</v>
      </c>
      <c r="AC16" s="105">
        <v>12.5</v>
      </c>
      <c r="AD16" s="105">
        <v>150</v>
      </c>
      <c r="AE16" s="75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/>
      <c r="AL16" s="105" t="s">
        <v>370</v>
      </c>
      <c r="AM16" s="105">
        <v>12.5</v>
      </c>
      <c r="AN16" s="105">
        <v>150</v>
      </c>
      <c r="AO16" s="75">
        <v>0</v>
      </c>
      <c r="AP16" s="10">
        <v>0</v>
      </c>
      <c r="AQ16" s="10">
        <v>0</v>
      </c>
      <c r="AR16" s="10"/>
      <c r="AS16" s="10"/>
      <c r="AT16" s="10"/>
      <c r="AU16" s="10"/>
      <c r="AV16" s="10">
        <v>0</v>
      </c>
      <c r="AW16" s="10">
        <v>0</v>
      </c>
      <c r="AX16" s="10">
        <v>0</v>
      </c>
      <c r="AY16" s="10"/>
      <c r="AZ16" s="10"/>
      <c r="BA16" s="10"/>
      <c r="BB16" s="10"/>
      <c r="BC16" s="75">
        <v>750</v>
      </c>
      <c r="BD16" s="10">
        <v>0</v>
      </c>
      <c r="BE16" s="10">
        <v>0</v>
      </c>
      <c r="BF16" s="10" t="s">
        <v>257</v>
      </c>
      <c r="BG16" s="10" t="str">
        <f t="shared" si="1"/>
        <v>ТТИ-А 750/5А 5ВА 0,5S</v>
      </c>
      <c r="BH16" s="10"/>
      <c r="BI16">
        <v>6</v>
      </c>
      <c r="BJ16" s="10">
        <v>0</v>
      </c>
      <c r="BK16" s="10">
        <v>0</v>
      </c>
      <c r="BL16" s="10">
        <v>0</v>
      </c>
      <c r="BM16" s="10"/>
      <c r="BN16" s="10"/>
      <c r="BO16" s="10"/>
      <c r="BP16" s="10"/>
      <c r="BQ16" s="75">
        <v>6</v>
      </c>
      <c r="BR16" s="10">
        <v>0</v>
      </c>
      <c r="BS16" s="10">
        <v>0</v>
      </c>
      <c r="BT16" s="10" t="s">
        <v>259</v>
      </c>
      <c r="BU16" s="10" t="s">
        <v>260</v>
      </c>
      <c r="BV16" s="10"/>
      <c r="BW16" s="10">
        <v>8</v>
      </c>
      <c r="BX16" s="10"/>
    </row>
    <row r="17" spans="6:76" x14ac:dyDescent="0.25">
      <c r="F17" s="36">
        <v>250</v>
      </c>
      <c r="G17" s="37">
        <v>0.875</v>
      </c>
      <c r="H17" s="38">
        <v>0.255</v>
      </c>
      <c r="K17" s="10">
        <v>400</v>
      </c>
      <c r="L17" s="10">
        <v>0.65</v>
      </c>
      <c r="M17" s="10">
        <v>0.01</v>
      </c>
      <c r="N17" s="10" t="s">
        <v>225</v>
      </c>
      <c r="O17" s="10"/>
      <c r="P17" s="10"/>
      <c r="Q17" s="10">
        <v>2</v>
      </c>
      <c r="R17" s="104" t="s">
        <v>360</v>
      </c>
      <c r="S17" s="104">
        <v>12.5</v>
      </c>
      <c r="T17" s="104">
        <v>150</v>
      </c>
      <c r="U17" s="10">
        <v>0</v>
      </c>
      <c r="V17" s="10">
        <v>0</v>
      </c>
      <c r="W17" s="10">
        <v>0</v>
      </c>
      <c r="X17" s="10"/>
      <c r="Y17" s="10"/>
      <c r="Z17" s="10"/>
      <c r="AA17" s="10"/>
      <c r="AB17" s="105" t="s">
        <v>374</v>
      </c>
      <c r="AC17" s="105">
        <v>12.5</v>
      </c>
      <c r="AD17" s="105">
        <v>150</v>
      </c>
      <c r="AE17" s="75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/>
      <c r="AL17" s="105" t="s">
        <v>370</v>
      </c>
      <c r="AM17" s="105">
        <v>12.5</v>
      </c>
      <c r="AN17" s="105">
        <v>150</v>
      </c>
      <c r="AO17" s="75">
        <v>0</v>
      </c>
      <c r="AP17" s="10">
        <v>0</v>
      </c>
      <c r="AQ17" s="10">
        <v>0</v>
      </c>
      <c r="AR17" s="10"/>
      <c r="AS17" s="10"/>
      <c r="AT17" s="10"/>
      <c r="AU17" s="10"/>
      <c r="AV17" s="10">
        <v>0</v>
      </c>
      <c r="AW17" s="10">
        <v>0</v>
      </c>
      <c r="AX17" s="10">
        <v>0</v>
      </c>
      <c r="AY17" s="10"/>
      <c r="AZ17" s="10"/>
      <c r="BA17" s="10"/>
      <c r="BB17" s="10"/>
      <c r="BC17" s="75">
        <v>600</v>
      </c>
      <c r="BD17" s="10">
        <v>0</v>
      </c>
      <c r="BE17" s="10">
        <v>0</v>
      </c>
      <c r="BF17" s="10" t="s">
        <v>257</v>
      </c>
      <c r="BG17" s="10" t="str">
        <f t="shared" si="1"/>
        <v>ТТИ-А 600/5А 5ВА 0,5S</v>
      </c>
      <c r="BH17" s="10"/>
      <c r="BI17">
        <v>6</v>
      </c>
      <c r="BJ17" s="10">
        <v>0</v>
      </c>
      <c r="BK17" s="10">
        <v>0</v>
      </c>
      <c r="BL17" s="10">
        <v>0</v>
      </c>
      <c r="BM17" s="10"/>
      <c r="BN17" s="10"/>
      <c r="BO17" s="10"/>
      <c r="BP17" s="10"/>
      <c r="BQ17" s="75">
        <v>4</v>
      </c>
      <c r="BR17" s="10">
        <v>0</v>
      </c>
      <c r="BS17" s="10">
        <v>0</v>
      </c>
      <c r="BT17" s="10" t="s">
        <v>259</v>
      </c>
      <c r="BU17" s="10" t="s">
        <v>260</v>
      </c>
      <c r="BV17" s="10"/>
      <c r="BW17" s="10">
        <v>8</v>
      </c>
      <c r="BX17" s="10"/>
    </row>
    <row r="18" spans="6:76" x14ac:dyDescent="0.25">
      <c r="F18" s="36">
        <v>200</v>
      </c>
      <c r="G18" s="37">
        <v>1.1000000000000001</v>
      </c>
      <c r="H18" s="38">
        <v>0.5</v>
      </c>
      <c r="K18" s="10">
        <v>250</v>
      </c>
      <c r="L18" s="10">
        <v>0.875</v>
      </c>
      <c r="M18" s="10">
        <v>0.255</v>
      </c>
      <c r="N18" s="10" t="s">
        <v>225</v>
      </c>
      <c r="O18" s="10"/>
      <c r="P18" s="10"/>
      <c r="Q18" s="10">
        <v>2</v>
      </c>
      <c r="R18" s="104" t="s">
        <v>360</v>
      </c>
      <c r="S18" s="104">
        <v>12.5</v>
      </c>
      <c r="T18" s="104">
        <v>150</v>
      </c>
      <c r="U18" s="10">
        <v>0</v>
      </c>
      <c r="V18" s="10">
        <v>0</v>
      </c>
      <c r="W18" s="10">
        <v>0</v>
      </c>
      <c r="X18" s="10"/>
      <c r="Y18" s="10"/>
      <c r="Z18" s="10"/>
      <c r="AA18" s="10"/>
      <c r="AB18" s="105" t="s">
        <v>374</v>
      </c>
      <c r="AC18" s="105">
        <v>12.5</v>
      </c>
      <c r="AD18" s="105">
        <v>150</v>
      </c>
      <c r="AE18" s="75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/>
      <c r="AL18" s="105" t="s">
        <v>370</v>
      </c>
      <c r="AM18" s="105">
        <v>12.5</v>
      </c>
      <c r="AN18" s="105">
        <v>150</v>
      </c>
      <c r="AO18" s="75">
        <v>0</v>
      </c>
      <c r="AP18" s="10">
        <v>0</v>
      </c>
      <c r="AQ18" s="10">
        <v>0</v>
      </c>
      <c r="AR18" s="10"/>
      <c r="AS18" s="10"/>
      <c r="AT18" s="10"/>
      <c r="AU18" s="10"/>
      <c r="AV18" s="10">
        <v>0</v>
      </c>
      <c r="AW18" s="10">
        <v>0</v>
      </c>
      <c r="AX18" s="10">
        <v>0</v>
      </c>
      <c r="AY18" s="10"/>
      <c r="AZ18" s="10"/>
      <c r="BA18" s="10"/>
      <c r="BB18" s="10"/>
      <c r="BC18" s="75">
        <v>500</v>
      </c>
      <c r="BD18" s="10">
        <v>0</v>
      </c>
      <c r="BE18" s="10">
        <v>0</v>
      </c>
      <c r="BF18" s="10" t="s">
        <v>257</v>
      </c>
      <c r="BG18" s="10" t="str">
        <f t="shared" si="1"/>
        <v>ТТИ-А 500/5А 5ВА 0,5S</v>
      </c>
      <c r="BH18" s="10"/>
      <c r="BI18">
        <v>6</v>
      </c>
      <c r="BJ18" s="10">
        <v>0</v>
      </c>
      <c r="BK18" s="10">
        <v>0</v>
      </c>
      <c r="BL18" s="10">
        <v>0</v>
      </c>
      <c r="BM18" s="10"/>
      <c r="BN18" s="10"/>
      <c r="BO18" s="10"/>
      <c r="BP18" s="10"/>
      <c r="BQ18" s="75">
        <v>2.5</v>
      </c>
      <c r="BR18" s="10">
        <v>0</v>
      </c>
      <c r="BS18" s="10">
        <v>0</v>
      </c>
      <c r="BT18" s="10" t="s">
        <v>259</v>
      </c>
      <c r="BU18" s="10" t="s">
        <v>260</v>
      </c>
      <c r="BV18" s="10"/>
      <c r="BW18" s="10">
        <v>8</v>
      </c>
      <c r="BX18" s="10"/>
    </row>
    <row r="19" spans="6:76" x14ac:dyDescent="0.25">
      <c r="F19" s="36">
        <v>160</v>
      </c>
      <c r="G19" s="37">
        <v>1.3</v>
      </c>
      <c r="H19" s="38">
        <v>0.7</v>
      </c>
      <c r="K19" s="10">
        <v>200</v>
      </c>
      <c r="L19" s="10">
        <v>1.1000000000000001</v>
      </c>
      <c r="M19" s="10">
        <v>0.5</v>
      </c>
      <c r="N19" s="10" t="s">
        <v>225</v>
      </c>
      <c r="O19" s="10"/>
      <c r="P19" s="10"/>
      <c r="Q19" s="10">
        <v>2</v>
      </c>
      <c r="R19" s="104" t="s">
        <v>360</v>
      </c>
      <c r="S19" s="104">
        <v>12.5</v>
      </c>
      <c r="T19" s="104">
        <v>150</v>
      </c>
      <c r="U19" s="10">
        <v>0</v>
      </c>
      <c r="V19" s="10">
        <v>0</v>
      </c>
      <c r="W19" s="10">
        <v>0</v>
      </c>
      <c r="X19" s="10"/>
      <c r="Y19" s="10"/>
      <c r="Z19" s="10"/>
      <c r="AA19" s="10"/>
      <c r="AB19" s="105" t="s">
        <v>374</v>
      </c>
      <c r="AC19" s="105">
        <v>12.5</v>
      </c>
      <c r="AD19" s="105">
        <v>150</v>
      </c>
      <c r="AE19" s="75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/>
      <c r="AL19" s="105" t="s">
        <v>370</v>
      </c>
      <c r="AM19" s="105">
        <v>12.5</v>
      </c>
      <c r="AN19" s="105">
        <v>150</v>
      </c>
      <c r="AO19" s="75">
        <v>0</v>
      </c>
      <c r="AP19" s="10">
        <v>0</v>
      </c>
      <c r="AQ19" s="10">
        <v>0</v>
      </c>
      <c r="AR19" s="10"/>
      <c r="AS19" s="10"/>
      <c r="AT19" s="10"/>
      <c r="AU19" s="10"/>
      <c r="AV19" s="10">
        <v>0</v>
      </c>
      <c r="AW19" s="10">
        <v>0</v>
      </c>
      <c r="AX19" s="10">
        <v>0</v>
      </c>
      <c r="AY19" s="10"/>
      <c r="AZ19" s="10"/>
      <c r="BA19" s="10"/>
      <c r="BB19" s="10"/>
      <c r="BC19" s="75">
        <v>400</v>
      </c>
      <c r="BD19" s="10">
        <v>0</v>
      </c>
      <c r="BE19" s="10">
        <v>0</v>
      </c>
      <c r="BF19" s="10" t="s">
        <v>257</v>
      </c>
      <c r="BG19" s="10" t="str">
        <f t="shared" si="1"/>
        <v>ТТИ-А 400/5А 5ВА 0,5S</v>
      </c>
      <c r="BH19" s="10"/>
      <c r="BI19">
        <v>6</v>
      </c>
      <c r="BJ19" s="10">
        <v>0</v>
      </c>
      <c r="BK19" s="10">
        <v>0</v>
      </c>
      <c r="BL19" s="10">
        <v>0</v>
      </c>
      <c r="BM19" s="10"/>
      <c r="BN19" s="10"/>
      <c r="BO19" s="10"/>
      <c r="BP19" s="10"/>
      <c r="BQ19" s="75">
        <v>1.6</v>
      </c>
      <c r="BR19" s="10">
        <v>0</v>
      </c>
      <c r="BS19" s="10">
        <v>0</v>
      </c>
      <c r="BT19" s="10" t="s">
        <v>259</v>
      </c>
      <c r="BU19" s="10" t="s">
        <v>260</v>
      </c>
      <c r="BV19" s="10"/>
      <c r="BW19" s="10">
        <v>8</v>
      </c>
      <c r="BX19" s="10"/>
    </row>
    <row r="20" spans="6:76" x14ac:dyDescent="0.25">
      <c r="F20" s="36">
        <v>125</v>
      </c>
      <c r="G20" s="37">
        <v>1.7250000000000001</v>
      </c>
      <c r="H20" s="38">
        <v>0.95</v>
      </c>
      <c r="K20" s="10">
        <v>160</v>
      </c>
      <c r="L20" s="10">
        <v>1.3</v>
      </c>
      <c r="M20" s="10">
        <v>0.7</v>
      </c>
      <c r="N20" s="10" t="s">
        <v>225</v>
      </c>
      <c r="O20" s="10"/>
      <c r="P20" s="10"/>
      <c r="Q20" s="10">
        <v>2</v>
      </c>
      <c r="R20" s="104" t="s">
        <v>360</v>
      </c>
      <c r="S20" s="104">
        <v>12.5</v>
      </c>
      <c r="T20" s="104">
        <v>150</v>
      </c>
      <c r="U20" s="10">
        <v>0</v>
      </c>
      <c r="V20" s="10">
        <v>0</v>
      </c>
      <c r="W20" s="10">
        <v>0</v>
      </c>
      <c r="X20" s="10"/>
      <c r="Y20" s="10"/>
      <c r="Z20" s="10"/>
      <c r="AA20" s="10"/>
      <c r="AB20" s="105" t="s">
        <v>374</v>
      </c>
      <c r="AC20" s="105">
        <v>12.5</v>
      </c>
      <c r="AD20" s="105">
        <v>150</v>
      </c>
      <c r="AE20" s="75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/>
      <c r="AL20" s="105" t="s">
        <v>370</v>
      </c>
      <c r="AM20" s="105">
        <v>12.5</v>
      </c>
      <c r="AN20" s="105">
        <v>150</v>
      </c>
      <c r="AO20" s="75">
        <v>0</v>
      </c>
      <c r="AP20" s="10">
        <v>0</v>
      </c>
      <c r="AQ20" s="10">
        <v>0</v>
      </c>
      <c r="AR20" s="10"/>
      <c r="AS20" s="10"/>
      <c r="AT20" s="10"/>
      <c r="AU20" s="10"/>
      <c r="AV20" s="10">
        <v>0</v>
      </c>
      <c r="AW20" s="10">
        <v>0</v>
      </c>
      <c r="AX20" s="10">
        <v>0</v>
      </c>
      <c r="AY20" s="10"/>
      <c r="AZ20" s="10"/>
      <c r="BA20" s="10"/>
      <c r="BB20" s="10"/>
      <c r="BC20" s="75">
        <v>300</v>
      </c>
      <c r="BD20" s="10">
        <v>0</v>
      </c>
      <c r="BE20" s="10">
        <v>0</v>
      </c>
      <c r="BF20" s="10" t="s">
        <v>257</v>
      </c>
      <c r="BG20" s="10" t="str">
        <f t="shared" si="1"/>
        <v>ТТИ-А 300/5А 5ВА 0,5S</v>
      </c>
      <c r="BH20" s="10"/>
      <c r="BI20">
        <v>6</v>
      </c>
      <c r="BJ20" s="10">
        <v>0</v>
      </c>
      <c r="BK20" s="10">
        <v>0</v>
      </c>
      <c r="BL20" s="10">
        <v>0</v>
      </c>
      <c r="BM20" s="10"/>
      <c r="BN20" s="10"/>
      <c r="BO20" s="10"/>
      <c r="BP20" s="10"/>
      <c r="BQ20" s="75">
        <v>1</v>
      </c>
      <c r="BR20" s="10">
        <v>0</v>
      </c>
      <c r="BS20" s="10">
        <v>0</v>
      </c>
      <c r="BT20" s="10" t="s">
        <v>259</v>
      </c>
      <c r="BU20" s="10" t="s">
        <v>260</v>
      </c>
      <c r="BV20" s="10"/>
      <c r="BW20" s="10">
        <v>8</v>
      </c>
      <c r="BX20" s="10"/>
    </row>
    <row r="21" spans="6:76" x14ac:dyDescent="0.25">
      <c r="F21" s="36">
        <v>100</v>
      </c>
      <c r="G21" s="37">
        <v>2.15</v>
      </c>
      <c r="H21" s="38">
        <v>1.2</v>
      </c>
      <c r="K21" s="10">
        <v>125</v>
      </c>
      <c r="L21" s="10">
        <v>1.7250000000000001</v>
      </c>
      <c r="M21" s="10">
        <v>0.95</v>
      </c>
      <c r="N21" s="10" t="s">
        <v>225</v>
      </c>
      <c r="O21" s="10"/>
      <c r="P21" s="10"/>
      <c r="Q21" s="10">
        <v>2</v>
      </c>
      <c r="R21" s="104" t="s">
        <v>360</v>
      </c>
      <c r="S21" s="104">
        <v>12.5</v>
      </c>
      <c r="T21" s="104">
        <v>150</v>
      </c>
      <c r="U21" s="10">
        <v>0</v>
      </c>
      <c r="V21" s="10">
        <v>0</v>
      </c>
      <c r="W21" s="10">
        <v>0</v>
      </c>
      <c r="X21" s="10"/>
      <c r="Y21" s="10"/>
      <c r="Z21" s="10"/>
      <c r="AA21" s="10"/>
      <c r="AB21" s="105" t="s">
        <v>374</v>
      </c>
      <c r="AC21" s="105">
        <v>12.5</v>
      </c>
      <c r="AD21" s="105">
        <v>150</v>
      </c>
      <c r="AE21" s="75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/>
      <c r="AL21" s="105" t="s">
        <v>370</v>
      </c>
      <c r="AM21" s="105">
        <v>12.5</v>
      </c>
      <c r="AN21" s="105">
        <v>150</v>
      </c>
      <c r="AO21" s="75">
        <v>0</v>
      </c>
      <c r="AP21" s="10">
        <v>0</v>
      </c>
      <c r="AQ21" s="10">
        <v>0</v>
      </c>
      <c r="AR21" s="10"/>
      <c r="AS21" s="10"/>
      <c r="AT21" s="10"/>
      <c r="AU21" s="10"/>
      <c r="AV21" s="10">
        <v>0</v>
      </c>
      <c r="AW21" s="10">
        <v>0</v>
      </c>
      <c r="AX21" s="10">
        <v>0</v>
      </c>
      <c r="AY21" s="10"/>
      <c r="AZ21" s="10"/>
      <c r="BA21" s="10"/>
      <c r="BB21" s="10"/>
      <c r="BC21" s="75">
        <v>250</v>
      </c>
      <c r="BD21" s="10">
        <v>0</v>
      </c>
      <c r="BE21" s="10">
        <v>0</v>
      </c>
      <c r="BF21" s="10" t="s">
        <v>257</v>
      </c>
      <c r="BG21" s="10" t="str">
        <f t="shared" si="1"/>
        <v>ТТИ-А 250/5А 5ВА 0,5S</v>
      </c>
      <c r="BH21" s="10"/>
      <c r="BI21">
        <v>6</v>
      </c>
      <c r="BJ21" s="10">
        <v>0</v>
      </c>
      <c r="BK21" s="10">
        <v>0</v>
      </c>
      <c r="BL21" s="10">
        <v>0</v>
      </c>
      <c r="BM21" s="10"/>
      <c r="BN21" s="10"/>
      <c r="BO21" s="10"/>
      <c r="BP21" s="10"/>
      <c r="BQ21" s="75">
        <v>0.6</v>
      </c>
      <c r="BR21" s="10">
        <v>0</v>
      </c>
      <c r="BS21" s="10">
        <v>0</v>
      </c>
      <c r="BT21" s="10" t="s">
        <v>259</v>
      </c>
      <c r="BU21" s="10" t="s">
        <v>260</v>
      </c>
      <c r="BV21" s="10"/>
      <c r="BW21" s="10">
        <v>8</v>
      </c>
      <c r="BX21" s="10"/>
    </row>
    <row r="22" spans="6:76" x14ac:dyDescent="0.25">
      <c r="F22" s="36">
        <v>80</v>
      </c>
      <c r="G22" s="37">
        <v>2.83</v>
      </c>
      <c r="H22" s="38">
        <v>1.6</v>
      </c>
      <c r="K22" s="10">
        <v>100</v>
      </c>
      <c r="L22" s="10">
        <v>2.15</v>
      </c>
      <c r="M22" s="10">
        <v>1.2</v>
      </c>
      <c r="N22" s="10" t="s">
        <v>225</v>
      </c>
      <c r="O22" s="10"/>
      <c r="P22" s="10"/>
      <c r="Q22" s="10">
        <v>2</v>
      </c>
      <c r="R22" s="104" t="s">
        <v>360</v>
      </c>
      <c r="S22" s="104">
        <v>12.5</v>
      </c>
      <c r="T22" s="104">
        <v>150</v>
      </c>
      <c r="U22" s="10">
        <v>0</v>
      </c>
      <c r="V22" s="10">
        <v>0</v>
      </c>
      <c r="W22" s="10">
        <v>0</v>
      </c>
      <c r="X22" s="10"/>
      <c r="Y22" s="10"/>
      <c r="Z22" s="10"/>
      <c r="AA22" s="10"/>
      <c r="AB22" s="105" t="s">
        <v>374</v>
      </c>
      <c r="AC22" s="105">
        <v>12.5</v>
      </c>
      <c r="AD22" s="105">
        <v>150</v>
      </c>
      <c r="AE22" s="75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/>
      <c r="AL22" s="105" t="s">
        <v>370</v>
      </c>
      <c r="AM22" s="105">
        <v>12.5</v>
      </c>
      <c r="AN22" s="105">
        <v>150</v>
      </c>
      <c r="AO22" s="75">
        <v>0</v>
      </c>
      <c r="AP22" s="10">
        <v>0</v>
      </c>
      <c r="AQ22" s="10">
        <v>0</v>
      </c>
      <c r="AR22" s="10"/>
      <c r="AS22" s="10"/>
      <c r="AT22" s="10"/>
      <c r="AU22" s="10"/>
      <c r="AV22" s="10">
        <v>0</v>
      </c>
      <c r="AW22" s="10">
        <v>0</v>
      </c>
      <c r="AX22" s="10">
        <v>0</v>
      </c>
      <c r="AY22" s="10"/>
      <c r="AZ22" s="10"/>
      <c r="BA22" s="10"/>
      <c r="BB22" s="10"/>
      <c r="BC22" s="75">
        <v>200</v>
      </c>
      <c r="BD22" s="10">
        <v>0</v>
      </c>
      <c r="BE22" s="10">
        <v>0</v>
      </c>
      <c r="BF22" s="10" t="s">
        <v>257</v>
      </c>
      <c r="BG22" s="10" t="str">
        <f t="shared" si="1"/>
        <v>ТТИ-А 200/5А 5ВА 0,5S</v>
      </c>
      <c r="BH22" s="10"/>
      <c r="BI22">
        <v>6</v>
      </c>
      <c r="BJ22" s="10">
        <v>0</v>
      </c>
      <c r="BK22" s="10">
        <v>0</v>
      </c>
      <c r="BL22" s="10">
        <v>0</v>
      </c>
      <c r="BM22" s="10"/>
      <c r="BN22" s="10"/>
      <c r="BO22" s="10"/>
      <c r="BP22" s="10"/>
      <c r="BQ22" s="10">
        <v>0</v>
      </c>
      <c r="BR22" s="10">
        <v>0</v>
      </c>
      <c r="BS22" s="10">
        <v>0</v>
      </c>
      <c r="BT22" s="10">
        <v>0</v>
      </c>
      <c r="BU22" s="10"/>
      <c r="BV22" s="10"/>
      <c r="BW22" s="10"/>
      <c r="BX22" s="10"/>
    </row>
    <row r="23" spans="6:76" x14ac:dyDescent="0.25">
      <c r="F23" s="36">
        <v>63</v>
      </c>
      <c r="G23" s="37">
        <v>3.5</v>
      </c>
      <c r="H23" s="38">
        <v>2</v>
      </c>
      <c r="K23" s="10">
        <v>80</v>
      </c>
      <c r="L23" s="10">
        <v>2.83</v>
      </c>
      <c r="M23" s="10">
        <v>1.6</v>
      </c>
      <c r="N23" s="10" t="s">
        <v>225</v>
      </c>
      <c r="O23" s="10"/>
      <c r="P23" s="10"/>
      <c r="Q23" s="10">
        <v>2</v>
      </c>
      <c r="R23" s="104" t="s">
        <v>360</v>
      </c>
      <c r="S23" s="104">
        <v>12.5</v>
      </c>
      <c r="T23" s="104">
        <v>150</v>
      </c>
      <c r="U23" s="10">
        <v>0</v>
      </c>
      <c r="V23" s="10">
        <v>0</v>
      </c>
      <c r="W23" s="10">
        <v>0</v>
      </c>
      <c r="X23" s="10"/>
      <c r="Y23" s="10"/>
      <c r="Z23" s="10"/>
      <c r="AA23" s="10"/>
      <c r="AB23" s="105" t="s">
        <v>374</v>
      </c>
      <c r="AC23" s="105">
        <v>12.5</v>
      </c>
      <c r="AD23" s="105">
        <v>150</v>
      </c>
      <c r="AE23" s="75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/>
      <c r="AL23" s="105" t="s">
        <v>370</v>
      </c>
      <c r="AM23" s="105">
        <v>12.5</v>
      </c>
      <c r="AN23" s="105">
        <v>150</v>
      </c>
      <c r="AO23" s="75">
        <v>0</v>
      </c>
      <c r="AP23" s="10">
        <v>0</v>
      </c>
      <c r="AQ23" s="10">
        <v>0</v>
      </c>
      <c r="AR23" s="10"/>
      <c r="AS23" s="10"/>
      <c r="AT23" s="10"/>
      <c r="AU23" s="10"/>
      <c r="AV23" s="10">
        <v>0</v>
      </c>
      <c r="AW23" s="10">
        <v>0</v>
      </c>
      <c r="AX23" s="10">
        <v>0</v>
      </c>
      <c r="AY23" s="10"/>
      <c r="AZ23" s="10"/>
      <c r="BA23" s="10"/>
      <c r="BB23" s="10"/>
      <c r="BC23" s="75">
        <v>150</v>
      </c>
      <c r="BD23" s="10">
        <v>0</v>
      </c>
      <c r="BE23" s="10">
        <v>0</v>
      </c>
      <c r="BF23" s="10" t="s">
        <v>257</v>
      </c>
      <c r="BG23" s="10" t="str">
        <f t="shared" si="1"/>
        <v>ТТИ-А 150/5А 5ВА 0,5S</v>
      </c>
      <c r="BH23" s="10"/>
      <c r="BI23">
        <v>6</v>
      </c>
      <c r="BJ23" s="10">
        <v>0</v>
      </c>
      <c r="BK23" s="10">
        <v>0</v>
      </c>
      <c r="BL23" s="10">
        <v>0</v>
      </c>
      <c r="BM23" s="10"/>
      <c r="BN23" s="10"/>
      <c r="BO23" s="10"/>
      <c r="BP23" s="10"/>
      <c r="BQ23" s="10">
        <v>0</v>
      </c>
      <c r="BR23" s="10">
        <v>0</v>
      </c>
      <c r="BS23" s="10">
        <v>0</v>
      </c>
      <c r="BT23" s="10">
        <v>0</v>
      </c>
      <c r="BU23" s="10"/>
      <c r="BV23" s="10"/>
      <c r="BW23" s="10"/>
      <c r="BX23" s="10"/>
    </row>
    <row r="24" spans="6:76" x14ac:dyDescent="0.25">
      <c r="F24" s="36">
        <v>50</v>
      </c>
      <c r="G24" s="37">
        <v>7</v>
      </c>
      <c r="H24" s="38">
        <v>4.5</v>
      </c>
      <c r="K24" s="10">
        <v>63</v>
      </c>
      <c r="L24" s="10">
        <v>3.5</v>
      </c>
      <c r="M24" s="10">
        <v>2</v>
      </c>
      <c r="N24" s="10" t="s">
        <v>225</v>
      </c>
      <c r="O24" s="10" t="s">
        <v>182</v>
      </c>
      <c r="P24" s="10"/>
      <c r="Q24" s="10">
        <v>2</v>
      </c>
      <c r="R24" s="104" t="s">
        <v>360</v>
      </c>
      <c r="S24" s="104">
        <v>12.5</v>
      </c>
      <c r="T24" s="104">
        <v>150</v>
      </c>
      <c r="U24" s="10">
        <v>0</v>
      </c>
      <c r="V24" s="10">
        <v>0</v>
      </c>
      <c r="W24" s="10">
        <v>0</v>
      </c>
      <c r="X24" s="10"/>
      <c r="Y24" s="10"/>
      <c r="Z24" s="10"/>
      <c r="AA24" s="10"/>
      <c r="AB24" s="105" t="s">
        <v>374</v>
      </c>
      <c r="AC24" s="105">
        <v>12.5</v>
      </c>
      <c r="AD24" s="105">
        <v>150</v>
      </c>
      <c r="AE24" s="75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/>
      <c r="AL24" s="105" t="s">
        <v>370</v>
      </c>
      <c r="AM24" s="105">
        <v>12.5</v>
      </c>
      <c r="AN24" s="105">
        <v>150</v>
      </c>
      <c r="AO24" s="75">
        <v>0</v>
      </c>
      <c r="AP24" s="10">
        <v>0</v>
      </c>
      <c r="AQ24" s="10">
        <v>0</v>
      </c>
      <c r="AR24" s="10"/>
      <c r="AS24" s="10"/>
      <c r="AT24" s="10"/>
      <c r="AU24" s="10"/>
      <c r="AV24" s="10">
        <v>0</v>
      </c>
      <c r="AW24" s="10">
        <v>0</v>
      </c>
      <c r="AX24" s="10">
        <v>0</v>
      </c>
      <c r="AY24" s="10"/>
      <c r="AZ24" s="10"/>
      <c r="BA24" s="10"/>
      <c r="BB24" s="10"/>
      <c r="BC24" s="75">
        <v>125</v>
      </c>
      <c r="BD24" s="10">
        <v>0</v>
      </c>
      <c r="BE24" s="10">
        <v>0</v>
      </c>
      <c r="BF24" s="10" t="s">
        <v>257</v>
      </c>
      <c r="BG24" s="10" t="str">
        <f t="shared" si="1"/>
        <v>ТТИ-А 125/5А 5ВА 0,5S</v>
      </c>
      <c r="BH24" s="10"/>
      <c r="BI24">
        <v>6</v>
      </c>
      <c r="BJ24" s="10">
        <v>0</v>
      </c>
      <c r="BK24" s="10">
        <v>0</v>
      </c>
      <c r="BL24" s="10">
        <v>0</v>
      </c>
      <c r="BM24" s="10"/>
      <c r="BN24" s="10"/>
      <c r="BO24" s="10"/>
      <c r="BP24" s="10"/>
      <c r="BQ24" s="10">
        <v>0</v>
      </c>
      <c r="BR24" s="10">
        <v>0</v>
      </c>
      <c r="BS24" s="10">
        <v>0</v>
      </c>
      <c r="BT24" s="10">
        <v>0</v>
      </c>
      <c r="BU24" s="10"/>
      <c r="BV24" s="10"/>
      <c r="BW24" s="10"/>
      <c r="BX24" s="10"/>
    </row>
    <row r="25" spans="6:76" x14ac:dyDescent="0.25">
      <c r="F25" s="36">
        <v>40</v>
      </c>
      <c r="G25" s="39">
        <v>10.5</v>
      </c>
      <c r="H25" s="40">
        <v>7</v>
      </c>
      <c r="K25" s="10">
        <v>50</v>
      </c>
      <c r="L25" s="10">
        <v>7</v>
      </c>
      <c r="M25" s="10">
        <v>4.5</v>
      </c>
      <c r="N25" s="10" t="s">
        <v>225</v>
      </c>
      <c r="O25" s="10" t="s">
        <v>182</v>
      </c>
      <c r="P25" s="10"/>
      <c r="Q25" s="10">
        <v>2</v>
      </c>
      <c r="R25" s="104" t="s">
        <v>360</v>
      </c>
      <c r="S25" s="104">
        <v>12.5</v>
      </c>
      <c r="T25" s="104">
        <v>150</v>
      </c>
      <c r="U25" s="10">
        <v>0</v>
      </c>
      <c r="V25" s="10">
        <v>0</v>
      </c>
      <c r="W25" s="10">
        <v>0</v>
      </c>
      <c r="X25" s="10"/>
      <c r="Y25" s="10"/>
      <c r="Z25" s="10"/>
      <c r="AA25" s="10"/>
      <c r="AB25" s="105" t="s">
        <v>374</v>
      </c>
      <c r="AC25" s="105">
        <v>12.5</v>
      </c>
      <c r="AD25" s="105">
        <v>150</v>
      </c>
      <c r="AE25" s="75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/>
      <c r="AL25" s="105" t="s">
        <v>370</v>
      </c>
      <c r="AM25" s="105">
        <v>12.5</v>
      </c>
      <c r="AN25" s="105">
        <v>150</v>
      </c>
      <c r="AO25" s="75">
        <v>0</v>
      </c>
      <c r="AP25" s="10">
        <v>0</v>
      </c>
      <c r="AQ25" s="10">
        <v>0</v>
      </c>
      <c r="AR25" s="10"/>
      <c r="AS25" s="10"/>
      <c r="AT25" s="10"/>
      <c r="AU25" s="10"/>
      <c r="AV25" s="10">
        <v>0</v>
      </c>
      <c r="AW25" s="10">
        <v>0</v>
      </c>
      <c r="AX25" s="10">
        <v>0</v>
      </c>
      <c r="AY25" s="10"/>
      <c r="AZ25" s="10"/>
      <c r="BA25" s="10"/>
      <c r="BB25" s="10"/>
      <c r="BC25" s="75">
        <v>120</v>
      </c>
      <c r="BD25" s="10">
        <v>0</v>
      </c>
      <c r="BE25" s="10">
        <v>0</v>
      </c>
      <c r="BF25" s="10" t="s">
        <v>257</v>
      </c>
      <c r="BG25" s="10" t="str">
        <f t="shared" si="1"/>
        <v>ТТИ-А 120/5А 5ВА 0,5S</v>
      </c>
      <c r="BH25" s="10"/>
      <c r="BI25">
        <v>6</v>
      </c>
      <c r="BJ25" s="10">
        <v>0</v>
      </c>
      <c r="BK25" s="10">
        <v>0</v>
      </c>
      <c r="BL25" s="10">
        <v>0</v>
      </c>
      <c r="BM25" s="10"/>
      <c r="BN25" s="10"/>
      <c r="BO25" s="10"/>
      <c r="BP25" s="10"/>
      <c r="BQ25" s="10">
        <v>0</v>
      </c>
      <c r="BR25" s="10">
        <v>0</v>
      </c>
      <c r="BS25" s="10">
        <v>0</v>
      </c>
      <c r="BT25" s="10">
        <v>0</v>
      </c>
      <c r="BU25" s="10"/>
      <c r="BV25" s="10"/>
      <c r="BW25" s="10"/>
      <c r="BX25" s="10"/>
    </row>
    <row r="26" spans="6:76" x14ac:dyDescent="0.25">
      <c r="F26" s="36">
        <v>32</v>
      </c>
      <c r="G26" s="39">
        <v>14</v>
      </c>
      <c r="H26" s="40">
        <v>9.5</v>
      </c>
      <c r="K26" s="10">
        <v>40</v>
      </c>
      <c r="L26" s="10">
        <v>10.5</v>
      </c>
      <c r="M26" s="10">
        <v>7</v>
      </c>
      <c r="N26" s="10" t="s">
        <v>225</v>
      </c>
      <c r="O26" s="10" t="s">
        <v>182</v>
      </c>
      <c r="P26" s="10"/>
      <c r="Q26" s="10">
        <v>2</v>
      </c>
      <c r="R26" s="104" t="s">
        <v>360</v>
      </c>
      <c r="S26" s="104">
        <v>12.5</v>
      </c>
      <c r="T26" s="104">
        <v>150</v>
      </c>
      <c r="U26" s="10">
        <v>0</v>
      </c>
      <c r="V26" s="10">
        <v>0</v>
      </c>
      <c r="W26" s="10">
        <v>0</v>
      </c>
      <c r="X26" s="10"/>
      <c r="Y26" s="10"/>
      <c r="Z26" s="10"/>
      <c r="AA26" s="10"/>
      <c r="AB26" s="105" t="s">
        <v>374</v>
      </c>
      <c r="AC26" s="105">
        <v>12.5</v>
      </c>
      <c r="AD26" s="105">
        <v>150</v>
      </c>
      <c r="AE26" s="75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/>
      <c r="AL26" s="105" t="s">
        <v>370</v>
      </c>
      <c r="AM26" s="105">
        <v>12.5</v>
      </c>
      <c r="AN26" s="105">
        <v>150</v>
      </c>
      <c r="AO26" s="75">
        <v>0</v>
      </c>
      <c r="AP26" s="10">
        <v>0</v>
      </c>
      <c r="AQ26" s="10">
        <v>0</v>
      </c>
      <c r="AR26" s="10"/>
      <c r="AS26" s="10"/>
      <c r="AT26" s="10"/>
      <c r="AU26" s="10"/>
      <c r="AV26" s="10">
        <v>0</v>
      </c>
      <c r="AW26" s="10">
        <v>0</v>
      </c>
      <c r="AX26" s="10">
        <v>0</v>
      </c>
      <c r="AY26" s="10"/>
      <c r="AZ26" s="10"/>
      <c r="BA26" s="10"/>
      <c r="BB26" s="10"/>
      <c r="BC26" s="75">
        <v>100</v>
      </c>
      <c r="BD26" s="10">
        <v>0</v>
      </c>
      <c r="BE26" s="10">
        <v>0</v>
      </c>
      <c r="BF26" s="10" t="s">
        <v>257</v>
      </c>
      <c r="BG26" s="10" t="str">
        <f t="shared" si="1"/>
        <v>ТТИ-А 100/5А 5ВА 0,5S</v>
      </c>
      <c r="BH26" s="10"/>
      <c r="BI26">
        <v>6</v>
      </c>
      <c r="BJ26" s="10">
        <v>0</v>
      </c>
      <c r="BK26" s="10">
        <v>0</v>
      </c>
      <c r="BL26" s="10">
        <v>0</v>
      </c>
      <c r="BM26" s="10"/>
      <c r="BN26" s="10"/>
      <c r="BO26" s="10"/>
      <c r="BP26" s="10"/>
      <c r="BQ26" s="10">
        <v>0</v>
      </c>
      <c r="BR26" s="10">
        <v>0</v>
      </c>
      <c r="BS26" s="10">
        <v>0</v>
      </c>
      <c r="BT26" s="10">
        <v>0</v>
      </c>
      <c r="BU26" s="10"/>
      <c r="BV26" s="10"/>
      <c r="BW26" s="10"/>
      <c r="BX26" s="10"/>
    </row>
    <row r="27" spans="6:76" x14ac:dyDescent="0.25">
      <c r="F27" s="36">
        <v>25</v>
      </c>
      <c r="G27" s="39">
        <v>17.5</v>
      </c>
      <c r="H27" s="40">
        <v>12</v>
      </c>
      <c r="K27" s="10">
        <v>32</v>
      </c>
      <c r="L27" s="10">
        <v>14</v>
      </c>
      <c r="M27" s="10">
        <v>9.5</v>
      </c>
      <c r="N27" s="10" t="s">
        <v>225</v>
      </c>
      <c r="O27" s="10" t="s">
        <v>182</v>
      </c>
      <c r="P27" s="10"/>
      <c r="Q27" s="10">
        <v>2</v>
      </c>
      <c r="R27" s="104" t="s">
        <v>360</v>
      </c>
      <c r="S27" s="104">
        <v>12.5</v>
      </c>
      <c r="T27" s="104">
        <v>150</v>
      </c>
      <c r="U27" s="10">
        <v>0</v>
      </c>
      <c r="V27" s="10">
        <v>0</v>
      </c>
      <c r="W27" s="10">
        <v>0</v>
      </c>
      <c r="X27" s="10"/>
      <c r="Y27" s="10"/>
      <c r="Z27" s="10"/>
      <c r="AA27" s="10"/>
      <c r="AB27" s="105" t="s">
        <v>374</v>
      </c>
      <c r="AC27" s="105">
        <v>12.5</v>
      </c>
      <c r="AD27" s="105">
        <v>150</v>
      </c>
      <c r="AE27" s="75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/>
      <c r="AL27" s="105" t="s">
        <v>370</v>
      </c>
      <c r="AM27" s="105">
        <v>12.5</v>
      </c>
      <c r="AN27" s="105">
        <v>150</v>
      </c>
      <c r="AO27" s="75">
        <v>0</v>
      </c>
      <c r="AP27" s="10">
        <v>0</v>
      </c>
      <c r="AQ27" s="10">
        <v>0</v>
      </c>
      <c r="AR27" s="10"/>
      <c r="AS27" s="10"/>
      <c r="AT27" s="10"/>
      <c r="AU27" s="10"/>
      <c r="AV27" s="10">
        <v>0</v>
      </c>
      <c r="AW27" s="10">
        <v>0</v>
      </c>
      <c r="AX27" s="10">
        <v>0</v>
      </c>
      <c r="AY27" s="10"/>
      <c r="AZ27" s="10"/>
      <c r="BA27" s="10"/>
      <c r="BB27" s="10"/>
      <c r="BC27" s="75">
        <v>80</v>
      </c>
      <c r="BD27" s="10">
        <v>0</v>
      </c>
      <c r="BE27" s="10">
        <v>0</v>
      </c>
      <c r="BF27" s="10" t="s">
        <v>257</v>
      </c>
      <c r="BG27" s="10" t="str">
        <f t="shared" si="1"/>
        <v>ТТИ-А 80/5А 5ВА 0,5S</v>
      </c>
      <c r="BH27" s="10"/>
      <c r="BI27">
        <v>6</v>
      </c>
      <c r="BJ27" s="10">
        <v>0</v>
      </c>
      <c r="BK27" s="10">
        <v>0</v>
      </c>
      <c r="BL27" s="10">
        <v>0</v>
      </c>
      <c r="BM27" s="10"/>
      <c r="BN27" s="10"/>
      <c r="BO27" s="10"/>
      <c r="BP27" s="10"/>
      <c r="BQ27" s="10">
        <v>0</v>
      </c>
      <c r="BR27" s="10">
        <v>0</v>
      </c>
      <c r="BS27" s="10">
        <v>0</v>
      </c>
      <c r="BT27" s="10">
        <v>0</v>
      </c>
      <c r="BU27" s="10"/>
      <c r="BV27" s="10"/>
      <c r="BW27" s="10"/>
      <c r="BX27" s="10"/>
    </row>
    <row r="28" spans="6:76" x14ac:dyDescent="0.25">
      <c r="F28" s="36">
        <v>20</v>
      </c>
      <c r="G28" s="39">
        <v>21</v>
      </c>
      <c r="H28" s="40">
        <v>14.5</v>
      </c>
      <c r="K28" s="10">
        <v>25</v>
      </c>
      <c r="L28" s="10">
        <v>17.5</v>
      </c>
      <c r="M28" s="10">
        <v>12</v>
      </c>
      <c r="N28" s="10" t="s">
        <v>225</v>
      </c>
      <c r="O28" s="10" t="s">
        <v>182</v>
      </c>
      <c r="P28" s="10"/>
      <c r="Q28" s="10">
        <v>2</v>
      </c>
      <c r="R28" s="104" t="s">
        <v>360</v>
      </c>
      <c r="S28" s="104">
        <v>12.5</v>
      </c>
      <c r="T28" s="104">
        <v>150</v>
      </c>
      <c r="U28" s="10">
        <v>0</v>
      </c>
      <c r="V28" s="10">
        <v>0</v>
      </c>
      <c r="W28" s="10">
        <v>0</v>
      </c>
      <c r="X28" s="10"/>
      <c r="Y28" s="10"/>
      <c r="Z28" s="10"/>
      <c r="AA28" s="10"/>
      <c r="AB28" s="105" t="s">
        <v>374</v>
      </c>
      <c r="AC28" s="105">
        <v>12.5</v>
      </c>
      <c r="AD28" s="105">
        <v>150</v>
      </c>
      <c r="AE28" s="75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/>
      <c r="AL28" s="105" t="s">
        <v>370</v>
      </c>
      <c r="AM28" s="105">
        <v>12.5</v>
      </c>
      <c r="AN28" s="105">
        <v>150</v>
      </c>
      <c r="AO28" s="75">
        <v>0</v>
      </c>
      <c r="AP28" s="10">
        <v>0</v>
      </c>
      <c r="AQ28" s="10">
        <v>0</v>
      </c>
      <c r="AR28" s="10"/>
      <c r="AS28" s="10"/>
      <c r="AT28" s="10"/>
      <c r="AU28" s="10"/>
      <c r="AV28" s="10">
        <v>0</v>
      </c>
      <c r="AW28" s="10">
        <v>0</v>
      </c>
      <c r="AX28" s="10">
        <v>0</v>
      </c>
      <c r="AY28" s="10"/>
      <c r="AZ28" s="10"/>
      <c r="BA28" s="10"/>
      <c r="BB28" s="10"/>
      <c r="BC28" s="75">
        <v>75</v>
      </c>
      <c r="BD28" s="10">
        <v>0</v>
      </c>
      <c r="BE28" s="10">
        <v>0</v>
      </c>
      <c r="BF28" s="10" t="s">
        <v>257</v>
      </c>
      <c r="BG28" s="10" t="str">
        <f t="shared" si="1"/>
        <v>ТТИ-А 75/5А 5ВА 0,5S</v>
      </c>
      <c r="BH28" s="10"/>
      <c r="BI28">
        <v>6</v>
      </c>
      <c r="BJ28" s="10">
        <v>0</v>
      </c>
      <c r="BK28" s="10">
        <v>0</v>
      </c>
      <c r="BL28" s="10">
        <v>0</v>
      </c>
      <c r="BM28" s="10"/>
      <c r="BN28" s="10"/>
      <c r="BO28" s="10"/>
      <c r="BP28" s="10"/>
      <c r="BQ28" s="10">
        <v>0</v>
      </c>
      <c r="BR28" s="10">
        <v>0</v>
      </c>
      <c r="BS28" s="10">
        <v>0</v>
      </c>
      <c r="BT28" s="10">
        <v>0</v>
      </c>
      <c r="BU28" s="10"/>
      <c r="BV28" s="10"/>
      <c r="BW28" s="10"/>
      <c r="BX28" s="10"/>
    </row>
    <row r="29" spans="6:76" x14ac:dyDescent="0.25">
      <c r="F29" s="36">
        <v>16</v>
      </c>
      <c r="G29" s="39">
        <v>24.5</v>
      </c>
      <c r="H29" s="40">
        <v>17</v>
      </c>
      <c r="K29" s="10">
        <v>20</v>
      </c>
      <c r="L29" s="10">
        <v>21</v>
      </c>
      <c r="M29" s="10">
        <v>14.5</v>
      </c>
      <c r="N29" s="10" t="s">
        <v>225</v>
      </c>
      <c r="O29" s="10" t="s">
        <v>182</v>
      </c>
      <c r="P29" s="10"/>
      <c r="Q29" s="10">
        <v>2</v>
      </c>
      <c r="R29" s="104" t="s">
        <v>360</v>
      </c>
      <c r="S29" s="104">
        <v>12.5</v>
      </c>
      <c r="T29" s="104">
        <v>150</v>
      </c>
      <c r="U29" s="10">
        <v>0</v>
      </c>
      <c r="V29" s="10">
        <v>0</v>
      </c>
      <c r="W29" s="10">
        <v>0</v>
      </c>
      <c r="X29" s="10"/>
      <c r="Y29" s="10"/>
      <c r="Z29" s="10"/>
      <c r="AA29" s="10"/>
      <c r="AB29" s="105" t="s">
        <v>374</v>
      </c>
      <c r="AC29" s="105">
        <v>12.5</v>
      </c>
      <c r="AD29" s="105">
        <v>150</v>
      </c>
      <c r="AE29" s="75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/>
      <c r="AL29" s="105" t="s">
        <v>370</v>
      </c>
      <c r="AM29" s="105">
        <v>12.5</v>
      </c>
      <c r="AN29" s="105">
        <v>150</v>
      </c>
      <c r="AO29" s="75">
        <v>0</v>
      </c>
      <c r="AP29" s="10">
        <v>0</v>
      </c>
      <c r="AQ29" s="10">
        <v>0</v>
      </c>
      <c r="AR29" s="10"/>
      <c r="AS29" s="10"/>
      <c r="AT29" s="10"/>
      <c r="AU29" s="10"/>
      <c r="AV29" s="10">
        <v>0</v>
      </c>
      <c r="AW29" s="10">
        <v>0</v>
      </c>
      <c r="AX29" s="10">
        <v>0</v>
      </c>
      <c r="AY29" s="10"/>
      <c r="AZ29" s="10"/>
      <c r="BA29" s="10"/>
      <c r="BB29" s="10"/>
      <c r="BC29" s="75">
        <v>60</v>
      </c>
      <c r="BD29" s="10">
        <v>0</v>
      </c>
      <c r="BE29" s="10">
        <v>0</v>
      </c>
      <c r="BF29" s="10" t="s">
        <v>257</v>
      </c>
      <c r="BG29" s="10" t="str">
        <f t="shared" si="1"/>
        <v>ТТИ-А 60/5А 5ВА 0,5S</v>
      </c>
      <c r="BH29" s="10"/>
      <c r="BI29">
        <v>6</v>
      </c>
      <c r="BJ29" s="10">
        <v>0</v>
      </c>
      <c r="BK29" s="10">
        <v>0</v>
      </c>
      <c r="BL29" s="10">
        <v>0</v>
      </c>
      <c r="BM29" s="10"/>
      <c r="BN29" s="10"/>
      <c r="BO29" s="10"/>
      <c r="BP29" s="10"/>
      <c r="BQ29" s="10">
        <v>0</v>
      </c>
      <c r="BR29" s="10">
        <v>0</v>
      </c>
      <c r="BS29" s="10">
        <v>0</v>
      </c>
      <c r="BT29" s="10">
        <v>0</v>
      </c>
      <c r="BU29" s="10"/>
      <c r="BV29" s="10"/>
      <c r="BW29" s="10"/>
      <c r="BX29" s="10"/>
    </row>
    <row r="30" spans="6:76" x14ac:dyDescent="0.25">
      <c r="F30" s="36">
        <v>10</v>
      </c>
      <c r="G30" s="39">
        <v>31.5</v>
      </c>
      <c r="H30" s="40">
        <v>22</v>
      </c>
      <c r="K30" s="10">
        <v>16</v>
      </c>
      <c r="L30" s="10">
        <v>24.5</v>
      </c>
      <c r="M30" s="10">
        <v>17</v>
      </c>
      <c r="N30" s="10" t="s">
        <v>225</v>
      </c>
      <c r="O30" s="10" t="s">
        <v>182</v>
      </c>
      <c r="P30" s="10"/>
      <c r="Q30" s="10">
        <v>2</v>
      </c>
      <c r="R30" s="104" t="s">
        <v>360</v>
      </c>
      <c r="S30" s="104">
        <v>12.5</v>
      </c>
      <c r="T30" s="104">
        <v>150</v>
      </c>
      <c r="U30" s="10">
        <v>0</v>
      </c>
      <c r="V30" s="10">
        <v>0</v>
      </c>
      <c r="W30" s="10">
        <v>0</v>
      </c>
      <c r="X30" s="10"/>
      <c r="Y30" s="10"/>
      <c r="Z30" s="10"/>
      <c r="AA30" s="10"/>
      <c r="AB30" s="105" t="s">
        <v>374</v>
      </c>
      <c r="AC30" s="105">
        <v>12.5</v>
      </c>
      <c r="AD30" s="105">
        <v>150</v>
      </c>
      <c r="AE30" s="75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/>
      <c r="AL30" s="105" t="s">
        <v>370</v>
      </c>
      <c r="AM30" s="105">
        <v>12.5</v>
      </c>
      <c r="AN30" s="105">
        <v>150</v>
      </c>
      <c r="AO30" s="75">
        <v>0</v>
      </c>
      <c r="AP30" s="10">
        <v>0</v>
      </c>
      <c r="AQ30" s="10">
        <v>0</v>
      </c>
      <c r="AR30" s="10"/>
      <c r="AS30" s="10"/>
      <c r="AT30" s="10"/>
      <c r="AU30" s="10"/>
      <c r="AV30" s="10">
        <v>0</v>
      </c>
      <c r="AW30" s="10">
        <v>0</v>
      </c>
      <c r="AX30" s="10">
        <v>0</v>
      </c>
      <c r="AY30" s="10"/>
      <c r="AZ30" s="10"/>
      <c r="BA30" s="10"/>
      <c r="BB30" s="10"/>
      <c r="BC30" s="75">
        <v>50</v>
      </c>
      <c r="BD30" s="10">
        <v>0</v>
      </c>
      <c r="BE30" s="10">
        <v>0</v>
      </c>
      <c r="BF30" s="10" t="s">
        <v>257</v>
      </c>
      <c r="BG30" s="10" t="str">
        <f t="shared" si="1"/>
        <v>ТТИ-А 50/5А 5ВА 0,5S</v>
      </c>
      <c r="BH30" s="10"/>
      <c r="BI30">
        <v>6</v>
      </c>
      <c r="BJ30" s="10">
        <v>0</v>
      </c>
      <c r="BK30" s="10">
        <v>0</v>
      </c>
      <c r="BL30" s="10">
        <v>0</v>
      </c>
      <c r="BM30" s="10"/>
      <c r="BN30" s="10"/>
      <c r="BO30" s="10"/>
      <c r="BP30" s="10"/>
      <c r="BQ30" s="10">
        <v>0</v>
      </c>
      <c r="BR30" s="10">
        <v>0</v>
      </c>
      <c r="BS30" s="10">
        <v>0</v>
      </c>
      <c r="BT30" s="10">
        <v>0</v>
      </c>
      <c r="BU30" s="10"/>
      <c r="BV30" s="10"/>
      <c r="BW30" s="10"/>
      <c r="BX30" s="10"/>
    </row>
    <row r="31" spans="6:76" x14ac:dyDescent="0.25">
      <c r="F31" s="36">
        <v>6</v>
      </c>
      <c r="G31" s="39">
        <v>35</v>
      </c>
      <c r="H31" s="40">
        <v>24.5</v>
      </c>
      <c r="K31" s="10">
        <v>10</v>
      </c>
      <c r="L31" s="10">
        <v>31.5</v>
      </c>
      <c r="M31" s="10">
        <v>22</v>
      </c>
      <c r="N31" s="10" t="s">
        <v>225</v>
      </c>
      <c r="O31" s="10" t="s">
        <v>182</v>
      </c>
      <c r="P31" s="10"/>
      <c r="Q31" s="10">
        <v>2</v>
      </c>
      <c r="R31" s="104" t="s">
        <v>360</v>
      </c>
      <c r="S31" s="104">
        <v>12.5</v>
      </c>
      <c r="T31" s="104">
        <v>150</v>
      </c>
      <c r="U31" s="10">
        <v>0</v>
      </c>
      <c r="V31" s="10">
        <v>0</v>
      </c>
      <c r="W31" s="10">
        <v>0</v>
      </c>
      <c r="X31" s="10"/>
      <c r="Y31" s="10"/>
      <c r="Z31" s="10"/>
      <c r="AA31" s="10"/>
      <c r="AB31" s="105" t="s">
        <v>374</v>
      </c>
      <c r="AC31" s="105">
        <v>12.5</v>
      </c>
      <c r="AD31" s="105">
        <v>150</v>
      </c>
      <c r="AE31" s="75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/>
      <c r="AL31" s="105" t="s">
        <v>370</v>
      </c>
      <c r="AM31" s="105">
        <v>12.5</v>
      </c>
      <c r="AN31" s="105">
        <v>150</v>
      </c>
      <c r="AO31" s="75">
        <v>0</v>
      </c>
      <c r="AP31" s="10">
        <v>0</v>
      </c>
      <c r="AQ31" s="10">
        <v>0</v>
      </c>
      <c r="AR31" s="10"/>
      <c r="AS31" s="10"/>
      <c r="AT31" s="10"/>
      <c r="AU31" s="10"/>
      <c r="AV31" s="10">
        <v>0</v>
      </c>
      <c r="AW31" s="10">
        <v>0</v>
      </c>
      <c r="AX31" s="10">
        <v>0</v>
      </c>
      <c r="AY31" s="10"/>
      <c r="AZ31" s="10"/>
      <c r="BA31" s="10"/>
      <c r="BB31" s="10"/>
      <c r="BC31" s="75">
        <v>40</v>
      </c>
      <c r="BD31" s="10">
        <v>0</v>
      </c>
      <c r="BE31" s="10">
        <v>0</v>
      </c>
      <c r="BF31" s="10" t="s">
        <v>257</v>
      </c>
      <c r="BG31" s="10" t="str">
        <f t="shared" si="1"/>
        <v>ТТИ-А 40/5А 5ВА 0,5S</v>
      </c>
      <c r="BH31" s="10"/>
      <c r="BI31">
        <v>6</v>
      </c>
      <c r="BJ31" s="10">
        <v>0</v>
      </c>
      <c r="BK31" s="10">
        <v>0</v>
      </c>
      <c r="BL31" s="10">
        <v>0</v>
      </c>
      <c r="BM31" s="10"/>
      <c r="BN31" s="10"/>
      <c r="BO31" s="10"/>
      <c r="BP31" s="10"/>
      <c r="BQ31" s="10">
        <v>0</v>
      </c>
      <c r="BR31" s="10">
        <v>0</v>
      </c>
      <c r="BS31" s="10">
        <v>0</v>
      </c>
      <c r="BT31" s="10">
        <v>0</v>
      </c>
      <c r="BU31" s="10"/>
      <c r="BV31" s="10"/>
      <c r="BW31" s="10"/>
      <c r="BX31" s="10"/>
    </row>
    <row r="32" spans="6:76" x14ac:dyDescent="0.25">
      <c r="F32" s="36">
        <v>4</v>
      </c>
      <c r="G32" s="39">
        <v>38.5</v>
      </c>
      <c r="H32" s="40">
        <v>27</v>
      </c>
      <c r="K32" s="10">
        <v>6</v>
      </c>
      <c r="L32" s="10">
        <v>35</v>
      </c>
      <c r="M32" s="10">
        <v>24.5</v>
      </c>
      <c r="N32" s="10" t="s">
        <v>225</v>
      </c>
      <c r="O32" s="10" t="s">
        <v>182</v>
      </c>
      <c r="P32" s="10"/>
      <c r="Q32" s="10">
        <v>2</v>
      </c>
      <c r="R32" s="104" t="s">
        <v>360</v>
      </c>
      <c r="S32" s="104">
        <v>12.5</v>
      </c>
      <c r="T32" s="104">
        <v>150</v>
      </c>
      <c r="U32" s="10">
        <v>0</v>
      </c>
      <c r="V32" s="10">
        <v>0</v>
      </c>
      <c r="W32" s="10">
        <v>0</v>
      </c>
      <c r="X32" s="10"/>
      <c r="Y32" s="10"/>
      <c r="Z32" s="10"/>
      <c r="AA32" s="10"/>
      <c r="AB32" s="105" t="s">
        <v>374</v>
      </c>
      <c r="AC32" s="105">
        <v>12.5</v>
      </c>
      <c r="AD32" s="105">
        <v>150</v>
      </c>
      <c r="AE32" s="75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/>
      <c r="AL32" s="105" t="s">
        <v>370</v>
      </c>
      <c r="AM32" s="105">
        <v>12.5</v>
      </c>
      <c r="AN32" s="105">
        <v>150</v>
      </c>
      <c r="AO32" s="75">
        <v>0</v>
      </c>
      <c r="AP32" s="10">
        <v>0</v>
      </c>
      <c r="AQ32" s="10">
        <v>0</v>
      </c>
      <c r="AR32" s="10"/>
      <c r="AS32" s="10"/>
      <c r="AT32" s="10"/>
      <c r="AU32" s="10"/>
      <c r="AV32" s="10">
        <v>0</v>
      </c>
      <c r="AW32" s="10">
        <v>0</v>
      </c>
      <c r="AX32" s="10">
        <v>0</v>
      </c>
      <c r="AY32" s="10"/>
      <c r="AZ32" s="10"/>
      <c r="BA32" s="10"/>
      <c r="BB32" s="10"/>
      <c r="BC32" s="75">
        <v>30</v>
      </c>
      <c r="BD32" s="10">
        <v>0</v>
      </c>
      <c r="BE32" s="10">
        <v>0</v>
      </c>
      <c r="BF32" s="10" t="s">
        <v>257</v>
      </c>
      <c r="BG32" s="10" t="str">
        <f t="shared" si="1"/>
        <v>ТТИ-А 30/5А 5ВА 0,5S</v>
      </c>
      <c r="BH32" s="10"/>
      <c r="BI32">
        <v>6</v>
      </c>
      <c r="BJ32" s="10">
        <v>0</v>
      </c>
      <c r="BK32" s="10">
        <v>0</v>
      </c>
      <c r="BL32" s="10">
        <v>0</v>
      </c>
      <c r="BM32" s="10"/>
      <c r="BN32" s="10"/>
      <c r="BO32" s="10"/>
      <c r="BP32" s="10"/>
      <c r="BQ32" s="10">
        <v>0</v>
      </c>
      <c r="BR32" s="10">
        <v>0</v>
      </c>
      <c r="BS32" s="10">
        <v>0</v>
      </c>
      <c r="BT32" s="10">
        <v>0</v>
      </c>
      <c r="BU32" s="10"/>
      <c r="BV32" s="10"/>
      <c r="BW32" s="10"/>
      <c r="BX32" s="10"/>
    </row>
    <row r="33" spans="6:76" x14ac:dyDescent="0.25">
      <c r="F33" s="36">
        <v>2</v>
      </c>
      <c r="G33" s="39">
        <v>42</v>
      </c>
      <c r="H33" s="40">
        <v>29.5</v>
      </c>
      <c r="K33" s="10">
        <v>4</v>
      </c>
      <c r="L33" s="10">
        <v>38.5</v>
      </c>
      <c r="M33" s="10">
        <v>27</v>
      </c>
      <c r="N33" s="10" t="s">
        <v>225</v>
      </c>
      <c r="O33" s="10" t="s">
        <v>182</v>
      </c>
      <c r="P33" s="10"/>
      <c r="Q33" s="10">
        <v>2</v>
      </c>
      <c r="R33" s="104" t="s">
        <v>360</v>
      </c>
      <c r="S33" s="104">
        <v>12.5</v>
      </c>
      <c r="T33" s="104">
        <v>150</v>
      </c>
      <c r="U33" s="10">
        <v>0</v>
      </c>
      <c r="V33" s="10">
        <v>0</v>
      </c>
      <c r="W33" s="10">
        <v>0</v>
      </c>
      <c r="X33" s="10"/>
      <c r="Y33" s="10"/>
      <c r="Z33" s="10"/>
      <c r="AA33" s="10"/>
      <c r="AB33" s="105" t="s">
        <v>374</v>
      </c>
      <c r="AC33" s="105">
        <v>12.5</v>
      </c>
      <c r="AD33" s="105">
        <v>150</v>
      </c>
      <c r="AE33" s="75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/>
      <c r="AL33" s="105" t="s">
        <v>370</v>
      </c>
      <c r="AM33" s="105">
        <v>12.5</v>
      </c>
      <c r="AN33" s="105">
        <v>150</v>
      </c>
      <c r="AO33" s="75">
        <v>0</v>
      </c>
      <c r="AP33" s="10">
        <v>0</v>
      </c>
      <c r="AQ33" s="10">
        <v>0</v>
      </c>
      <c r="AR33" s="10"/>
      <c r="AS33" s="10"/>
      <c r="AT33" s="10"/>
      <c r="AU33" s="10"/>
      <c r="AV33" s="10">
        <v>0</v>
      </c>
      <c r="AW33" s="10">
        <v>0</v>
      </c>
      <c r="AX33" s="10">
        <v>0</v>
      </c>
      <c r="AY33" s="10"/>
      <c r="AZ33" s="10"/>
      <c r="BA33" s="10"/>
      <c r="BB33" s="10"/>
      <c r="BC33" s="75">
        <v>25</v>
      </c>
      <c r="BD33" s="10">
        <v>0</v>
      </c>
      <c r="BE33" s="10">
        <v>0</v>
      </c>
      <c r="BF33" s="10" t="s">
        <v>257</v>
      </c>
      <c r="BG33" s="10" t="str">
        <f t="shared" si="1"/>
        <v>ТТИ-А 25/5А 5ВА 0,5S</v>
      </c>
      <c r="BH33" s="10"/>
      <c r="BI33">
        <v>6</v>
      </c>
      <c r="BJ33" s="10">
        <v>0</v>
      </c>
      <c r="BK33" s="10">
        <v>0</v>
      </c>
      <c r="BL33" s="10">
        <v>0</v>
      </c>
      <c r="BM33" s="10"/>
      <c r="BN33" s="10"/>
      <c r="BO33" s="10"/>
      <c r="BP33" s="10"/>
      <c r="BQ33" s="10">
        <v>0</v>
      </c>
      <c r="BR33" s="10">
        <v>0</v>
      </c>
      <c r="BS33" s="10">
        <v>0</v>
      </c>
      <c r="BT33" s="10">
        <v>0</v>
      </c>
      <c r="BU33" s="10"/>
      <c r="BV33" s="10"/>
      <c r="BW33" s="10"/>
      <c r="BX33" s="10"/>
    </row>
    <row r="34" spans="6:76" x14ac:dyDescent="0.25">
      <c r="F34" s="36">
        <v>1.6</v>
      </c>
      <c r="G34" s="39">
        <v>45.5</v>
      </c>
      <c r="H34" s="40">
        <v>32</v>
      </c>
      <c r="K34" s="10">
        <v>2</v>
      </c>
      <c r="L34" s="10">
        <v>42</v>
      </c>
      <c r="M34" s="10">
        <v>29.5</v>
      </c>
      <c r="N34" s="10" t="s">
        <v>225</v>
      </c>
      <c r="O34" s="10" t="s">
        <v>182</v>
      </c>
      <c r="P34" s="10"/>
      <c r="Q34" s="10">
        <v>2</v>
      </c>
      <c r="R34" s="104" t="s">
        <v>360</v>
      </c>
      <c r="S34" s="104">
        <v>12.5</v>
      </c>
      <c r="T34" s="104">
        <v>150</v>
      </c>
      <c r="U34" s="10">
        <v>0</v>
      </c>
      <c r="V34" s="10">
        <v>0</v>
      </c>
      <c r="W34" s="10">
        <v>0</v>
      </c>
      <c r="X34" s="10"/>
      <c r="Y34" s="10"/>
      <c r="Z34" s="10"/>
      <c r="AA34" s="10"/>
      <c r="AB34" s="105" t="s">
        <v>374</v>
      </c>
      <c r="AC34" s="105">
        <v>12.5</v>
      </c>
      <c r="AD34" s="105">
        <v>150</v>
      </c>
      <c r="AE34" s="75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/>
      <c r="AL34" s="105" t="s">
        <v>370</v>
      </c>
      <c r="AM34" s="105">
        <v>12.5</v>
      </c>
      <c r="AN34" s="105">
        <v>150</v>
      </c>
      <c r="AO34" s="75">
        <v>0</v>
      </c>
      <c r="AP34" s="10">
        <v>0</v>
      </c>
      <c r="AQ34" s="10">
        <v>0</v>
      </c>
      <c r="AR34" s="10"/>
      <c r="AS34" s="10"/>
      <c r="AT34" s="10"/>
      <c r="AU34" s="10"/>
      <c r="AV34" s="10">
        <v>0</v>
      </c>
      <c r="AW34" s="10">
        <v>0</v>
      </c>
      <c r="AX34" s="10">
        <v>0</v>
      </c>
      <c r="AY34" s="10"/>
      <c r="AZ34" s="10"/>
      <c r="BA34" s="10"/>
      <c r="BB34" s="10"/>
      <c r="BC34" s="75">
        <v>20</v>
      </c>
      <c r="BD34" s="10">
        <v>0</v>
      </c>
      <c r="BE34" s="10">
        <v>0</v>
      </c>
      <c r="BF34" s="10" t="s">
        <v>257</v>
      </c>
      <c r="BG34" s="10" t="str">
        <f t="shared" si="1"/>
        <v>ТТИ-А 20/5А 5ВА 0,5S</v>
      </c>
      <c r="BH34" s="10"/>
      <c r="BI34">
        <v>6</v>
      </c>
      <c r="BJ34" s="10">
        <v>0</v>
      </c>
      <c r="BK34" s="10">
        <v>0</v>
      </c>
      <c r="BL34" s="10">
        <v>0</v>
      </c>
      <c r="BM34" s="10"/>
      <c r="BN34" s="10"/>
      <c r="BO34" s="10"/>
      <c r="BP34" s="10"/>
      <c r="BQ34" s="10">
        <v>0</v>
      </c>
      <c r="BR34" s="10">
        <v>0</v>
      </c>
      <c r="BS34" s="10">
        <v>0</v>
      </c>
      <c r="BT34" s="10">
        <v>0</v>
      </c>
      <c r="BU34" s="10"/>
      <c r="BV34" s="10"/>
      <c r="BW34" s="10"/>
      <c r="BX34" s="10"/>
    </row>
    <row r="35" spans="6:76" x14ac:dyDescent="0.25">
      <c r="F35" s="41">
        <v>1</v>
      </c>
      <c r="G35" s="39">
        <v>47.25</v>
      </c>
      <c r="H35" s="40">
        <v>33.25</v>
      </c>
      <c r="K35" s="10">
        <v>1.6</v>
      </c>
      <c r="L35" s="10">
        <v>45.5</v>
      </c>
      <c r="M35" s="10">
        <v>32</v>
      </c>
      <c r="N35" s="10" t="s">
        <v>225</v>
      </c>
      <c r="O35" s="10" t="s">
        <v>182</v>
      </c>
      <c r="P35" s="10"/>
      <c r="Q35" s="10">
        <v>2</v>
      </c>
      <c r="R35" s="104" t="s">
        <v>360</v>
      </c>
      <c r="S35" s="104">
        <v>12.5</v>
      </c>
      <c r="T35" s="104">
        <v>150</v>
      </c>
      <c r="U35" s="10">
        <v>0</v>
      </c>
      <c r="V35" s="10">
        <v>0</v>
      </c>
      <c r="W35" s="10">
        <v>0</v>
      </c>
      <c r="X35" s="10"/>
      <c r="Y35" s="10"/>
      <c r="Z35" s="10"/>
      <c r="AA35" s="10"/>
      <c r="AB35" s="105" t="s">
        <v>374</v>
      </c>
      <c r="AC35" s="105">
        <v>12.5</v>
      </c>
      <c r="AD35" s="105">
        <v>150</v>
      </c>
      <c r="AE35" s="75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/>
      <c r="AL35" s="105" t="s">
        <v>370</v>
      </c>
      <c r="AM35" s="105">
        <v>12.5</v>
      </c>
      <c r="AN35" s="105">
        <v>150</v>
      </c>
      <c r="AO35" s="75">
        <v>0</v>
      </c>
      <c r="AP35" s="10">
        <v>0</v>
      </c>
      <c r="AQ35" s="10">
        <v>0</v>
      </c>
      <c r="AR35" s="10"/>
      <c r="AS35" s="10"/>
      <c r="AT35" s="10"/>
      <c r="AU35" s="10"/>
      <c r="AV35" s="10">
        <v>0</v>
      </c>
      <c r="AW35" s="10">
        <v>0</v>
      </c>
      <c r="AX35" s="10">
        <v>0</v>
      </c>
      <c r="AY35" s="10"/>
      <c r="AZ35" s="10"/>
      <c r="BA35" s="10"/>
      <c r="BB35" s="10"/>
      <c r="BC35" s="75">
        <v>15</v>
      </c>
      <c r="BD35" s="10">
        <v>0</v>
      </c>
      <c r="BE35" s="10">
        <v>0</v>
      </c>
      <c r="BF35" s="10" t="s">
        <v>257</v>
      </c>
      <c r="BG35" s="10" t="str">
        <f t="shared" si="1"/>
        <v>ТТИ-А 15/5А 5ВА 0,5S</v>
      </c>
      <c r="BH35" s="10"/>
      <c r="BI35">
        <v>6</v>
      </c>
      <c r="BJ35" s="10">
        <v>0</v>
      </c>
      <c r="BK35" s="10">
        <v>0</v>
      </c>
      <c r="BL35" s="10">
        <v>0</v>
      </c>
      <c r="BM35" s="10"/>
      <c r="BN35" s="10"/>
      <c r="BO35" s="10"/>
      <c r="BP35" s="10"/>
      <c r="BQ35" s="10">
        <v>0</v>
      </c>
      <c r="BR35" s="10">
        <v>0</v>
      </c>
      <c r="BS35" s="10">
        <v>0</v>
      </c>
      <c r="BT35" s="10">
        <v>0</v>
      </c>
      <c r="BU35" s="10"/>
      <c r="BV35" s="10"/>
      <c r="BW35" s="10"/>
      <c r="BX35" s="10"/>
    </row>
    <row r="36" spans="6:76" ht="15.75" thickBot="1" x14ac:dyDescent="0.3">
      <c r="F36" s="42">
        <v>0.4</v>
      </c>
      <c r="G36" s="43">
        <v>49</v>
      </c>
      <c r="H36" s="44">
        <v>34.5</v>
      </c>
      <c r="K36" s="10">
        <v>1</v>
      </c>
      <c r="L36" s="10">
        <v>47.25</v>
      </c>
      <c r="M36" s="10">
        <v>33.25</v>
      </c>
      <c r="N36" s="10" t="s">
        <v>225</v>
      </c>
      <c r="O36" s="10" t="s">
        <v>182</v>
      </c>
      <c r="P36" s="10"/>
      <c r="Q36" s="10">
        <v>2</v>
      </c>
      <c r="R36" s="104" t="s">
        <v>360</v>
      </c>
      <c r="S36" s="104">
        <v>12.5</v>
      </c>
      <c r="T36" s="104">
        <v>150</v>
      </c>
      <c r="U36" s="10">
        <v>0</v>
      </c>
      <c r="V36" s="10">
        <v>0</v>
      </c>
      <c r="W36" s="10">
        <v>0</v>
      </c>
      <c r="X36" s="10"/>
      <c r="Y36" s="10"/>
      <c r="Z36" s="10"/>
      <c r="AA36" s="10"/>
      <c r="AB36" s="105" t="s">
        <v>374</v>
      </c>
      <c r="AC36" s="105">
        <v>12.5</v>
      </c>
      <c r="AD36" s="105">
        <v>150</v>
      </c>
      <c r="AE36" s="75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/>
      <c r="AL36" s="105" t="s">
        <v>370</v>
      </c>
      <c r="AM36" s="105">
        <v>12.5</v>
      </c>
      <c r="AN36" s="105">
        <v>150</v>
      </c>
      <c r="AO36" s="75">
        <v>0</v>
      </c>
      <c r="AP36" s="10">
        <v>0</v>
      </c>
      <c r="AQ36" s="10">
        <v>0</v>
      </c>
      <c r="AR36" s="10"/>
      <c r="AS36" s="10"/>
      <c r="AT36" s="10"/>
      <c r="AU36" s="10"/>
      <c r="AV36" s="10">
        <v>0</v>
      </c>
      <c r="AW36" s="10">
        <v>0</v>
      </c>
      <c r="AX36" s="10">
        <v>0</v>
      </c>
      <c r="AY36" s="10"/>
      <c r="AZ36" s="10"/>
      <c r="BA36" s="10"/>
      <c r="BB36" s="10"/>
      <c r="BC36" s="75">
        <v>10</v>
      </c>
      <c r="BD36" s="10">
        <v>0</v>
      </c>
      <c r="BE36" s="10">
        <v>0</v>
      </c>
      <c r="BF36" s="10" t="s">
        <v>257</v>
      </c>
      <c r="BG36" s="10" t="str">
        <f t="shared" si="1"/>
        <v>ТТИ-А 10/5А 5ВА 0,5S</v>
      </c>
      <c r="BH36" s="10"/>
      <c r="BI36">
        <v>6</v>
      </c>
      <c r="BJ36" s="10">
        <v>0</v>
      </c>
      <c r="BK36" s="10">
        <v>0</v>
      </c>
      <c r="BL36" s="10">
        <v>0</v>
      </c>
      <c r="BM36" s="10"/>
      <c r="BN36" s="10"/>
      <c r="BO36" s="10"/>
      <c r="BP36" s="10"/>
      <c r="BQ36" s="10">
        <v>0</v>
      </c>
      <c r="BR36" s="10">
        <v>0</v>
      </c>
      <c r="BS36" s="10">
        <v>0</v>
      </c>
      <c r="BT36" s="10">
        <v>0</v>
      </c>
      <c r="BU36" s="10"/>
      <c r="BV36" s="10"/>
      <c r="BW36" s="10"/>
      <c r="BX36" s="10"/>
    </row>
    <row r="37" spans="6:76" x14ac:dyDescent="0.25">
      <c r="K37" s="10">
        <v>0.4</v>
      </c>
      <c r="L37" s="10">
        <v>49</v>
      </c>
      <c r="M37" s="10">
        <v>34.5</v>
      </c>
      <c r="N37" s="10" t="s">
        <v>225</v>
      </c>
      <c r="O37" s="10" t="s">
        <v>182</v>
      </c>
      <c r="P37" s="10"/>
      <c r="Q37" s="10">
        <v>2</v>
      </c>
      <c r="R37" s="104" t="s">
        <v>360</v>
      </c>
      <c r="S37" s="104">
        <v>12.5</v>
      </c>
      <c r="T37" s="104">
        <v>150</v>
      </c>
      <c r="U37" s="10">
        <v>0</v>
      </c>
      <c r="V37" s="10">
        <v>0</v>
      </c>
      <c r="W37" s="10">
        <v>0</v>
      </c>
      <c r="X37" s="10"/>
      <c r="Y37" s="10"/>
      <c r="Z37" s="10"/>
      <c r="AA37" s="10"/>
      <c r="AB37" s="105" t="s">
        <v>374</v>
      </c>
      <c r="AC37" s="105">
        <v>12.5</v>
      </c>
      <c r="AD37" s="105">
        <v>150</v>
      </c>
      <c r="AE37" s="75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/>
      <c r="AL37" s="105" t="s">
        <v>370</v>
      </c>
      <c r="AM37" s="105">
        <v>12.5</v>
      </c>
      <c r="AN37" s="105">
        <v>150</v>
      </c>
      <c r="AO37" s="75">
        <v>0</v>
      </c>
      <c r="AP37" s="10">
        <v>0</v>
      </c>
      <c r="AQ37" s="10">
        <v>0</v>
      </c>
      <c r="AR37" s="10"/>
      <c r="AS37" s="10"/>
      <c r="AT37" s="10"/>
      <c r="AU37" s="10"/>
      <c r="AV37" s="10">
        <v>0</v>
      </c>
      <c r="AW37" s="10">
        <v>0</v>
      </c>
      <c r="AX37" s="10">
        <v>0</v>
      </c>
      <c r="AY37" s="10"/>
      <c r="AZ37" s="10"/>
      <c r="BA37" s="10"/>
      <c r="BB37" s="10"/>
      <c r="BC37" s="75">
        <v>5</v>
      </c>
      <c r="BD37" s="10">
        <v>0</v>
      </c>
      <c r="BE37" s="10">
        <v>0</v>
      </c>
      <c r="BF37" s="10" t="s">
        <v>257</v>
      </c>
      <c r="BG37" s="10" t="str">
        <f>"ТТИ-А "&amp;BC37&amp;"/5А 5ВА 0,5S"</f>
        <v>ТТИ-А 5/5А 5ВА 0,5S</v>
      </c>
      <c r="BH37" s="10"/>
      <c r="BI37">
        <v>6</v>
      </c>
      <c r="BJ37" s="10">
        <v>0</v>
      </c>
      <c r="BK37" s="10">
        <v>0</v>
      </c>
      <c r="BL37" s="10">
        <v>0</v>
      </c>
      <c r="BM37" s="10"/>
      <c r="BN37" s="10"/>
      <c r="BO37" s="10"/>
      <c r="BP37" s="10"/>
      <c r="BQ37" s="10">
        <v>0</v>
      </c>
      <c r="BR37" s="10">
        <v>0</v>
      </c>
      <c r="BS37" s="10">
        <v>0</v>
      </c>
      <c r="BT37" s="10">
        <v>0</v>
      </c>
      <c r="BU37" s="10"/>
      <c r="BV37" s="10"/>
      <c r="BW37" s="10"/>
      <c r="BX37" s="10"/>
    </row>
    <row r="38" spans="6:76" x14ac:dyDescent="0.25"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4"/>
      <c r="S38" s="104"/>
      <c r="T38" s="104"/>
      <c r="U38" s="75">
        <v>0</v>
      </c>
      <c r="V38" s="10">
        <v>0</v>
      </c>
      <c r="W38" s="10">
        <v>0</v>
      </c>
      <c r="X38" s="10"/>
      <c r="Y38" s="10"/>
      <c r="Z38" s="10"/>
      <c r="AA38" s="10"/>
      <c r="AB38" s="105"/>
      <c r="AC38" s="105"/>
      <c r="AD38" s="105"/>
      <c r="AE38" s="75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/>
      <c r="AL38" s="105"/>
      <c r="AM38" s="105"/>
      <c r="AN38" s="105"/>
      <c r="AO38" s="10">
        <v>0</v>
      </c>
      <c r="AP38" s="10">
        <v>0</v>
      </c>
      <c r="AQ38" s="10">
        <v>0</v>
      </c>
      <c r="AR38" s="10"/>
      <c r="AS38" s="10"/>
      <c r="AT38" s="10"/>
      <c r="AU38" s="10"/>
      <c r="AV38" s="10">
        <v>0</v>
      </c>
      <c r="AW38" s="75">
        <v>0</v>
      </c>
      <c r="AX38" s="10">
        <v>0</v>
      </c>
      <c r="AY38" s="10"/>
      <c r="AZ38" s="10"/>
      <c r="BA38" s="10"/>
      <c r="BB38" s="10"/>
      <c r="BC38" s="10">
        <v>0</v>
      </c>
      <c r="BD38" s="75">
        <v>0</v>
      </c>
      <c r="BE38" s="10">
        <v>0</v>
      </c>
      <c r="BF38" s="10"/>
      <c r="BG38" s="10"/>
      <c r="BH38" s="10"/>
      <c r="BI38" s="10"/>
      <c r="BJ38" s="10">
        <v>0</v>
      </c>
      <c r="BK38" s="75">
        <v>0</v>
      </c>
      <c r="BL38" s="10">
        <v>0</v>
      </c>
      <c r="BM38" s="10"/>
      <c r="BN38" s="10"/>
      <c r="BO38" s="10"/>
      <c r="BP38" s="10"/>
      <c r="BQ38" s="10">
        <v>0</v>
      </c>
      <c r="BR38" s="10">
        <v>0</v>
      </c>
      <c r="BS38" s="10">
        <v>0</v>
      </c>
      <c r="BT38" s="10">
        <v>0</v>
      </c>
      <c r="BU38" s="10"/>
      <c r="BV38" s="10"/>
      <c r="BW38" s="10"/>
      <c r="BX38" s="10"/>
    </row>
    <row r="41" spans="6:76" ht="15.75" thickBot="1" x14ac:dyDescent="0.3"/>
    <row r="42" spans="6:76" ht="15.75" thickBot="1" x14ac:dyDescent="0.3">
      <c r="F42" s="126" t="s">
        <v>184</v>
      </c>
      <c r="G42" s="127"/>
      <c r="H42" s="128"/>
    </row>
    <row r="43" spans="6:76" ht="31.5" x14ac:dyDescent="0.25">
      <c r="F43" s="45" t="s">
        <v>105</v>
      </c>
      <c r="G43" s="46" t="s">
        <v>106</v>
      </c>
      <c r="H43" s="47" t="s">
        <v>107</v>
      </c>
    </row>
    <row r="44" spans="6:76" x14ac:dyDescent="0.25">
      <c r="F44" s="36">
        <v>125</v>
      </c>
      <c r="G44" s="37"/>
      <c r="H44" s="38"/>
    </row>
    <row r="45" spans="6:76" x14ac:dyDescent="0.25">
      <c r="F45" s="36">
        <v>100</v>
      </c>
      <c r="G45" s="37"/>
      <c r="H45" s="38"/>
    </row>
    <row r="46" spans="6:76" x14ac:dyDescent="0.25">
      <c r="F46" s="36">
        <v>63</v>
      </c>
      <c r="G46" s="37"/>
      <c r="H46" s="38"/>
    </row>
    <row r="47" spans="6:76" x14ac:dyDescent="0.25">
      <c r="F47" s="36">
        <v>40</v>
      </c>
      <c r="G47" s="37"/>
      <c r="H47" s="38"/>
    </row>
    <row r="48" spans="6:76" x14ac:dyDescent="0.25">
      <c r="F48" s="36">
        <v>32</v>
      </c>
      <c r="G48" s="37"/>
      <c r="H48" s="38"/>
    </row>
    <row r="49" spans="6:8" x14ac:dyDescent="0.25">
      <c r="F49" s="36">
        <v>25</v>
      </c>
      <c r="G49" s="37"/>
      <c r="H49" s="38"/>
    </row>
    <row r="50" spans="6:8" x14ac:dyDescent="0.25">
      <c r="F50" s="36">
        <v>20</v>
      </c>
      <c r="G50" s="37"/>
      <c r="H50" s="38"/>
    </row>
    <row r="61" spans="6:8" x14ac:dyDescent="0.25">
      <c r="G61" t="s">
        <v>152</v>
      </c>
      <c r="H61">
        <f>INDEX(BD!$AF$7:$AF$11974,MATCH(BQ24,BD!$AF$7:$AF$11974,-1))</f>
        <v>0</v>
      </c>
    </row>
    <row r="63" spans="6:8" x14ac:dyDescent="0.25">
      <c r="H63" t="e">
        <f>MATCH(G61,K4:BX4,0)</f>
        <v>#N/A</v>
      </c>
    </row>
    <row r="65" spans="7:7" x14ac:dyDescent="0.25">
      <c r="G65" t="e">
        <f>HLOOKUP(G61,K4:BX13,2,FALSE)</f>
        <v>#N/A</v>
      </c>
    </row>
    <row r="67" spans="7:7" x14ac:dyDescent="0.25">
      <c r="G67" t="e">
        <f ca="1">INDEX(#REF!,MATCH(#REF!,INDIRECT(G65),1)+1)</f>
        <v>#REF!</v>
      </c>
    </row>
  </sheetData>
  <mergeCells count="5">
    <mergeCell ref="A3:C3"/>
    <mergeCell ref="F3:H3"/>
    <mergeCell ref="A9:B9"/>
    <mergeCell ref="F42:H42"/>
    <mergeCell ref="K3:BX3"/>
  </mergeCells>
  <phoneticPr fontId="12" type="noConversion"/>
  <conditionalFormatting sqref="K6:M37 U13:Z37 U6:W12 Y6:AA6 Y7:Z12 AA7:AA37 BJ6:BR37 BU6:BX37 AW6:BG6 AO13:BH37 AO6:AU12 AV8:AV12 AW7:BH12 AE6:AG37">
    <cfRule type="cellIs" dxfId="127" priority="25" operator="equal">
      <formula>0</formula>
    </cfRule>
  </conditionalFormatting>
  <conditionalFormatting sqref="K38:M38 U38:AG38 AO38:AP38">
    <cfRule type="cellIs" dxfId="126" priority="24" operator="equal">
      <formula>0</formula>
    </cfRule>
  </conditionalFormatting>
  <conditionalFormatting sqref="AQ38:AW38">
    <cfRule type="cellIs" dxfId="125" priority="23" operator="equal">
      <formula>0</formula>
    </cfRule>
  </conditionalFormatting>
  <conditionalFormatting sqref="AX38:BR38 BU38:BX38">
    <cfRule type="cellIs" dxfId="124" priority="22" operator="equal">
      <formula>0</formula>
    </cfRule>
  </conditionalFormatting>
  <conditionalFormatting sqref="N6:T37">
    <cfRule type="cellIs" dxfId="123" priority="21" operator="equal">
      <formula>0</formula>
    </cfRule>
  </conditionalFormatting>
  <conditionalFormatting sqref="N38:T38">
    <cfRule type="cellIs" dxfId="122" priority="20" operator="equal">
      <formula>0</formula>
    </cfRule>
  </conditionalFormatting>
  <conditionalFormatting sqref="AH6:AI15">
    <cfRule type="cellIs" dxfId="121" priority="19" operator="equal">
      <formula>0</formula>
    </cfRule>
  </conditionalFormatting>
  <conditionalFormatting sqref="AJ38:AN38">
    <cfRule type="cellIs" dxfId="120" priority="18" operator="equal">
      <formula>0</formula>
    </cfRule>
  </conditionalFormatting>
  <conditionalFormatting sqref="AH16:AH37">
    <cfRule type="cellIs" dxfId="119" priority="17" operator="equal">
      <formula>0</formula>
    </cfRule>
  </conditionalFormatting>
  <conditionalFormatting sqref="AH38">
    <cfRule type="cellIs" dxfId="118" priority="16" operator="equal">
      <formula>0</formula>
    </cfRule>
  </conditionalFormatting>
  <conditionalFormatting sqref="AI16:AI37">
    <cfRule type="cellIs" dxfId="117" priority="15" operator="equal">
      <formula>0</formula>
    </cfRule>
  </conditionalFormatting>
  <conditionalFormatting sqref="AI38">
    <cfRule type="cellIs" dxfId="116" priority="14" operator="equal">
      <formula>0</formula>
    </cfRule>
  </conditionalFormatting>
  <conditionalFormatting sqref="AJ6:AK6 AJ7 AK7:AK15">
    <cfRule type="cellIs" dxfId="115" priority="13" operator="equal">
      <formula>0</formula>
    </cfRule>
  </conditionalFormatting>
  <conditionalFormatting sqref="AJ8:AJ11">
    <cfRule type="cellIs" dxfId="114" priority="12" operator="equal">
      <formula>0</formula>
    </cfRule>
  </conditionalFormatting>
  <conditionalFormatting sqref="AJ12:AJ14">
    <cfRule type="cellIs" dxfId="113" priority="11" operator="equal">
      <formula>0</formula>
    </cfRule>
  </conditionalFormatting>
  <conditionalFormatting sqref="AJ16:AK36 AJ15">
    <cfRule type="cellIs" dxfId="112" priority="10" operator="equal">
      <formula>0</formula>
    </cfRule>
  </conditionalFormatting>
  <conditionalFormatting sqref="AJ37:AK37">
    <cfRule type="cellIs" dxfId="111" priority="9" operator="equal">
      <formula>0</formula>
    </cfRule>
  </conditionalFormatting>
  <conditionalFormatting sqref="BS6:BS37">
    <cfRule type="cellIs" dxfId="110" priority="8" operator="equal">
      <formula>0</formula>
    </cfRule>
  </conditionalFormatting>
  <conditionalFormatting sqref="BS38">
    <cfRule type="cellIs" dxfId="109" priority="7" operator="equal">
      <formula>0</formula>
    </cfRule>
  </conditionalFormatting>
  <conditionalFormatting sqref="BT6:BT37">
    <cfRule type="cellIs" dxfId="108" priority="6" operator="equal">
      <formula>0</formula>
    </cfRule>
  </conditionalFormatting>
  <conditionalFormatting sqref="BT38">
    <cfRule type="cellIs" dxfId="107" priority="5" operator="equal">
      <formula>0</formula>
    </cfRule>
  </conditionalFormatting>
  <conditionalFormatting sqref="X6:X12">
    <cfRule type="cellIs" dxfId="106" priority="4" operator="equal">
      <formula>0</formula>
    </cfRule>
  </conditionalFormatting>
  <conditionalFormatting sqref="AV6:AV7">
    <cfRule type="cellIs" dxfId="105" priority="3" operator="equal">
      <formula>0</formula>
    </cfRule>
  </conditionalFormatting>
  <conditionalFormatting sqref="AL6:AN37">
    <cfRule type="cellIs" dxfId="104" priority="2" operator="equal">
      <formula>0</formula>
    </cfRule>
  </conditionalFormatting>
  <conditionalFormatting sqref="AB6:AD37">
    <cfRule type="cellIs" dxfId="10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sheetPr codeName="Лист7"/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131" t="s">
        <v>138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3"/>
    </row>
    <row r="3" spans="2:34" ht="23.25" thickBot="1" x14ac:dyDescent="0.3">
      <c r="B3" s="54" t="s">
        <v>135</v>
      </c>
      <c r="C3" s="53" t="s">
        <v>143</v>
      </c>
      <c r="D3" s="53" t="s">
        <v>144</v>
      </c>
      <c r="E3" s="53" t="s">
        <v>145</v>
      </c>
      <c r="F3" s="53" t="s">
        <v>146</v>
      </c>
      <c r="G3" s="53" t="s">
        <v>147</v>
      </c>
      <c r="H3" s="53" t="s">
        <v>148</v>
      </c>
      <c r="I3" s="53" t="s">
        <v>149</v>
      </c>
      <c r="J3" s="53" t="s">
        <v>150</v>
      </c>
      <c r="K3" s="53" t="s">
        <v>151</v>
      </c>
      <c r="L3" s="53" t="s">
        <v>152</v>
      </c>
      <c r="M3" s="53" t="s">
        <v>153</v>
      </c>
      <c r="N3" s="53" t="s">
        <v>154</v>
      </c>
      <c r="O3" s="53" t="s">
        <v>155</v>
      </c>
      <c r="P3" s="53" t="s">
        <v>156</v>
      </c>
      <c r="Q3" s="53" t="s">
        <v>157</v>
      </c>
      <c r="R3" s="53" t="s">
        <v>158</v>
      </c>
      <c r="S3" s="53" t="s">
        <v>159</v>
      </c>
      <c r="T3" s="53" t="s">
        <v>160</v>
      </c>
      <c r="U3" s="53" t="s">
        <v>161</v>
      </c>
      <c r="V3" s="53" t="s">
        <v>162</v>
      </c>
      <c r="W3" s="53" t="s">
        <v>163</v>
      </c>
      <c r="X3" s="53" t="s">
        <v>164</v>
      </c>
      <c r="Y3" s="53" t="s">
        <v>165</v>
      </c>
      <c r="Z3" s="53" t="s">
        <v>166</v>
      </c>
      <c r="AA3" s="53" t="s">
        <v>167</v>
      </c>
      <c r="AB3" s="53" t="s">
        <v>168</v>
      </c>
      <c r="AC3" s="53" t="s">
        <v>169</v>
      </c>
      <c r="AD3" s="53" t="s">
        <v>170</v>
      </c>
      <c r="AE3" s="53" t="s">
        <v>171</v>
      </c>
      <c r="AF3" s="53" t="s">
        <v>172</v>
      </c>
      <c r="AG3" s="53" t="s">
        <v>173</v>
      </c>
      <c r="AH3" s="53" t="s">
        <v>174</v>
      </c>
    </row>
    <row r="4" spans="2:34" ht="23.25" thickBot="1" x14ac:dyDescent="0.3">
      <c r="B4" s="54" t="s">
        <v>175</v>
      </c>
      <c r="C4" s="55" t="str">
        <f>ADDRESS(ROW()+1,COLUMN())&amp;":"&amp;ADDRESS(100,COLUMN())</f>
        <v>$C$5:$C$100</v>
      </c>
      <c r="D4" s="55" t="str">
        <f t="shared" ref="D4:AH4" si="0">ADDRESS(ROW()+1,COLUMN())&amp;":"&amp;ADDRESS(100,COLUMN())</f>
        <v>$D$5:$D$100</v>
      </c>
      <c r="E4" s="55" t="str">
        <f t="shared" si="0"/>
        <v>$E$5:$E$100</v>
      </c>
      <c r="F4" s="55" t="str">
        <f t="shared" si="0"/>
        <v>$F$5:$F$100</v>
      </c>
      <c r="G4" s="55" t="str">
        <f t="shared" si="0"/>
        <v>$G$5:$G$100</v>
      </c>
      <c r="H4" s="55" t="str">
        <f t="shared" si="0"/>
        <v>$H$5:$H$100</v>
      </c>
      <c r="I4" s="55" t="str">
        <f t="shared" si="0"/>
        <v>$I$5:$I$100</v>
      </c>
      <c r="J4" s="55" t="str">
        <f t="shared" si="0"/>
        <v>$J$5:$J$100</v>
      </c>
      <c r="K4" s="55" t="str">
        <f t="shared" si="0"/>
        <v>$K$5:$K$100</v>
      </c>
      <c r="L4" s="55" t="str">
        <f t="shared" si="0"/>
        <v>$L$5:$L$100</v>
      </c>
      <c r="M4" s="55" t="str">
        <f t="shared" si="0"/>
        <v>$M$5:$M$100</v>
      </c>
      <c r="N4" s="55" t="str">
        <f t="shared" si="0"/>
        <v>$N$5:$N$100</v>
      </c>
      <c r="O4" s="55" t="str">
        <f t="shared" si="0"/>
        <v>$O$5:$O$100</v>
      </c>
      <c r="P4" s="55" t="str">
        <f t="shared" si="0"/>
        <v>$P$5:$P$100</v>
      </c>
      <c r="Q4" s="55" t="str">
        <f t="shared" si="0"/>
        <v>$Q$5:$Q$100</v>
      </c>
      <c r="R4" s="55" t="str">
        <f t="shared" si="0"/>
        <v>$R$5:$R$100</v>
      </c>
      <c r="S4" s="55" t="str">
        <f t="shared" si="0"/>
        <v>$S$5:$S$100</v>
      </c>
      <c r="T4" s="55" t="str">
        <f t="shared" si="0"/>
        <v>$T$5:$T$100</v>
      </c>
      <c r="U4" s="55" t="str">
        <f t="shared" si="0"/>
        <v>$U$5:$U$100</v>
      </c>
      <c r="V4" s="55" t="str">
        <f t="shared" si="0"/>
        <v>$V$5:$V$100</v>
      </c>
      <c r="W4" s="55" t="str">
        <f t="shared" si="0"/>
        <v>$W$5:$W$100</v>
      </c>
      <c r="X4" s="55" t="str">
        <f t="shared" si="0"/>
        <v>$X$5:$X$100</v>
      </c>
      <c r="Y4" s="55" t="str">
        <f t="shared" si="0"/>
        <v>$Y$5:$Y$100</v>
      </c>
      <c r="Z4" s="55" t="str">
        <f t="shared" si="0"/>
        <v>$Z$5:$Z$100</v>
      </c>
      <c r="AA4" s="55" t="str">
        <f t="shared" si="0"/>
        <v>$AA$5:$AA$100</v>
      </c>
      <c r="AB4" s="55" t="str">
        <f t="shared" si="0"/>
        <v>$AB$5:$AB$100</v>
      </c>
      <c r="AC4" s="55" t="str">
        <f t="shared" si="0"/>
        <v>$AC$5:$AC$100</v>
      </c>
      <c r="AD4" s="55" t="str">
        <f t="shared" si="0"/>
        <v>$AD$5:$AD$100</v>
      </c>
      <c r="AE4" s="55" t="str">
        <f t="shared" si="0"/>
        <v>$AE$5:$AE$100</v>
      </c>
      <c r="AF4" s="55" t="str">
        <f t="shared" si="0"/>
        <v>$AF$5:$AF$100</v>
      </c>
      <c r="AG4" s="55" t="str">
        <f t="shared" si="0"/>
        <v>$AG$5:$AG$100</v>
      </c>
      <c r="AH4" s="55" t="str">
        <f t="shared" si="0"/>
        <v>$AH$5:$AH$100</v>
      </c>
    </row>
    <row r="5" spans="2:34" x14ac:dyDescent="0.25">
      <c r="B5" s="10">
        <v>0</v>
      </c>
      <c r="C5" s="10" t="s">
        <v>142</v>
      </c>
      <c r="D5" s="10" t="s">
        <v>142</v>
      </c>
      <c r="E5" s="10" t="s">
        <v>142</v>
      </c>
      <c r="F5" s="10">
        <v>100000</v>
      </c>
      <c r="G5" s="10" t="s">
        <v>142</v>
      </c>
      <c r="H5" s="10" t="s">
        <v>142</v>
      </c>
      <c r="I5" s="10" t="s">
        <v>142</v>
      </c>
      <c r="J5" s="10">
        <v>100000</v>
      </c>
      <c r="K5" s="10">
        <v>0</v>
      </c>
      <c r="L5" s="10" t="s">
        <v>142</v>
      </c>
      <c r="M5" s="10" t="s">
        <v>142</v>
      </c>
      <c r="N5" s="10">
        <v>100000</v>
      </c>
      <c r="O5" s="10" t="s">
        <v>142</v>
      </c>
      <c r="P5" s="10" t="s">
        <v>142</v>
      </c>
      <c r="Q5" s="10" t="s">
        <v>142</v>
      </c>
      <c r="R5" s="10">
        <v>100000</v>
      </c>
      <c r="S5" s="10" t="s">
        <v>142</v>
      </c>
      <c r="T5" s="10" t="s">
        <v>142</v>
      </c>
      <c r="U5" s="10" t="s">
        <v>142</v>
      </c>
      <c r="V5" s="10">
        <v>100000</v>
      </c>
      <c r="W5" s="10" t="s">
        <v>142</v>
      </c>
      <c r="X5" s="10" t="s">
        <v>142</v>
      </c>
      <c r="Y5" s="10" t="s">
        <v>142</v>
      </c>
      <c r="Z5" s="10">
        <v>100000</v>
      </c>
      <c r="AA5" s="10" t="s">
        <v>142</v>
      </c>
      <c r="AB5" s="10" t="s">
        <v>142</v>
      </c>
      <c r="AC5" s="10" t="s">
        <v>142</v>
      </c>
      <c r="AD5" s="10">
        <v>100000</v>
      </c>
      <c r="AE5" s="10" t="s">
        <v>142</v>
      </c>
      <c r="AF5" s="10" t="s">
        <v>142</v>
      </c>
      <c r="AG5" s="10" t="s">
        <v>142</v>
      </c>
      <c r="AH5" s="10">
        <v>100000</v>
      </c>
    </row>
    <row r="6" spans="2:34" x14ac:dyDescent="0.25">
      <c r="B6" s="10">
        <v>1.5</v>
      </c>
      <c r="C6" s="10">
        <v>22</v>
      </c>
      <c r="D6" s="10">
        <v>12.6</v>
      </c>
      <c r="E6" s="10">
        <v>0.13300000000000001</v>
      </c>
      <c r="F6" s="10">
        <f t="shared" ref="F6:F12" si="1">ROUNDUP(SQRT(SUMSQ(D6,E6)),3)</f>
        <v>12.600999999999999</v>
      </c>
      <c r="G6" s="10">
        <v>30</v>
      </c>
      <c r="H6" s="10">
        <v>12.6</v>
      </c>
      <c r="I6" s="10">
        <v>0.13300000000000001</v>
      </c>
      <c r="J6" s="10">
        <f t="shared" ref="J6:J12" si="2">ROUNDUP(SQRT(SUMSQ(H6,I6)),3)</f>
        <v>12.600999999999999</v>
      </c>
      <c r="K6" s="10">
        <v>21</v>
      </c>
      <c r="L6" s="10">
        <v>12.6</v>
      </c>
      <c r="M6" s="10">
        <v>0.1</v>
      </c>
      <c r="N6" s="10">
        <f t="shared" ref="N6:N12" si="3">ROUNDUP(SQRT(SUMSQ(L6,M6)),3)</f>
        <v>12.600999999999999</v>
      </c>
      <c r="O6" s="10">
        <v>27</v>
      </c>
      <c r="P6" s="10">
        <v>12.6</v>
      </c>
      <c r="Q6" s="10">
        <v>0.1</v>
      </c>
      <c r="R6" s="10">
        <f t="shared" ref="R6:R12" si="4">ROUNDUP(SQRT(SUMSQ(P6,Q6)),3)</f>
        <v>12.600999999999999</v>
      </c>
      <c r="S6" s="10" t="s">
        <v>142</v>
      </c>
      <c r="T6" s="10" t="s">
        <v>142</v>
      </c>
      <c r="U6" s="10" t="s">
        <v>142</v>
      </c>
      <c r="V6" s="10" t="s">
        <v>142</v>
      </c>
      <c r="W6" s="10" t="s">
        <v>142</v>
      </c>
      <c r="X6" s="10" t="s">
        <v>142</v>
      </c>
      <c r="Y6" s="10" t="s">
        <v>142</v>
      </c>
      <c r="Z6" s="10" t="s">
        <v>142</v>
      </c>
      <c r="AA6" s="10" t="s">
        <v>142</v>
      </c>
      <c r="AB6" s="10" t="s">
        <v>142</v>
      </c>
      <c r="AC6" s="10" t="s">
        <v>142</v>
      </c>
      <c r="AD6" s="10" t="s">
        <v>142</v>
      </c>
      <c r="AE6" s="10" t="s">
        <v>142</v>
      </c>
      <c r="AF6" s="10" t="s">
        <v>142</v>
      </c>
      <c r="AG6" s="10" t="s">
        <v>142</v>
      </c>
      <c r="AH6" s="10" t="s">
        <v>142</v>
      </c>
    </row>
    <row r="7" spans="2:34" x14ac:dyDescent="0.25">
      <c r="B7" s="10">
        <v>2.5</v>
      </c>
      <c r="C7" s="10">
        <v>30</v>
      </c>
      <c r="D7" s="10">
        <v>7.55</v>
      </c>
      <c r="E7" s="10">
        <v>0.128</v>
      </c>
      <c r="F7" s="10">
        <f t="shared" si="1"/>
        <v>7.5520000000000005</v>
      </c>
      <c r="G7" s="10">
        <v>39</v>
      </c>
      <c r="H7" s="10">
        <v>7.55</v>
      </c>
      <c r="I7" s="10">
        <v>0.128</v>
      </c>
      <c r="J7" s="10">
        <f t="shared" si="2"/>
        <v>7.5520000000000005</v>
      </c>
      <c r="K7" s="10">
        <v>27</v>
      </c>
      <c r="L7" s="10">
        <v>7.55</v>
      </c>
      <c r="M7" s="10">
        <v>9.7000000000000003E-2</v>
      </c>
      <c r="N7" s="10">
        <f t="shared" si="3"/>
        <v>7.5510000000000002</v>
      </c>
      <c r="O7" s="10">
        <v>36</v>
      </c>
      <c r="P7" s="10">
        <v>7.55</v>
      </c>
      <c r="Q7" s="10">
        <v>9.7000000000000003E-2</v>
      </c>
      <c r="R7" s="10">
        <f t="shared" si="4"/>
        <v>7.5510000000000002</v>
      </c>
      <c r="S7" s="10">
        <v>22</v>
      </c>
      <c r="T7" s="10">
        <v>12.6</v>
      </c>
      <c r="U7" s="10">
        <v>0.128</v>
      </c>
      <c r="V7" s="10">
        <f>ROUNDUP(SQRT(SUMSQ(T7,U7)),3)</f>
        <v>12.600999999999999</v>
      </c>
      <c r="W7" s="10">
        <v>30</v>
      </c>
      <c r="X7" s="10">
        <v>12.6</v>
      </c>
      <c r="Y7" s="10">
        <v>0.128</v>
      </c>
      <c r="Z7" s="10">
        <f>ROUNDUP(SQRT(SUMSQ(X7,Y7)),3)</f>
        <v>12.600999999999999</v>
      </c>
      <c r="AA7" s="10">
        <v>21</v>
      </c>
      <c r="AB7" s="10">
        <v>12.6</v>
      </c>
      <c r="AC7" s="10">
        <v>9.7000000000000003E-2</v>
      </c>
      <c r="AD7" s="10">
        <f>ROUNDUP(SQRT(SUMSQ(AB7,AC7)),3)</f>
        <v>12.600999999999999</v>
      </c>
      <c r="AE7" s="10">
        <v>28</v>
      </c>
      <c r="AF7" s="10">
        <v>12.6</v>
      </c>
      <c r="AG7" s="10">
        <v>9.7000000000000003E-2</v>
      </c>
      <c r="AH7" s="10">
        <f>ROUNDUP(SQRT(SUMSQ(AF7,AG7)),3)</f>
        <v>12.600999999999999</v>
      </c>
    </row>
    <row r="8" spans="2:34" x14ac:dyDescent="0.25">
      <c r="B8" s="10">
        <v>4</v>
      </c>
      <c r="C8" s="10">
        <v>39</v>
      </c>
      <c r="D8" s="10">
        <v>4.6500000000000004</v>
      </c>
      <c r="E8" s="10">
        <v>0.123</v>
      </c>
      <c r="F8" s="10">
        <f t="shared" si="1"/>
        <v>4.6520000000000001</v>
      </c>
      <c r="G8" s="10">
        <v>50</v>
      </c>
      <c r="H8" s="10">
        <v>4.6500000000000004</v>
      </c>
      <c r="I8" s="10">
        <v>0.123</v>
      </c>
      <c r="J8" s="10">
        <f t="shared" si="2"/>
        <v>4.6520000000000001</v>
      </c>
      <c r="K8" s="10">
        <v>36</v>
      </c>
      <c r="L8" s="10">
        <v>4.6500000000000004</v>
      </c>
      <c r="M8" s="10">
        <v>9.4E-2</v>
      </c>
      <c r="N8" s="10">
        <f t="shared" si="3"/>
        <v>4.6510000000000007</v>
      </c>
      <c r="O8" s="10">
        <v>47</v>
      </c>
      <c r="P8" s="10">
        <v>4.6500000000000004</v>
      </c>
      <c r="Q8" s="10">
        <v>9.4E-2</v>
      </c>
      <c r="R8" s="10">
        <f t="shared" si="4"/>
        <v>4.6510000000000007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2:34" x14ac:dyDescent="0.25">
      <c r="B9" s="10">
        <v>6</v>
      </c>
      <c r="C9" s="10">
        <v>50</v>
      </c>
      <c r="D9" s="10">
        <v>3.06</v>
      </c>
      <c r="E9" s="10">
        <v>0.11799999999999999</v>
      </c>
      <c r="F9" s="10">
        <f t="shared" si="1"/>
        <v>3.0629999999999997</v>
      </c>
      <c r="G9" s="10">
        <v>62</v>
      </c>
      <c r="H9" s="10">
        <v>3.06</v>
      </c>
      <c r="I9" s="10">
        <v>0.11799999999999999</v>
      </c>
      <c r="J9" s="10">
        <f t="shared" si="2"/>
        <v>3.0629999999999997</v>
      </c>
      <c r="K9" s="10">
        <v>46</v>
      </c>
      <c r="L9" s="10">
        <v>3.06</v>
      </c>
      <c r="M9" s="10">
        <v>9.0999999999999998E-2</v>
      </c>
      <c r="N9" s="10">
        <f t="shared" si="3"/>
        <v>3.0619999999999998</v>
      </c>
      <c r="O9" s="10">
        <v>59</v>
      </c>
      <c r="P9" s="10">
        <v>3.06</v>
      </c>
      <c r="Q9" s="10">
        <v>9.0999999999999998E-2</v>
      </c>
      <c r="R9" s="10">
        <f t="shared" si="4"/>
        <v>3.0619999999999998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2:34" x14ac:dyDescent="0.25">
      <c r="B10" s="10">
        <v>10</v>
      </c>
      <c r="C10" s="10">
        <v>68</v>
      </c>
      <c r="D10" s="10">
        <v>1.84</v>
      </c>
      <c r="E10" s="10">
        <v>0.113</v>
      </c>
      <c r="F10" s="10">
        <f t="shared" si="1"/>
        <v>1.8439999999999999</v>
      </c>
      <c r="G10" s="10">
        <v>83</v>
      </c>
      <c r="H10" s="10">
        <v>1.84</v>
      </c>
      <c r="I10" s="10">
        <v>0.113</v>
      </c>
      <c r="J10" s="10">
        <f t="shared" si="2"/>
        <v>1.8439999999999999</v>
      </c>
      <c r="K10" s="10">
        <v>63</v>
      </c>
      <c r="L10" s="10">
        <v>1.84</v>
      </c>
      <c r="M10" s="10">
        <v>8.7999999999999995E-2</v>
      </c>
      <c r="N10" s="10">
        <f t="shared" si="3"/>
        <v>1.843</v>
      </c>
      <c r="O10" s="10">
        <v>79</v>
      </c>
      <c r="P10" s="10">
        <v>1.84</v>
      </c>
      <c r="Q10" s="10">
        <v>8.7999999999999995E-2</v>
      </c>
      <c r="R10" s="10">
        <f t="shared" si="4"/>
        <v>1.843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2:34" x14ac:dyDescent="0.25">
      <c r="B11" s="10">
        <v>16</v>
      </c>
      <c r="C11" s="10">
        <v>89</v>
      </c>
      <c r="D11" s="10">
        <v>1.2</v>
      </c>
      <c r="E11" s="10">
        <v>0.108</v>
      </c>
      <c r="F11" s="10">
        <f t="shared" si="1"/>
        <v>1.2049999999999998</v>
      </c>
      <c r="G11" s="10">
        <v>107</v>
      </c>
      <c r="H11" s="10">
        <v>1.2</v>
      </c>
      <c r="I11" s="10">
        <v>0.108</v>
      </c>
      <c r="J11" s="10">
        <f t="shared" si="2"/>
        <v>1.2049999999999998</v>
      </c>
      <c r="K11" s="10">
        <v>84</v>
      </c>
      <c r="L11" s="10">
        <v>1.2</v>
      </c>
      <c r="M11" s="10">
        <v>8.5000000000000006E-2</v>
      </c>
      <c r="N11" s="10">
        <f t="shared" si="3"/>
        <v>1.204</v>
      </c>
      <c r="O11" s="10">
        <v>102</v>
      </c>
      <c r="P11" s="10">
        <v>1.2</v>
      </c>
      <c r="Q11" s="10">
        <v>8.5000000000000006E-2</v>
      </c>
      <c r="R11" s="10">
        <f t="shared" si="4"/>
        <v>1.204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2:34" x14ac:dyDescent="0.25">
      <c r="B12" s="10">
        <v>25</v>
      </c>
      <c r="C12" s="10">
        <v>121</v>
      </c>
      <c r="D12" s="10">
        <v>0.74</v>
      </c>
      <c r="E12" s="10">
        <v>0.10299999999999999</v>
      </c>
      <c r="F12" s="10">
        <f t="shared" si="1"/>
        <v>0.748</v>
      </c>
      <c r="G12" s="10">
        <v>137</v>
      </c>
      <c r="H12" s="10">
        <v>0.74</v>
      </c>
      <c r="I12" s="10">
        <v>0.10299999999999999</v>
      </c>
      <c r="J12" s="10">
        <f t="shared" si="2"/>
        <v>0.748</v>
      </c>
      <c r="K12" s="10">
        <v>112</v>
      </c>
      <c r="L12" s="10">
        <v>0.74</v>
      </c>
      <c r="M12" s="10">
        <v>8.2000000000000003E-2</v>
      </c>
      <c r="N12" s="10">
        <f t="shared" si="3"/>
        <v>0.745</v>
      </c>
      <c r="O12" s="10">
        <v>133</v>
      </c>
      <c r="P12" s="10">
        <v>0.74</v>
      </c>
      <c r="Q12" s="10">
        <v>8.2000000000000003E-2</v>
      </c>
      <c r="R12" s="10">
        <f t="shared" si="4"/>
        <v>0.745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</sheetData>
  <mergeCells count="1">
    <mergeCell ref="B2:A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sheetPr codeName="Лист8"/>
  <dimension ref="A1:R10"/>
  <sheetViews>
    <sheetView workbookViewId="0">
      <selection activeCell="A11" sqref="A11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134" t="s">
        <v>97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</row>
    <row r="2" spans="1:18" ht="35.25" customHeight="1" thickBot="1" x14ac:dyDescent="0.3">
      <c r="A2" s="33"/>
      <c r="B2" s="12" t="s">
        <v>98</v>
      </c>
      <c r="C2" s="135" t="s">
        <v>99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6"/>
    </row>
    <row r="3" spans="1:18" x14ac:dyDescent="0.25">
      <c r="A3" s="21"/>
      <c r="B3" s="28"/>
      <c r="C3" s="25">
        <v>0</v>
      </c>
      <c r="D3" s="14">
        <v>1</v>
      </c>
      <c r="E3" s="14">
        <f>1*5</f>
        <v>5</v>
      </c>
      <c r="F3" s="14">
        <v>6</v>
      </c>
      <c r="G3" s="14">
        <v>9</v>
      </c>
      <c r="H3" s="14">
        <v>12</v>
      </c>
      <c r="I3" s="14">
        <v>15</v>
      </c>
      <c r="J3" s="14">
        <v>18</v>
      </c>
      <c r="K3" s="14">
        <v>24</v>
      </c>
      <c r="L3" s="14">
        <v>40</v>
      </c>
      <c r="M3" s="14">
        <v>60</v>
      </c>
      <c r="N3" s="14">
        <v>100</v>
      </c>
      <c r="O3" s="14">
        <v>200</v>
      </c>
      <c r="P3" s="14">
        <v>400</v>
      </c>
      <c r="Q3" s="14">
        <v>600</v>
      </c>
      <c r="R3" s="15">
        <v>1000</v>
      </c>
    </row>
    <row r="4" spans="1:18" ht="15.75" thickBot="1" x14ac:dyDescent="0.3">
      <c r="A4" s="22" t="s">
        <v>124</v>
      </c>
      <c r="B4" s="29" t="s">
        <v>100</v>
      </c>
      <c r="C4" s="26">
        <v>4.5</v>
      </c>
      <c r="D4" s="17">
        <v>4.5</v>
      </c>
      <c r="E4" s="17">
        <v>4.5</v>
      </c>
      <c r="F4" s="17">
        <v>2.8</v>
      </c>
      <c r="G4" s="17">
        <v>2.2999999999999998</v>
      </c>
      <c r="H4" s="17">
        <v>2</v>
      </c>
      <c r="I4" s="17">
        <v>1.8</v>
      </c>
      <c r="J4" s="17">
        <v>1.65</v>
      </c>
      <c r="K4" s="17">
        <v>1.4</v>
      </c>
      <c r="L4" s="17">
        <v>1.2</v>
      </c>
      <c r="M4" s="17">
        <v>1.05</v>
      </c>
      <c r="N4" s="17">
        <v>0.85</v>
      </c>
      <c r="O4" s="17">
        <v>0.77</v>
      </c>
      <c r="P4" s="17">
        <v>0.71</v>
      </c>
      <c r="Q4" s="17">
        <v>0.69</v>
      </c>
      <c r="R4" s="18">
        <v>0.67</v>
      </c>
    </row>
    <row r="5" spans="1:18" x14ac:dyDescent="0.25">
      <c r="A5" s="21"/>
      <c r="B5" s="28"/>
      <c r="C5" s="25">
        <v>0</v>
      </c>
      <c r="D5" s="14">
        <v>1</v>
      </c>
      <c r="E5" s="14">
        <f>1*5</f>
        <v>5</v>
      </c>
      <c r="F5" s="14">
        <v>6</v>
      </c>
      <c r="G5" s="14">
        <v>9</v>
      </c>
      <c r="H5" s="14">
        <v>12</v>
      </c>
      <c r="I5" s="14">
        <v>15</v>
      </c>
      <c r="J5" s="14">
        <v>18</v>
      </c>
      <c r="K5" s="14">
        <v>24</v>
      </c>
      <c r="L5" s="14">
        <v>40</v>
      </c>
      <c r="M5" s="14">
        <v>60</v>
      </c>
      <c r="N5" s="14">
        <v>100</v>
      </c>
      <c r="O5" s="14">
        <v>200</v>
      </c>
      <c r="P5" s="14">
        <v>400</v>
      </c>
      <c r="Q5" s="14">
        <v>600</v>
      </c>
      <c r="R5" s="15">
        <v>1000</v>
      </c>
    </row>
    <row r="6" spans="1:18" ht="39" thickBot="1" x14ac:dyDescent="0.3">
      <c r="A6" s="22" t="s">
        <v>125</v>
      </c>
      <c r="B6" s="29" t="s">
        <v>101</v>
      </c>
      <c r="C6" s="26">
        <v>6</v>
      </c>
      <c r="D6" s="17">
        <v>6</v>
      </c>
      <c r="E6" s="17">
        <v>6</v>
      </c>
      <c r="F6" s="17">
        <v>3.4</v>
      </c>
      <c r="G6" s="17">
        <v>2.9</v>
      </c>
      <c r="H6" s="17">
        <v>2.5</v>
      </c>
      <c r="I6" s="17">
        <v>2.2000000000000002</v>
      </c>
      <c r="J6" s="17">
        <v>2</v>
      </c>
      <c r="K6" s="17">
        <v>1.8</v>
      </c>
      <c r="L6" s="17">
        <v>1.4</v>
      </c>
      <c r="M6" s="17">
        <v>1.3</v>
      </c>
      <c r="N6" s="17">
        <v>1.08</v>
      </c>
      <c r="O6" s="17">
        <v>1</v>
      </c>
      <c r="P6" s="17">
        <v>0.92</v>
      </c>
      <c r="Q6" s="17">
        <v>0.84</v>
      </c>
      <c r="R6" s="18">
        <v>0.76</v>
      </c>
    </row>
    <row r="7" spans="1:18" x14ac:dyDescent="0.25">
      <c r="A7" s="24"/>
      <c r="B7" s="31"/>
      <c r="C7" s="25">
        <v>0</v>
      </c>
      <c r="D7" s="14">
        <v>1</v>
      </c>
      <c r="E7" s="14">
        <f>1*5</f>
        <v>5</v>
      </c>
      <c r="F7" s="14">
        <v>6</v>
      </c>
      <c r="G7" s="14">
        <v>9</v>
      </c>
      <c r="H7" s="14">
        <v>12</v>
      </c>
      <c r="I7" s="14">
        <v>15</v>
      </c>
      <c r="J7" s="14">
        <v>18</v>
      </c>
      <c r="K7" s="14">
        <v>24</v>
      </c>
      <c r="L7" s="14">
        <v>40</v>
      </c>
      <c r="M7" s="14">
        <v>60</v>
      </c>
      <c r="N7" s="14">
        <v>100</v>
      </c>
      <c r="O7" s="14">
        <v>200</v>
      </c>
      <c r="P7" s="14">
        <v>400</v>
      </c>
      <c r="Q7" s="14">
        <v>600</v>
      </c>
      <c r="R7" s="15">
        <v>1000</v>
      </c>
    </row>
    <row r="8" spans="1:18" ht="26.25" thickBot="1" x14ac:dyDescent="0.3">
      <c r="A8" s="23" t="s">
        <v>126</v>
      </c>
      <c r="B8" s="30" t="s">
        <v>102</v>
      </c>
      <c r="C8" s="27">
        <v>10</v>
      </c>
      <c r="D8" s="19">
        <v>10</v>
      </c>
      <c r="E8" s="19">
        <v>10</v>
      </c>
      <c r="F8" s="19">
        <v>5.0999999999999996</v>
      </c>
      <c r="G8" s="19">
        <v>3.8</v>
      </c>
      <c r="H8" s="19">
        <v>3.2</v>
      </c>
      <c r="I8" s="19">
        <v>2.8</v>
      </c>
      <c r="J8" s="19">
        <v>2.6</v>
      </c>
      <c r="K8" s="19">
        <v>2.2000000000000002</v>
      </c>
      <c r="L8" s="19">
        <v>1.95</v>
      </c>
      <c r="M8" s="19">
        <v>1.7</v>
      </c>
      <c r="N8" s="19">
        <v>1.5</v>
      </c>
      <c r="O8" s="19">
        <v>1.36</v>
      </c>
      <c r="P8" s="19">
        <v>1.27</v>
      </c>
      <c r="Q8" s="19">
        <v>1.23</v>
      </c>
      <c r="R8" s="20">
        <v>1.19</v>
      </c>
    </row>
    <row r="9" spans="1:18" x14ac:dyDescent="0.25">
      <c r="A9" s="24"/>
      <c r="B9" s="31"/>
      <c r="C9" s="25">
        <v>0</v>
      </c>
      <c r="D9" s="14">
        <v>1</v>
      </c>
      <c r="E9" s="14">
        <f>1*5</f>
        <v>5</v>
      </c>
      <c r="F9" s="14">
        <v>6</v>
      </c>
      <c r="G9" s="14">
        <v>9</v>
      </c>
      <c r="H9" s="14">
        <v>12</v>
      </c>
      <c r="I9" s="14">
        <v>15</v>
      </c>
      <c r="J9" s="14">
        <v>18</v>
      </c>
      <c r="K9" s="14">
        <v>24</v>
      </c>
      <c r="L9" s="14">
        <v>40</v>
      </c>
      <c r="M9" s="14">
        <v>60</v>
      </c>
      <c r="N9" s="14">
        <v>100</v>
      </c>
      <c r="O9" s="14">
        <v>200</v>
      </c>
      <c r="P9" s="14">
        <v>400</v>
      </c>
      <c r="Q9" s="14">
        <v>600</v>
      </c>
      <c r="R9" s="15">
        <v>1000</v>
      </c>
    </row>
    <row r="10" spans="1:18" ht="26.25" thickBot="1" x14ac:dyDescent="0.3">
      <c r="A10" s="22" t="s">
        <v>127</v>
      </c>
      <c r="B10" s="32" t="s">
        <v>103</v>
      </c>
      <c r="C10" s="26">
        <v>4</v>
      </c>
      <c r="D10" s="17">
        <v>4</v>
      </c>
      <c r="E10" s="17">
        <v>4</v>
      </c>
      <c r="F10" s="17">
        <v>2.2999999999999998</v>
      </c>
      <c r="G10" s="17">
        <v>1.7</v>
      </c>
      <c r="H10" s="17">
        <v>1.4</v>
      </c>
      <c r="I10" s="17">
        <v>1.2</v>
      </c>
      <c r="J10" s="17">
        <v>1.1000000000000001</v>
      </c>
      <c r="K10" s="17">
        <v>0.9</v>
      </c>
      <c r="L10" s="17">
        <v>0.76</v>
      </c>
      <c r="M10" s="17">
        <v>0.69</v>
      </c>
      <c r="N10" s="17">
        <v>0.61</v>
      </c>
      <c r="O10" s="17">
        <v>0.57999999999999996</v>
      </c>
      <c r="P10" s="17">
        <v>0.54</v>
      </c>
      <c r="Q10" s="17">
        <v>0.51</v>
      </c>
      <c r="R10" s="18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B741-841A-4380-8CF6-69D9C360B6A6}">
  <sheetPr codeName="Лист9"/>
  <dimension ref="A1:A2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90</v>
      </c>
    </row>
    <row r="2" spans="1:1" x14ac:dyDescent="0.25">
      <c r="A2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&lt;workbook&gt;SET</vt:lpstr>
      <vt:lpstr>&lt;zall&gt;CABSET</vt:lpstr>
      <vt:lpstr>&lt;zall&gt;CABEXPORT</vt:lpstr>
      <vt:lpstr>&lt;zall&gt;DEVSET</vt:lpstr>
      <vt:lpstr>&lt;zall&gt;DEVEXPORT</vt:lpstr>
      <vt:lpstr>BD</vt:lpstr>
      <vt:lpstr>BDКаб</vt:lpstr>
      <vt:lpstr>BDKc</vt:lpstr>
      <vt:lpstr>&lt;zmain&gt;SET</vt:lpstr>
      <vt:lpstr>&lt;zmain&gt;DEVEXPORT</vt:lpstr>
      <vt:lpstr>&lt;zmain&gt;</vt:lpstr>
      <vt:lpstr>&lt;zlight&gt;SET</vt:lpstr>
      <vt:lpstr>&lt;zlight&gt;TOCAD</vt:lpstr>
      <vt:lpstr>&lt;zlight&gt;</vt:lpstr>
      <vt:lpstr>&lt;zlight&gt;DEVEXPORT</vt:lpstr>
      <vt:lpstr>&lt;zlight&gt;CABEXPORT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2024-05-03T13:19:41Z</dcterms:modified>
</cp:coreProperties>
</file>