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99AF822A-DA06-47ED-A405-997D0062426A}" xr6:coauthVersionLast="45" xr6:coauthVersionMax="45" xr10:uidLastSave="{00000000-0000-0000-0000-000000000000}"/>
  <bookViews>
    <workbookView xWindow="15375" yWindow="2685" windowWidth="25725" windowHeight="15630" tabRatio="676" firstSheet="6" activeTab="11" xr2:uid="{456AB35E-0355-4F16-B1D8-5CF582B696FE}"/>
  </bookViews>
  <sheets>
    <sheet name="&lt;workbook&gt;SET" sheetId="7" r:id="rId1"/>
    <sheet name="&lt;zall&gt;DEVSET" sheetId="16" r:id="rId2"/>
    <sheet name="&lt;zall&gt;DEVEXPORT" sheetId="11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2" l="1"/>
  <c r="A15" i="2" l="1"/>
  <c r="A16" i="2"/>
  <c r="A17" i="2"/>
  <c r="A18" i="2"/>
  <c r="A19" i="2"/>
  <c r="A20" i="2"/>
  <c r="A21" i="2"/>
  <c r="A22" i="2"/>
  <c r="A23" i="2"/>
  <c r="A9" i="2"/>
  <c r="A10" i="2"/>
  <c r="A11" i="2"/>
  <c r="A12" i="2"/>
  <c r="A13" i="2"/>
  <c r="A14" i="2"/>
  <c r="A8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A7" i="2"/>
  <c r="AS10" i="3" l="1"/>
  <c r="AR9" i="3"/>
  <c r="AD5" i="4" l="1"/>
  <c r="AC5" i="4"/>
  <c r="AB5" i="4"/>
  <c r="AN5" i="4"/>
  <c r="AM5" i="4"/>
  <c r="AL5" i="4"/>
  <c r="R5" i="4" l="1"/>
  <c r="S5" i="4"/>
  <c r="T5" i="4"/>
  <c r="U5" i="4"/>
  <c r="DY24" i="3" l="1"/>
  <c r="DD22" i="3" l="1"/>
  <c r="CZ22" i="3"/>
  <c r="CV22" i="3"/>
  <c r="H14" i="3" l="1"/>
  <c r="CZ24" i="3" l="1"/>
  <c r="BV24" i="3" l="1"/>
  <c r="CF24" i="3" s="1"/>
  <c r="CG24" i="3" s="1"/>
  <c r="U11" i="2"/>
  <c r="BZ24" i="3" s="1"/>
  <c r="CH24" i="3" s="1"/>
  <c r="T11" i="2"/>
  <c r="BY24" i="3" s="1"/>
  <c r="CI24" i="3"/>
  <c r="CA24" i="3" l="1"/>
  <c r="CD24" i="3"/>
  <c r="CE24" i="3"/>
  <c r="DF24" i="3" s="1"/>
  <c r="BX24" i="3"/>
  <c r="CJ24" i="3" s="1"/>
  <c r="CB24" i="3"/>
  <c r="CC24" i="3" s="1"/>
  <c r="R11" i="2"/>
  <c r="S11" i="2" s="1"/>
  <c r="Q11" i="2"/>
  <c r="D24" i="3"/>
  <c r="CL24" i="3" l="1"/>
  <c r="CO24" i="3" s="1"/>
  <c r="K24" i="3"/>
  <c r="J24" i="3"/>
  <c r="CK24" i="3" s="1"/>
  <c r="L24" i="3"/>
  <c r="H1" i="3" l="1"/>
  <c r="G1" i="3"/>
  <c r="F1" i="3"/>
  <c r="D1" i="3" l="1"/>
  <c r="H5" i="3"/>
  <c r="CT22" i="3" s="1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AJ24" i="3"/>
  <c r="DR24" i="3" s="1"/>
  <c r="E9" i="12"/>
  <c r="E7" i="12"/>
  <c r="E5" i="12"/>
  <c r="E3" i="12"/>
  <c r="E24" i="3" l="1"/>
  <c r="AX24" i="3" s="1"/>
  <c r="G24" i="3"/>
  <c r="AR24" i="3"/>
  <c r="AH24" i="3"/>
  <c r="F24" i="3"/>
  <c r="AY24" i="3" s="1"/>
  <c r="P5" i="11"/>
  <c r="Q5" i="11" s="1"/>
  <c r="O5" i="11"/>
  <c r="N5" i="11"/>
  <c r="J5" i="11"/>
  <c r="BF24" i="3" l="1"/>
  <c r="BC24" i="3"/>
  <c r="AI24" i="3"/>
  <c r="AO24" i="3"/>
  <c r="AM24" i="3"/>
  <c r="AL24" i="3"/>
  <c r="DZ24" i="3" s="1"/>
  <c r="AN24" i="3"/>
  <c r="BR24" i="3"/>
  <c r="BP24" i="3"/>
  <c r="BQ24" i="3"/>
  <c r="BK24" i="3"/>
  <c r="BI24" i="3"/>
  <c r="R5" i="11"/>
  <c r="U5" i="11"/>
  <c r="Z24" i="3"/>
  <c r="O24" i="3"/>
  <c r="BW24" i="3"/>
  <c r="S24" i="3" l="1"/>
  <c r="Q24" i="3"/>
  <c r="CT24" i="3" s="1"/>
  <c r="P24" i="3"/>
  <c r="AD8" i="6"/>
  <c r="S5" i="11"/>
  <c r="V5" i="11" s="1"/>
  <c r="X5" i="11" s="1"/>
  <c r="Y5" i="11" s="1"/>
  <c r="E8" i="6"/>
  <c r="BB24" i="3" l="1"/>
  <c r="DP24" i="3"/>
  <c r="BJ24" i="3"/>
  <c r="AP24" i="3"/>
  <c r="T5" i="11"/>
  <c r="W5" i="11" s="1"/>
  <c r="L5" i="5" l="1"/>
  <c r="N5" i="5" s="1"/>
  <c r="K5" i="5"/>
  <c r="J5" i="5"/>
  <c r="M5" i="5" l="1"/>
  <c r="V24" i="3" l="1"/>
  <c r="W24" i="3" l="1"/>
  <c r="DJ24" i="3" s="1"/>
  <c r="R24" i="3" l="1"/>
  <c r="DL24" i="3" s="1"/>
  <c r="X8" i="6"/>
  <c r="AC24" i="3" l="1"/>
  <c r="T5" i="3" s="1"/>
  <c r="CX22" i="3" s="1"/>
  <c r="U24" i="3"/>
  <c r="AF24" i="3" s="1"/>
  <c r="T24" i="3"/>
  <c r="DN24" i="3" s="1"/>
  <c r="H8" i="6"/>
  <c r="J8" i="6"/>
  <c r="Z8" i="6"/>
  <c r="T6" i="3" l="1"/>
  <c r="AB24" i="3"/>
  <c r="AE24" i="3" s="1"/>
  <c r="AG24" i="3"/>
  <c r="AB8" i="6"/>
  <c r="BO24" i="3"/>
  <c r="T15" i="3" l="1"/>
  <c r="DF22" i="3" s="1"/>
  <c r="T7" i="3"/>
  <c r="AZ24" i="3"/>
  <c r="BA24" i="3" s="1"/>
  <c r="BD24" i="3" s="1"/>
  <c r="DB22" i="3"/>
  <c r="E1" i="3"/>
  <c r="BU24" i="3"/>
  <c r="AS24" i="3"/>
  <c r="L8" i="6"/>
  <c r="T8" i="6"/>
  <c r="AW24" i="3"/>
  <c r="BS24" i="3"/>
  <c r="BT24" i="3"/>
  <c r="BE24" i="3"/>
  <c r="AV24" i="3"/>
  <c r="BH24" i="3" l="1"/>
  <c r="ER24" i="3"/>
  <c r="I24" i="3"/>
  <c r="EK24" i="3" s="1"/>
  <c r="EN24" i="3" s="1"/>
  <c r="BN24" i="3"/>
  <c r="V8" i="6"/>
  <c r="BM24" i="3"/>
  <c r="BL24" i="3"/>
  <c r="EL24" i="3" l="1"/>
  <c r="EM24" i="3"/>
  <c r="EI24" i="3"/>
  <c r="ES24" i="3"/>
  <c r="AQ24" i="3"/>
  <c r="AD24" i="3"/>
  <c r="AK24" i="3" l="1"/>
  <c r="M24" i="3" s="1"/>
  <c r="H24" i="3"/>
  <c r="EB24" i="3" s="1"/>
  <c r="EE24" i="3" s="1"/>
  <c r="DX24" i="3" l="1"/>
  <c r="EC24" i="3"/>
  <c r="ED24" i="3"/>
  <c r="EJ24" i="3"/>
  <c r="DD24" i="3"/>
  <c r="DH24" i="3" s="1"/>
  <c r="CV24" i="3"/>
  <c r="CX24" i="3" s="1"/>
  <c r="DB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V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W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X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Y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Z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A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B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CC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CD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CE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CF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CH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CI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J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K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L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B1C54C53-A790-43D2-A089-C5677B9DFBFA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Y23" authorId="0" shapeId="0" xr:uid="{DE206410-8E6D-46AF-A7B2-40A09C57B5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A23" authorId="0" shapeId="0" xr:uid="{8EDE95D7-1143-4F4B-A25E-5598F79D1B5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C23" authorId="0" shapeId="0" xr:uid="{55E5A11B-07C7-46F5-AD2B-FC925F03F880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<sst xmlns="http://schemas.openxmlformats.org/spreadsheetml/2006/main" count="785" uniqueCount="400">
  <si>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</si>
  <si>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</si>
  <si>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</si>
  <si>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</si>
  <si>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</si>
  <si>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</si>
  <si>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</si>
  <si>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</si>
  <si>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</si>
  <si>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</si>
  <si>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</si>
  <si>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</si>
  <si>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</si>
  <si>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</si>
  <si>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</si>
  <si>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</si>
  <si>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</si>
  <si>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</si>
  <si>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</si>
  <si>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</si>
  <si>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</si>
  <si>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</si>
  <si>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</si>
  <si>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</si>
  <si>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</si>
  <si>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</si>
  <si>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</si>
  <si>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</si>
  <si>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</si>
  <si>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</si>
  <si>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</si>
  <si>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</si>
  <si>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</si>
  <si>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</si>
  <si>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</si>
  <si>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</si>
  <si>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</si>
  <si>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</si>
  <si>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</si>
  <si>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</si>
  <si>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</si>
  <si>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</si>
  <si>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</si>
  <si>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</si>
  <si>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</si>
  <si>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</si>
  <si>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</si>
  <si>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</si>
  <si>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</si>
  <si>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</si>
  <si>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</si>
  <si>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</si>
  <si>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</si>
  <si>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</si>
  <si>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</si>
  <si>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</si>
  <si>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</si>
  <si>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</si>
  <si>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</si>
  <si>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</si>
  <si>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</si>
  <si>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</si>
  <si>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</si>
  <si>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</si>
  <si>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</si>
  <si>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</si>
  <si>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</si>
  <si>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</si>
  <si>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</si>
  <si>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</si>
  <si>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</si>
  <si>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</si>
  <si>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</si>
  <si>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</si>
  <si>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</si>
  <si>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</si>
  <si>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</si>
  <si>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</si>
  <si>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</si>
  <si>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</si>
  <si>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</si>
  <si>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</si>
  <si>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</si>
  <si>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</si>
  <si>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</si>
  <si>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</si>
  <si>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</si>
  <si>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</si>
  <si>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</si>
  <si>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</si>
  <si>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</si>
  <si>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</si>
  <si>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CABEXPORT</t>
  </si>
  <si>
    <t>&lt;workbook&gt;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</si>
  <si>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</si>
  <si>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</si>
  <si>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</si>
  <si>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</si>
  <si>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</si>
  <si>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</si>
  <si>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</si>
  <si>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</si>
  <si>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</si>
  <si>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</si>
  <si>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</si>
  <si>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</si>
  <si>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</si>
  <si>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</si>
  <si>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</si>
  <si>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</si>
  <si>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</si>
  <si>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</si>
  <si>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</si>
  <si>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</si>
  <si>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</si>
  <si>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</si>
  <si>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</si>
  <si>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</si>
  <si>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</si>
  <si>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</si>
  <si>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</si>
  <si>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</si>
  <si>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</si>
  <si>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</si>
  <si>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</si>
  <si>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</si>
  <si>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</si>
  <si>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</si>
  <si>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</si>
  <si>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</si>
  <si>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</si>
  <si>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</si>
  <si>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</si>
  <si>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</si>
  <si>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</si>
  <si>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</si>
  <si>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</si>
  <si>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</si>
  <si>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</si>
  <si>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</si>
  <si>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</si>
  <si>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</si>
  <si>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</si>
  <si>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</si>
  <si>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</si>
  <si>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</si>
  <si>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</si>
  <si>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</si>
  <si>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</si>
  <si>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</si>
  <si>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</si>
  <si>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</si>
  <si>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</si>
  <si>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</si>
  <si>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</si>
  <si>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</si>
  <si>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</si>
  <si>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</si>
  <si>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</si>
  <si>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</si>
  <si>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</si>
  <si>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</si>
  <si>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</si>
  <si>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</si>
  <si>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</si>
  <si>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</si>
  <si>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</si>
  <si>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</si>
  <si>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</si>
  <si>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</si>
  <si>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</si>
  <si>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</si>
  <si>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</si>
  <si>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</si>
  <si>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</si>
  <si>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</si>
  <si>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</si>
  <si>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</si>
  <si>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</si>
  <si>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</si>
  <si>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</si>
  <si>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</si>
  <si>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</si>
  <si>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</si>
  <si>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</si>
  <si>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</si>
  <si>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</si>
  <si>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</si>
  <si>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</si>
  <si>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</si>
  <si>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</si>
  <si>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</si>
  <si>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</si>
  <si>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</si>
  <si>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</si>
  <si>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</si>
  <si>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</si>
  <si>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</si>
  <si>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</si>
  <si>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</si>
  <si>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</si>
  <si>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</si>
  <si>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</si>
  <si>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</si>
  <si>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</si>
  <si>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</si>
  <si>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</si>
  <si>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</si>
  <si>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</si>
  <si>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</si>
  <si>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</si>
  <si>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</si>
  <si>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</si>
  <si>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</si>
  <si>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</si>
  <si>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</si>
  <si>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</si>
  <si>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</si>
  <si>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</si>
  <si>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</si>
  <si>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</si>
  <si>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</si>
  <si>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</si>
  <si>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</si>
  <si>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</si>
  <si>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</si>
  <si>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</si>
  <si>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</si>
  <si>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</si>
  <si>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</si>
  <si>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</si>
  <si>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</si>
  <si>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</si>
  <si>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</si>
  <si>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</si>
  <si>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</si>
  <si>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</si>
  <si>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</si>
  <si>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</si>
  <si>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</si>
  <si>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</si>
  <si>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</si>
  <si>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</si>
  <si>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</si>
  <si>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</si>
  <si>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</si>
  <si>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</si>
  <si>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</si>
  <si>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</si>
  <si>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</si>
  <si>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</si>
  <si>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</si>
  <si>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</si>
  <si>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</si>
  <si>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</si>
  <si>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</si>
  <si>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</si>
  <si>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</si>
  <si>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</si>
  <si>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</si>
  <si>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</si>
  <si>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</si>
  <si>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</si>
  <si>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</si>
  <si>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</si>
  <si>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</si>
  <si>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</si>
  <si>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</si>
  <si>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</si>
  <si>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</si>
  <si>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</si>
  <si>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</si>
  <si>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</si>
  <si>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</si>
  <si>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</si>
  <si>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</si>
  <si>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</si>
  <si>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</si>
  <si>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</si>
  <si>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</si>
  <si>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</si>
  <si>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</si>
  <si>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</si>
  <si>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</si>
  <si>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</si>
  <si>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</si>
  <si>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</si>
  <si>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</si>
  <si>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</si>
  <si>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</si>
  <si>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</si>
  <si>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</si>
  <si>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</si>
  <si>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</si>
  <si>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</si>
  <si>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</si>
  <si>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</si>
  <si>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</si>
  <si>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</si>
  <si>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</si>
  <si>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</si>
  <si>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</si>
  <si>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</si>
  <si>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</si>
  <si>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</si>
  <si>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</si>
  <si>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</si>
  <si>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</si>
  <si>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</si>
  <si>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</si>
  <si>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</si>
  <si>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</si>
  <si>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</si>
  <si>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</si>
  <si>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</si>
  <si>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</si>
  <si>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</si>
  <si>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</si>
  <si>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</si>
  <si>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</si>
  <si>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</si>
  <si>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</si>
  <si>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</si>
  <si>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</si>
  <si>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</si>
  <si>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</si>
  <si>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</si>
  <si>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</si>
  <si>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</si>
  <si>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</si>
  <si>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</si>
  <si>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</si>
  <si>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</si>
  <si>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</si>
  <si>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</si>
  <si>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</si>
  <si>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</si>
  <si>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</si>
  <si>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</si>
  <si>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</si>
  <si>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</si>
  <si>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</si>
  <si>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</si>
  <si>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</si>
  <si>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</si>
  <si>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</si>
  <si>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</si>
  <si>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</si>
  <si>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</si>
  <si>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</si>
  <si>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</si>
  <si>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</si>
  <si>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</si>
  <si>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</si>
  <si>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</si>
  <si>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</si>
  <si>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</si>
  <si>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</si>
  <si>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</si>
  <si>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</si>
  <si>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</si>
  <si>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</si>
  <si>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</si>
  <si>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</si>
  <si>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</si>
  <si>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</si>
  <si>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</si>
  <si>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</si>
  <si>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</si>
  <si>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</si>
  <si>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</si>
  <si>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</si>
  <si>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SLCABAGEN1_NGHeadDevice</t>
  </si>
  <si>
    <t>SLCABAGEN1_HeadDeviceName</t>
  </si>
  <si>
    <t>Ток данной группы</t>
  </si>
  <si>
    <t>Фаза (1,3)</t>
  </si>
  <si>
    <t>Расч ток на групп с уч коэфф</t>
  </si>
  <si>
    <t>Цветовые обозначения, применяемые в таблице:</t>
  </si>
  <si>
    <t>- основные исходные данные, вводимые вручную позьзователем</t>
  </si>
  <si>
    <t>- дополнительные исходные данные, имеющие ключевое значение</t>
  </si>
  <si>
    <t>- исходные данные, задаваемые ссылкой на другие ячейки</t>
  </si>
  <si>
    <t>- константы, не подлежащие изменению позьзователем</t>
  </si>
  <si>
    <t>- данные, введенные вручную в нарушение общего алгоритма</t>
  </si>
  <si>
    <t>- промежуточные результаты, вычисляемые автоматически</t>
  </si>
  <si>
    <t>- промежуточные результаты, имеющие ключевое значение</t>
  </si>
  <si>
    <t>- промежуточные результаты, зависящие от ссылок на другие ячейки</t>
  </si>
  <si>
    <t>- результаты, зависящие от диапазонов значений (требуют внимания)</t>
  </si>
  <si>
    <t>- данные, выводимые в протокол, вычисляемые автоматически</t>
  </si>
  <si>
    <t>- данные, выводимые в протокол, задаваемые вручную</t>
  </si>
  <si>
    <t>Принуд. уставка, А</t>
  </si>
  <si>
    <t>Руч уставка мин, А</t>
  </si>
  <si>
    <t>Расчет уставки по току, А</t>
  </si>
  <si>
    <t>Выбран. уставка, А</t>
  </si>
  <si>
    <t>ALL2</t>
  </si>
  <si>
    <t>&lt;zall&gt;DEVEXPORT</t>
  </si>
  <si>
    <t>&lt;zall&gt;DEVCOPY</t>
  </si>
  <si>
    <t>&lt;zall&gt;DEV</t>
  </si>
  <si>
    <t>&lt;zalldevimport&gt;</t>
  </si>
  <si>
    <t>&lt;/zalldevimport&gt;</t>
  </si>
  <si>
    <t>&lt;zcopyrow targetsheet="&lt;zlight&gt;DEVEXPORT" targetcodename="zimportdev" keynumcol="18"&gt;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</si>
</sst>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i/>
      <sz val="8"/>
      <name val="Arial Unicode MS"/>
      <family val="2"/>
      <charset val="204"/>
    </font>
    <font>
      <sz val="8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sz val="8"/>
      <name val="Arial Unicode MS"/>
      <family val="2"/>
      <charset val="204"/>
    </font>
    <font>
      <b/>
      <sz val="8"/>
      <color indexed="13"/>
      <name val="Arial Unicode MS"/>
      <family val="2"/>
      <charset val="204"/>
    </font>
    <font>
      <b/>
      <sz val="8"/>
      <color indexed="17"/>
      <name val="Arial Unicode MS"/>
      <family val="2"/>
      <charset val="204"/>
    </font>
    <font>
      <b/>
      <sz val="8"/>
      <color indexed="20"/>
      <name val="Arial Unicode MS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15" borderId="45" xfId="1" applyFont="1" applyFill="1" applyBorder="1" applyAlignment="1" applyProtection="1">
      <alignment horizontal="center" vertical="center" wrapText="1"/>
      <protection hidden="1"/>
    </xf>
    <xf numFmtId="0" fontId="4" fillId="15" borderId="53" xfId="1" applyFont="1" applyFill="1" applyBorder="1" applyAlignment="1" applyProtection="1">
      <alignment horizontal="center" vertical="center" wrapText="1"/>
      <protection hidden="1"/>
    </xf>
    <xf numFmtId="0" fontId="4" fillId="16" borderId="45" xfId="1" applyFont="1" applyFill="1" applyBorder="1" applyAlignment="1" applyProtection="1">
      <alignment horizontal="center" vertical="center" wrapText="1"/>
      <protection hidden="1"/>
    </xf>
    <xf numFmtId="49" fontId="17" fillId="0" borderId="0" xfId="0" applyNumberFormat="1" applyFont="1" applyAlignment="1" applyProtection="1">
      <alignment horizontal="left"/>
      <protection hidden="1"/>
    </xf>
    <xf numFmtId="0" fontId="18" fillId="0" borderId="0" xfId="0" applyFont="1" applyProtection="1">
      <protection hidden="1"/>
    </xf>
    <xf numFmtId="0" fontId="19" fillId="17" borderId="1" xfId="1" applyFont="1" applyFill="1" applyBorder="1" applyAlignment="1" applyProtection="1">
      <alignment horizontal="center"/>
      <protection hidden="1"/>
    </xf>
    <xf numFmtId="49" fontId="18" fillId="0" borderId="0" xfId="0" applyNumberFormat="1" applyFont="1" applyProtection="1">
      <protection hidden="1"/>
    </xf>
    <xf numFmtId="0" fontId="20" fillId="17" borderId="1" xfId="1" applyFont="1" applyFill="1" applyBorder="1" applyAlignment="1" applyProtection="1">
      <alignment horizontal="center"/>
      <protection hidden="1"/>
    </xf>
    <xf numFmtId="0" fontId="21" fillId="17" borderId="1" xfId="1" applyFont="1" applyFill="1" applyBorder="1" applyAlignment="1" applyProtection="1">
      <alignment horizontal="center"/>
      <protection hidden="1"/>
    </xf>
    <xf numFmtId="0" fontId="22" fillId="18" borderId="1" xfId="0" applyFont="1" applyFill="1" applyBorder="1" applyAlignment="1" applyProtection="1">
      <alignment horizontal="center" vertical="center"/>
      <protection hidden="1"/>
    </xf>
    <xf numFmtId="0" fontId="23" fillId="19" borderId="1" xfId="1" applyFont="1" applyFill="1" applyBorder="1" applyAlignment="1" applyProtection="1">
      <alignment horizontal="center" vertical="center"/>
      <protection hidden="1"/>
    </xf>
    <xf numFmtId="0" fontId="22" fillId="20" borderId="1" xfId="1" applyFont="1" applyFill="1" applyBorder="1" applyAlignment="1" applyProtection="1">
      <alignment horizontal="center" vertical="center"/>
      <protection hidden="1"/>
    </xf>
    <xf numFmtId="0" fontId="19" fillId="20" borderId="1" xfId="1" applyFont="1" applyFill="1" applyBorder="1" applyAlignment="1" applyProtection="1">
      <alignment horizontal="center" vertical="center"/>
      <protection hidden="1"/>
    </xf>
    <xf numFmtId="165" fontId="24" fillId="21" borderId="1" xfId="1" applyNumberFormat="1" applyFont="1" applyFill="1" applyBorder="1" applyAlignment="1" applyProtection="1">
      <alignment horizontal="center"/>
      <protection hidden="1"/>
    </xf>
    <xf numFmtId="2" fontId="22" fillId="21" borderId="1" xfId="1" applyNumberFormat="1" applyFont="1" applyFill="1" applyBorder="1" applyAlignment="1" applyProtection="1">
      <alignment horizontal="center"/>
      <protection hidden="1"/>
    </xf>
    <xf numFmtId="2" fontId="21" fillId="21" borderId="1" xfId="1" applyNumberFormat="1" applyFont="1" applyFill="1" applyBorder="1" applyAlignment="1" applyProtection="1">
      <alignment horizontal="center"/>
      <protection hidden="1"/>
    </xf>
    <xf numFmtId="2" fontId="25" fillId="21" borderId="1" xfId="1" applyNumberFormat="1" applyFont="1" applyFill="1" applyBorder="1" applyAlignment="1" applyProtection="1">
      <alignment horizontal="center"/>
      <protection hidden="1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11" borderId="1" xfId="0" applyFill="1" applyBorder="1" applyAlignment="1">
      <alignment horizont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sheetPr codeName="Лист2"/>
  <dimension ref="A1:B6"/>
  <sheetViews>
    <sheetView workbookViewId="0">
      <selection activeCell="D4" sqref="D4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87</v>
      </c>
      <c r="B1" t="s">
        <v>393</v>
      </c>
    </row>
    <row r="2" spans="1:2" x14ac:dyDescent="0.25">
      <c r="A2" t="s">
        <v>88</v>
      </c>
      <c r="B2" t="s">
        <v>1</v>
      </c>
    </row>
    <row r="3" spans="1:2" x14ac:dyDescent="0.25">
      <c r="A3" t="s">
        <v>88</v>
      </c>
      <c r="B3" t="s">
        <v>94</v>
      </c>
    </row>
    <row r="4" spans="1:2" ht="15.75" customHeight="1" x14ac:dyDescent="0.25">
      <c r="A4" t="s">
        <v>88</v>
      </c>
      <c r="B4" t="s">
        <v>91</v>
      </c>
    </row>
    <row r="5" spans="1:2" ht="15.75" customHeight="1" x14ac:dyDescent="0.25">
      <c r="A5" t="s">
        <v>88</v>
      </c>
      <c r="B5" t="s">
        <v>93</v>
      </c>
    </row>
    <row r="6" spans="1:2" x14ac:dyDescent="0.25">
      <c r="A6" t="s">
        <v>88</v>
      </c>
      <c r="B6" t="s">
        <v>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2"/>
  <sheetViews>
    <sheetView workbookViewId="0">
      <selection activeCell="H31" sqref="H31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sheetPr codeName="Лист12"/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60</v>
      </c>
      <c r="E4" t="s">
        <v>61</v>
      </c>
      <c r="F4" t="s">
        <v>62</v>
      </c>
    </row>
    <row r="5" spans="2:38" ht="17.25" customHeight="1" x14ac:dyDescent="0.25">
      <c r="E5">
        <v>0</v>
      </c>
    </row>
    <row r="6" spans="2:38" ht="17.25" customHeight="1" x14ac:dyDescent="0.25">
      <c r="C6" t="s">
        <v>59</v>
      </c>
      <c r="D6" t="s">
        <v>65</v>
      </c>
      <c r="E6">
        <v>0</v>
      </c>
      <c r="F6">
        <v>0</v>
      </c>
      <c r="AK6" t="s">
        <v>58</v>
      </c>
    </row>
    <row r="7" spans="2:38" x14ac:dyDescent="0.25">
      <c r="C7" t="s">
        <v>59</v>
      </c>
      <c r="D7" t="s">
        <v>64</v>
      </c>
      <c r="E7">
        <v>60</v>
      </c>
      <c r="F7">
        <v>0</v>
      </c>
      <c r="AK7" t="s">
        <v>58</v>
      </c>
    </row>
    <row r="8" spans="2:38" x14ac:dyDescent="0.25">
      <c r="B8" t="s">
        <v>57</v>
      </c>
      <c r="C8" t="s">
        <v>59</v>
      </c>
      <c r="D8" t="s">
        <v>63</v>
      </c>
      <c r="E8">
        <f>E7+25</f>
        <v>85</v>
      </c>
      <c r="F8">
        <v>0</v>
      </c>
      <c r="G8" s="1" t="s">
        <v>66</v>
      </c>
      <c r="H8" s="1" t="e">
        <f>'&lt;zlight&gt;'!#REF!&amp;'&lt;zlight&gt;'!D24</f>
        <v>#REF!</v>
      </c>
      <c r="I8" s="1" t="s">
        <v>67</v>
      </c>
      <c r="J8" s="1" t="e">
        <f>'&lt;zlight&gt;'!#REF!</f>
        <v>#REF!</v>
      </c>
      <c r="K8" s="1" t="s">
        <v>68</v>
      </c>
      <c r="L8" s="1" t="e">
        <f>'&lt;zlight&gt;'!#REF!</f>
        <v>#REF!</v>
      </c>
      <c r="M8" s="1" t="s">
        <v>69</v>
      </c>
      <c r="N8" s="1"/>
      <c r="O8" s="1" t="s">
        <v>70</v>
      </c>
      <c r="P8" s="1"/>
      <c r="Q8" s="1" t="s">
        <v>71</v>
      </c>
      <c r="S8" t="s">
        <v>74</v>
      </c>
      <c r="T8" s="1" t="str">
        <f>'&lt;zlight&gt;'!AJ24</f>
        <v>SLCABAGEN1_HeadDeviceName.SLCABAGEN1_NGHeadDevice</v>
      </c>
      <c r="U8" t="s">
        <v>73</v>
      </c>
      <c r="V8" s="1" t="e">
        <f>'&lt;zlight&gt;'!AL24</f>
        <v>#REF!</v>
      </c>
      <c r="W8" t="s">
        <v>75</v>
      </c>
      <c r="X8" s="1" t="str">
        <f>'&lt;zlight&gt;'!O24&amp;" ("&amp;'&lt;zlight&gt;'!W24&amp;" шт.)"</f>
        <v>NMO_BaseName (1 шт.)</v>
      </c>
      <c r="Y8" s="1" t="s">
        <v>76</v>
      </c>
      <c r="Z8" s="1" t="e">
        <f ca="1">'&lt;zlight&gt;'!R24</f>
        <v>#VALUE!</v>
      </c>
      <c r="AA8" s="1" t="s">
        <v>77</v>
      </c>
      <c r="AB8" s="1" t="e">
        <f ca="1">'&lt;zlight&gt;'!T24</f>
        <v>#VALUE!</v>
      </c>
      <c r="AC8" s="1" t="s">
        <v>80</v>
      </c>
      <c r="AD8" s="1" t="str">
        <f>'&lt;zlight&gt;'!Z24</f>
        <v>realnamedev</v>
      </c>
      <c r="AE8" s="1" t="s">
        <v>82</v>
      </c>
      <c r="AF8" s="1" t="s">
        <v>83</v>
      </c>
      <c r="AG8" s="1" t="s">
        <v>81</v>
      </c>
      <c r="AH8" s="1" t="s">
        <v>84</v>
      </c>
      <c r="AI8" s="1" t="s">
        <v>85</v>
      </c>
      <c r="AJ8" s="1" t="s">
        <v>86</v>
      </c>
      <c r="AK8" t="s">
        <v>58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sheetPr codeName="Лист13"/>
  <dimension ref="C1:ET24"/>
  <sheetViews>
    <sheetView tabSelected="1" topLeftCell="A7" workbookViewId="0">
      <selection activeCell="I18" sqref="I18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9" width="8.28515625" customWidth="1"/>
    <col min="60" max="61" width="7.7109375" customWidth="1"/>
    <col min="62" max="65" width="8.85546875" customWidth="1"/>
    <col min="66" max="73" width="10.42578125" customWidth="1"/>
    <col min="74" max="85" width="3.7109375" customWidth="1"/>
    <col min="86" max="90" width="4.7109375" customWidth="1"/>
    <col min="91" max="91" width="10.42578125" customWidth="1"/>
    <col min="92" max="92" width="28" customWidth="1"/>
    <col min="93" max="98" width="10.42578125" customWidth="1"/>
    <col min="99" max="99" width="25" customWidth="1"/>
    <col min="100" max="117" width="10.42578125" customWidth="1"/>
  </cols>
  <sheetData>
    <row r="1" spans="4:45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2" spans="4:45" x14ac:dyDescent="0.25">
      <c r="AD2" s="109" t="s">
        <v>377</v>
      </c>
      <c r="AE2" s="110"/>
    </row>
    <row r="3" spans="4:45" x14ac:dyDescent="0.25">
      <c r="AD3" s="111">
        <v>1234</v>
      </c>
      <c r="AE3" s="112" t="s">
        <v>378</v>
      </c>
    </row>
    <row r="4" spans="4:45" x14ac:dyDescent="0.25">
      <c r="D4" s="168" t="s">
        <v>280</v>
      </c>
      <c r="E4" s="168"/>
      <c r="F4" s="168"/>
      <c r="G4" s="168"/>
      <c r="H4" s="168"/>
      <c r="I4" s="84" t="s">
        <v>281</v>
      </c>
      <c r="O4" s="84"/>
      <c r="P4" s="168" t="s">
        <v>282</v>
      </c>
      <c r="Q4" s="168"/>
      <c r="R4" s="168"/>
      <c r="S4" s="168"/>
      <c r="T4" s="168"/>
      <c r="U4" s="168"/>
      <c r="AD4" s="113">
        <v>1234</v>
      </c>
      <c r="AE4" s="112" t="s">
        <v>379</v>
      </c>
    </row>
    <row r="5" spans="4:45" x14ac:dyDescent="0.25">
      <c r="D5" s="162" t="s">
        <v>283</v>
      </c>
      <c r="E5" s="162"/>
      <c r="F5" s="162"/>
      <c r="G5" s="162"/>
      <c r="H5" s="78" t="str">
        <f>'&lt;zlight&gt;'!F18</f>
        <v>NMO_Name</v>
      </c>
      <c r="I5" s="82" t="s">
        <v>284</v>
      </c>
      <c r="O5" s="82" t="s">
        <v>285</v>
      </c>
      <c r="P5" s="163" t="s">
        <v>286</v>
      </c>
      <c r="Q5" s="163"/>
      <c r="R5" s="163"/>
      <c r="S5" s="163"/>
      <c r="T5" s="163" t="e">
        <f ca="1">SUM($AC$24:$AC$12000)</f>
        <v>#VALUE!</v>
      </c>
      <c r="U5" s="163"/>
      <c r="AD5" s="114">
        <v>1234</v>
      </c>
      <c r="AE5" s="112" t="s">
        <v>380</v>
      </c>
    </row>
    <row r="6" spans="4:45" x14ac:dyDescent="0.25">
      <c r="D6" s="162" t="s">
        <v>287</v>
      </c>
      <c r="E6" s="162"/>
      <c r="F6" s="162"/>
      <c r="G6" s="162"/>
      <c r="H6" s="79" t="s">
        <v>288</v>
      </c>
      <c r="I6" s="82" t="s">
        <v>289</v>
      </c>
      <c r="O6" s="82">
        <v>63</v>
      </c>
      <c r="P6" s="163" t="s">
        <v>290</v>
      </c>
      <c r="Q6" s="163"/>
      <c r="R6" s="163"/>
      <c r="S6" s="163"/>
      <c r="T6" s="163" t="e">
        <f ca="1">T5*T11</f>
        <v>#VALUE!</v>
      </c>
      <c r="U6" s="163"/>
      <c r="AD6" s="115">
        <v>380</v>
      </c>
      <c r="AE6" s="112" t="s">
        <v>381</v>
      </c>
    </row>
    <row r="7" spans="4:45" x14ac:dyDescent="0.25">
      <c r="D7" s="162" t="s">
        <v>291</v>
      </c>
      <c r="E7" s="162"/>
      <c r="F7" s="162"/>
      <c r="G7" s="162"/>
      <c r="H7" s="79">
        <v>45399</v>
      </c>
      <c r="I7" s="82" t="s">
        <v>292</v>
      </c>
      <c r="O7" s="82">
        <v>32</v>
      </c>
      <c r="P7" s="163" t="s">
        <v>293</v>
      </c>
      <c r="Q7" s="163"/>
      <c r="R7" s="163"/>
      <c r="S7" s="163"/>
      <c r="T7" s="163" t="e">
        <f ca="1">ROUNDUP((T6*1000)/(VLOOKUP(H11,BD!$B$4:$C$5,2,FALSE)*T8),2)</f>
        <v>#VALUE!</v>
      </c>
      <c r="U7" s="163"/>
      <c r="AD7" s="116">
        <v>123.4</v>
      </c>
      <c r="AE7" s="112" t="s">
        <v>382</v>
      </c>
    </row>
    <row r="8" spans="4:45" ht="15" customHeight="1" x14ac:dyDescent="0.25">
      <c r="D8" s="162" t="s">
        <v>294</v>
      </c>
      <c r="E8" s="162"/>
      <c r="F8" s="162"/>
      <c r="G8" s="162"/>
      <c r="H8" s="79" t="s">
        <v>295</v>
      </c>
      <c r="I8" s="82" t="s">
        <v>296</v>
      </c>
      <c r="O8" s="82">
        <v>6</v>
      </c>
      <c r="P8" s="165" t="s">
        <v>316</v>
      </c>
      <c r="Q8" s="166"/>
      <c r="R8" s="166"/>
      <c r="S8" s="167"/>
      <c r="T8" s="164">
        <v>0.92</v>
      </c>
      <c r="U8" s="164"/>
      <c r="AD8" s="120">
        <v>123</v>
      </c>
      <c r="AE8" s="112" t="s">
        <v>383</v>
      </c>
    </row>
    <row r="9" spans="4:45" x14ac:dyDescent="0.25">
      <c r="D9" s="162" t="s">
        <v>298</v>
      </c>
      <c r="E9" s="162"/>
      <c r="F9" s="162"/>
      <c r="G9" s="162"/>
      <c r="H9" s="79" t="s">
        <v>299</v>
      </c>
      <c r="I9" s="82" t="s">
        <v>300</v>
      </c>
      <c r="O9" s="82" t="s">
        <v>301</v>
      </c>
      <c r="P9" s="169" t="s">
        <v>297</v>
      </c>
      <c r="Q9" s="169"/>
      <c r="R9" s="169"/>
      <c r="S9" s="169"/>
      <c r="T9" s="164"/>
      <c r="U9" s="164"/>
      <c r="AD9" s="119">
        <v>123</v>
      </c>
      <c r="AE9" s="112" t="s">
        <v>384</v>
      </c>
      <c r="AR9">
        <f>30/4</f>
        <v>7.5</v>
      </c>
    </row>
    <row r="10" spans="4:45" x14ac:dyDescent="0.25">
      <c r="D10" s="162" t="s">
        <v>302</v>
      </c>
      <c r="E10" s="162"/>
      <c r="F10" s="162"/>
      <c r="G10" s="162"/>
      <c r="I10" s="82" t="s">
        <v>303</v>
      </c>
      <c r="O10" s="82">
        <v>4</v>
      </c>
      <c r="P10" s="169"/>
      <c r="Q10" s="169"/>
      <c r="R10" s="169"/>
      <c r="S10" s="169"/>
      <c r="T10" s="164"/>
      <c r="U10" s="164"/>
      <c r="AD10" s="121">
        <v>123</v>
      </c>
      <c r="AE10" s="112" t="s">
        <v>385</v>
      </c>
      <c r="AS10">
        <f>AR9*100</f>
        <v>750</v>
      </c>
    </row>
    <row r="11" spans="4:45" x14ac:dyDescent="0.25">
      <c r="D11" s="162" t="s">
        <v>318</v>
      </c>
      <c r="E11" s="162"/>
      <c r="F11" s="162"/>
      <c r="G11" s="162"/>
      <c r="H11" s="79">
        <v>380</v>
      </c>
      <c r="I11" s="82" t="s">
        <v>305</v>
      </c>
      <c r="O11" s="82" t="s">
        <v>306</v>
      </c>
      <c r="P11" s="171" t="s">
        <v>307</v>
      </c>
      <c r="Q11" s="172"/>
      <c r="R11" s="172"/>
      <c r="S11" s="173"/>
      <c r="T11" s="171">
        <v>0.65</v>
      </c>
      <c r="U11" s="173"/>
      <c r="AD11" s="122">
        <v>123</v>
      </c>
      <c r="AE11" s="112" t="s">
        <v>386</v>
      </c>
    </row>
    <row r="12" spans="4:45" x14ac:dyDescent="0.25">
      <c r="D12" s="162" t="s">
        <v>304</v>
      </c>
      <c r="E12" s="162"/>
      <c r="F12" s="162"/>
      <c r="G12" s="162"/>
      <c r="H12" s="79" t="s">
        <v>317</v>
      </c>
      <c r="I12" s="82" t="s">
        <v>217</v>
      </c>
      <c r="O12" s="82" t="s">
        <v>310</v>
      </c>
      <c r="P12" s="170" t="s">
        <v>311</v>
      </c>
      <c r="Q12" s="170"/>
      <c r="R12" s="170"/>
      <c r="S12" s="170"/>
      <c r="T12" s="170">
        <v>44.5</v>
      </c>
      <c r="U12" s="170"/>
      <c r="AD12" s="117">
        <v>123.4</v>
      </c>
      <c r="AE12" s="112" t="s">
        <v>387</v>
      </c>
    </row>
    <row r="13" spans="4:45" ht="15" customHeight="1" x14ac:dyDescent="0.25">
      <c r="D13" s="162" t="s">
        <v>308</v>
      </c>
      <c r="E13" s="162"/>
      <c r="F13" s="162"/>
      <c r="G13" s="162"/>
      <c r="H13" s="79" t="s">
        <v>309</v>
      </c>
      <c r="I13" s="83"/>
      <c r="O13" s="83"/>
      <c r="P13" s="170" t="s">
        <v>313</v>
      </c>
      <c r="Q13" s="170"/>
      <c r="R13" s="170"/>
      <c r="S13" s="170"/>
      <c r="T13" s="170">
        <v>44.5</v>
      </c>
      <c r="U13" s="170"/>
      <c r="AC13" s="52"/>
      <c r="AD13" s="118">
        <v>123.4</v>
      </c>
      <c r="AE13" s="112" t="s">
        <v>388</v>
      </c>
    </row>
    <row r="14" spans="4:45" x14ac:dyDescent="0.25">
      <c r="D14" s="162" t="s">
        <v>312</v>
      </c>
      <c r="E14" s="162"/>
      <c r="F14" s="162"/>
      <c r="G14" s="162"/>
      <c r="H14" s="80" t="str">
        <f>'&lt;zlight&gt;'!G18&amp;"."&amp;'&lt;zlight&gt;'!H18</f>
        <v>GC_HeadDevice.GC_HDGroup</v>
      </c>
      <c r="I14" s="83"/>
      <c r="O14" s="83"/>
      <c r="P14" s="170" t="s">
        <v>315</v>
      </c>
      <c r="Q14" s="170"/>
      <c r="R14" s="170"/>
      <c r="S14" s="170"/>
      <c r="T14" s="170">
        <v>44.5</v>
      </c>
      <c r="U14" s="170"/>
    </row>
    <row r="15" spans="4:45" x14ac:dyDescent="0.25">
      <c r="D15" s="162" t="s">
        <v>314</v>
      </c>
      <c r="E15" s="162"/>
      <c r="F15" s="162"/>
      <c r="G15" s="162"/>
      <c r="H15" s="79">
        <v>77</v>
      </c>
      <c r="O15" s="102"/>
      <c r="P15" s="176" t="s">
        <v>351</v>
      </c>
      <c r="Q15" s="176"/>
      <c r="R15" s="176"/>
      <c r="S15" s="176"/>
      <c r="T15" s="176" t="e">
        <f ca="1">ROUNDUP((T6*1000)/(VLOOKUP(H11,BD!$B$4:$C$5,2,FALSE)*T8),2)</f>
        <v>#VALUE!</v>
      </c>
      <c r="U15" s="176"/>
    </row>
    <row r="18" spans="3:150" x14ac:dyDescent="0.25">
      <c r="D18" s="1" t="s">
        <v>95</v>
      </c>
      <c r="E18" s="1" t="s">
        <v>78</v>
      </c>
      <c r="F18" s="1" t="s">
        <v>9</v>
      </c>
      <c r="G18" s="1" t="s">
        <v>5</v>
      </c>
      <c r="H18" s="1" t="s">
        <v>6</v>
      </c>
      <c r="I18" s="1" t="s">
        <v>96</v>
      </c>
      <c r="BV18" s="1"/>
      <c r="BY18" s="1"/>
    </row>
    <row r="20" spans="3:150" x14ac:dyDescent="0.25">
      <c r="CN20" s="77" t="s">
        <v>269</v>
      </c>
      <c r="CO20" s="77" t="s">
        <v>270</v>
      </c>
      <c r="CP20" s="77" t="s">
        <v>271</v>
      </c>
      <c r="CQ20" s="77" t="s">
        <v>272</v>
      </c>
      <c r="CR20" s="77" t="s">
        <v>273</v>
      </c>
    </row>
    <row r="21" spans="3:150" ht="15.75" thickBot="1" x14ac:dyDescent="0.3">
      <c r="BV21" s="11"/>
      <c r="BW21" s="11"/>
      <c r="BX21" s="96"/>
      <c r="BY21" s="11"/>
      <c r="BZ21" s="11"/>
      <c r="CA21" s="11"/>
      <c r="CB21" s="98"/>
      <c r="CC21" s="11"/>
      <c r="CD21" s="79"/>
      <c r="CE21" s="79"/>
      <c r="CF21" s="174"/>
      <c r="CG21" s="175"/>
      <c r="CH21" s="99"/>
      <c r="CI21" s="99"/>
      <c r="CJ21" s="99"/>
      <c r="CK21" s="93"/>
      <c r="CL21" s="94"/>
      <c r="CM21" t="s">
        <v>59</v>
      </c>
      <c r="CN21" s="1" t="s">
        <v>328</v>
      </c>
      <c r="CO21" s="1">
        <v>0</v>
      </c>
      <c r="CP21" s="1">
        <v>0</v>
      </c>
      <c r="CQ21" s="1">
        <v>1</v>
      </c>
      <c r="CR21" s="1">
        <v>1</v>
      </c>
      <c r="EA21" t="s">
        <v>58</v>
      </c>
    </row>
    <row r="22" spans="3:150" ht="15.75" customHeight="1" thickBot="1" x14ac:dyDescent="0.3">
      <c r="D22" s="156" t="s">
        <v>108</v>
      </c>
      <c r="E22" s="160" t="s">
        <v>186</v>
      </c>
      <c r="F22" s="140" t="s">
        <v>187</v>
      </c>
      <c r="G22" s="160" t="s">
        <v>188</v>
      </c>
      <c r="H22" s="140" t="s">
        <v>189</v>
      </c>
      <c r="I22" s="140" t="s">
        <v>190</v>
      </c>
      <c r="J22" s="142" t="s">
        <v>322</v>
      </c>
      <c r="K22" s="142"/>
      <c r="L22" s="142"/>
      <c r="M22" s="143" t="s">
        <v>327</v>
      </c>
      <c r="O22" s="158" t="s">
        <v>123</v>
      </c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47" t="s">
        <v>49</v>
      </c>
      <c r="AB22" s="148"/>
      <c r="AC22" s="148"/>
      <c r="AD22" s="148"/>
      <c r="AE22" s="148"/>
      <c r="AF22" s="148"/>
      <c r="AG22" s="148"/>
      <c r="AH22" s="148"/>
      <c r="AI22" s="149"/>
      <c r="AJ22" s="150" t="s">
        <v>129</v>
      </c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2"/>
      <c r="AX22" s="147" t="s">
        <v>218</v>
      </c>
      <c r="AY22" s="148"/>
      <c r="AZ22" s="148"/>
      <c r="BA22" s="148"/>
      <c r="BB22" s="148"/>
      <c r="BC22" s="148"/>
      <c r="BD22" s="148"/>
      <c r="BE22" s="148"/>
      <c r="BF22" s="148"/>
      <c r="BG22" s="148"/>
      <c r="BH22" s="148"/>
      <c r="BI22" s="148"/>
      <c r="BJ22" s="148"/>
      <c r="BK22" s="148"/>
      <c r="BL22" s="148"/>
      <c r="BM22" s="148"/>
      <c r="BN22" s="149"/>
      <c r="BO22" s="153" t="s">
        <v>226</v>
      </c>
      <c r="BP22" s="154"/>
      <c r="BQ22" s="154"/>
      <c r="BR22" s="154"/>
      <c r="BS22" s="154"/>
      <c r="BT22" s="154"/>
      <c r="BU22" s="155"/>
      <c r="BV22" s="145" t="s">
        <v>122</v>
      </c>
      <c r="BW22" s="146"/>
      <c r="BX22" s="146"/>
      <c r="BY22" s="146"/>
      <c r="BZ22" s="146"/>
      <c r="CA22" s="146"/>
      <c r="CB22" s="146"/>
      <c r="CC22" s="146"/>
      <c r="CD22" s="146"/>
      <c r="CE22" s="146"/>
      <c r="CF22" s="146"/>
      <c r="CG22" s="146"/>
      <c r="CH22" s="89"/>
      <c r="CI22" s="91"/>
      <c r="CJ22" s="95"/>
      <c r="CK22" s="95"/>
      <c r="CL22" s="95"/>
      <c r="CM22" t="s">
        <v>59</v>
      </c>
      <c r="CN22" s="1" t="s">
        <v>329</v>
      </c>
      <c r="CO22" s="1">
        <v>60</v>
      </c>
      <c r="CP22" s="1">
        <v>0</v>
      </c>
      <c r="CQ22" s="1">
        <v>1</v>
      </c>
      <c r="CR22" s="1">
        <v>1</v>
      </c>
      <c r="CS22" t="s">
        <v>344</v>
      </c>
      <c r="CT22" t="str">
        <f>H5</f>
        <v>NMO_Name</v>
      </c>
      <c r="CU22" t="s">
        <v>345</v>
      </c>
      <c r="CV22" t="str">
        <f>H6</f>
        <v>ЩРН-12</v>
      </c>
      <c r="CW22" t="s">
        <v>346</v>
      </c>
      <c r="CX22" t="e">
        <f ca="1">"Установленная полная мощность, Ру = "&amp;T5&amp;"кВт"</f>
        <v>#VALUE!</v>
      </c>
      <c r="CY22" t="s">
        <v>347</v>
      </c>
      <c r="CZ22" t="str">
        <f>"Коэффициент спроса, Кс = "&amp;T11</f>
        <v>Коэффициент спроса, Кс = 0,65</v>
      </c>
      <c r="DA22" t="s">
        <v>348</v>
      </c>
      <c r="DB22" t="e">
        <f ca="1">"Расчетная мощность, Рр = "&amp;T6</f>
        <v>#VALUE!</v>
      </c>
      <c r="DC22" t="s">
        <v>349</v>
      </c>
      <c r="DD22" t="str">
        <f>"Коэффициент мощности, cosf = "&amp;T8</f>
        <v>Коэффициент мощности, cosf = 0,92</v>
      </c>
      <c r="DE22" t="s">
        <v>350</v>
      </c>
      <c r="DF22" t="e">
        <f ca="1">"Расчетный ток, Iр = "&amp;T15&amp;"А"</f>
        <v>#VALUE!</v>
      </c>
      <c r="EA22" t="s">
        <v>58</v>
      </c>
    </row>
    <row r="23" spans="3:150" ht="45.75" thickBot="1" x14ac:dyDescent="0.3">
      <c r="D23" s="157"/>
      <c r="E23" s="161"/>
      <c r="F23" s="141"/>
      <c r="G23" s="161"/>
      <c r="H23" s="141"/>
      <c r="I23" s="141"/>
      <c r="J23" s="85" t="s">
        <v>323</v>
      </c>
      <c r="K23" s="85" t="s">
        <v>324</v>
      </c>
      <c r="L23" s="85" t="s">
        <v>325</v>
      </c>
      <c r="M23" s="144"/>
      <c r="O23" s="56" t="s">
        <v>121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128</v>
      </c>
      <c r="Z23" s="62" t="s">
        <v>109</v>
      </c>
      <c r="AA23" s="63" t="s">
        <v>119</v>
      </c>
      <c r="AB23" s="69" t="s">
        <v>118</v>
      </c>
      <c r="AC23" s="63" t="s">
        <v>120</v>
      </c>
      <c r="AD23" s="63" t="s">
        <v>139</v>
      </c>
      <c r="AE23" s="63" t="s">
        <v>46</v>
      </c>
      <c r="AF23" s="63" t="s">
        <v>44</v>
      </c>
      <c r="AG23" s="63" t="s">
        <v>45</v>
      </c>
      <c r="AH23" s="73" t="s">
        <v>181</v>
      </c>
      <c r="AI23" s="70" t="s">
        <v>140</v>
      </c>
      <c r="AJ23" s="63" t="s">
        <v>130</v>
      </c>
      <c r="AK23" s="63" t="s">
        <v>134</v>
      </c>
      <c r="AL23" s="63" t="s">
        <v>56</v>
      </c>
      <c r="AM23" s="63" t="s">
        <v>131</v>
      </c>
      <c r="AN23" s="63" t="s">
        <v>136</v>
      </c>
      <c r="AO23" s="63" t="s">
        <v>137</v>
      </c>
      <c r="AP23" s="63" t="s">
        <v>132</v>
      </c>
      <c r="AQ23" s="63" t="s">
        <v>135</v>
      </c>
      <c r="AR23" s="63" t="s">
        <v>133</v>
      </c>
      <c r="AS23" s="63" t="s">
        <v>141</v>
      </c>
      <c r="AT23" s="63" t="s">
        <v>177</v>
      </c>
      <c r="AU23" s="63" t="s">
        <v>176</v>
      </c>
      <c r="AV23" s="63" t="s">
        <v>179</v>
      </c>
      <c r="AW23" s="63" t="s">
        <v>178</v>
      </c>
      <c r="AX23" s="106" t="s">
        <v>186</v>
      </c>
      <c r="AY23" s="106" t="s">
        <v>187</v>
      </c>
      <c r="AZ23" s="107" t="s">
        <v>374</v>
      </c>
      <c r="BA23" s="63" t="s">
        <v>326</v>
      </c>
      <c r="BB23" s="107" t="s">
        <v>375</v>
      </c>
      <c r="BC23" s="108" t="s">
        <v>181</v>
      </c>
      <c r="BD23" s="73" t="s">
        <v>376</v>
      </c>
      <c r="BE23" s="73" t="s">
        <v>391</v>
      </c>
      <c r="BF23" s="73" t="s">
        <v>390</v>
      </c>
      <c r="BG23" s="73" t="s">
        <v>389</v>
      </c>
      <c r="BH23" s="63" t="s">
        <v>392</v>
      </c>
      <c r="BI23" s="73" t="s">
        <v>180</v>
      </c>
      <c r="BJ23" s="73" t="s">
        <v>183</v>
      </c>
      <c r="BK23" s="73" t="s">
        <v>220</v>
      </c>
      <c r="BL23" s="63" t="s">
        <v>217</v>
      </c>
      <c r="BM23" s="73" t="s">
        <v>216</v>
      </c>
      <c r="BN23" s="70" t="s">
        <v>219</v>
      </c>
      <c r="BO23" s="76" t="s">
        <v>221</v>
      </c>
      <c r="BP23" s="76" t="s">
        <v>180</v>
      </c>
      <c r="BQ23" s="76" t="s">
        <v>183</v>
      </c>
      <c r="BR23" s="76" t="s">
        <v>220</v>
      </c>
      <c r="BS23" s="76" t="s">
        <v>217</v>
      </c>
      <c r="BT23" s="76" t="s">
        <v>216</v>
      </c>
      <c r="BU23" s="76" t="s">
        <v>219</v>
      </c>
      <c r="BV23" s="145"/>
      <c r="BW23" s="146"/>
      <c r="BX23" s="146"/>
      <c r="BY23" s="146"/>
      <c r="BZ23" s="146"/>
      <c r="CA23" s="146"/>
      <c r="CB23" s="146"/>
      <c r="CC23" s="146"/>
      <c r="CD23" s="146"/>
      <c r="CE23" s="146"/>
      <c r="CF23" s="146"/>
      <c r="CG23" s="146"/>
      <c r="CH23" s="89"/>
      <c r="CI23" s="91"/>
      <c r="CJ23" s="95"/>
      <c r="CK23" s="95"/>
      <c r="CL23" s="95"/>
      <c r="CO23" s="1">
        <v>35</v>
      </c>
      <c r="EB23" s="139" t="s">
        <v>358</v>
      </c>
      <c r="EC23" s="139"/>
      <c r="ED23" s="139"/>
      <c r="EE23" s="139"/>
      <c r="EF23" s="139"/>
      <c r="EG23" s="139"/>
      <c r="EH23" s="139"/>
      <c r="EI23" s="139"/>
      <c r="EJ23" s="139"/>
      <c r="EK23" s="139" t="s">
        <v>362</v>
      </c>
      <c r="EL23" s="139"/>
      <c r="EM23" s="139"/>
      <c r="EN23" s="139"/>
      <c r="EO23" s="139"/>
      <c r="EP23" s="139"/>
      <c r="EQ23" s="139"/>
      <c r="ER23" s="139"/>
      <c r="ES23" s="139"/>
    </row>
    <row r="24" spans="3:150" x14ac:dyDescent="0.25">
      <c r="C24" t="s">
        <v>399</v>
      </c>
      <c r="D24" s="64" t="str">
        <f>IF('&lt;zlight&gt;DEVEXPORT'!P11=1,'&lt;zlight&gt;DEVEXPORT'!F11,"")</f>
        <v>SLCABAGEN1_NGHeadDevice</v>
      </c>
      <c r="E24" s="111" t="str">
        <f>IF(D24="","","АВ")</f>
        <v>АВ</v>
      </c>
      <c r="F24" s="111">
        <f>IF(D24="","",1)</f>
        <v>1</v>
      </c>
      <c r="G24" s="111" t="str">
        <f>IF(D24="","","АВ")</f>
        <v>АВ</v>
      </c>
      <c r="H24" s="64" t="e">
        <f ca="1">IF(E24="","",IF(F24="",BL24&amp;", "&amp;BM24&amp;", "&amp;BN24,IF(MATCH(F24,$F$24:F24,0)=MATCH(F24,$F$24:F24,1),BL24&amp;", "&amp;BM24&amp;", "&amp;BN24,"")))</f>
        <v>#VALUE!</v>
      </c>
      <c r="I24" s="64" t="e">
        <f ca="1">IF(G24="","",BS24&amp;", "&amp;BT24&amp;", "&amp;BU24)</f>
        <v>#VALUE!</v>
      </c>
      <c r="J24" s="1">
        <f>IF(BZ24=0,1,0)</f>
        <v>1</v>
      </c>
      <c r="K24" s="1">
        <f>IF(BZ24=0,0,IF(L24=0,IF(MATCH(BZ24,$O$24:O24,0)=0,0,1),0))</f>
        <v>0</v>
      </c>
      <c r="L24" s="1">
        <f>IF(BZ24=0,0,IF(INDEX($BZ$24:BZ24,MATCH(BZ24,$O$24:O24,0))=0,0,1))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IF(IFERROR(BW24,1)=1,VLOOKUP('&lt;zlight&gt;DEVEXPORT'!M11,BD!$A$4:$C$5,2,FALSE),INDIRECT("'"&amp;O24&amp;"'!"&amp;"G1"))</f>
        <v>#N/A</v>
      </c>
      <c r="Q24" s="86" t="e">
        <f ca="1">IF(IFERROR(BW24,1)=1,VLOOKUP('&lt;zlight&gt;DEVEXPORT'!N11,BD!$A$10:$B$13,2,FALSE),INDIRECT("'"&amp;O24&amp;"'!"&amp;"H1"))</f>
        <v>#N/A</v>
      </c>
      <c r="R24" s="86" t="e">
        <f ca="1">IF(IFERROR(BW24,1)=1,W24*V24,INDIRECT("'"&amp;O24&amp;"'!"&amp;"E1"))</f>
        <v>#VALUE!</v>
      </c>
      <c r="S24" s="86" t="str">
        <f ca="1">IF(IFERROR(BW24,1)=1,'&lt;zlight&gt;DEVEXPORT'!K11,INDIRECT("'"&amp;O24&amp;"'!"&amp;"F1"))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IF(D24="","",AA24*SUMIFS($R$24:$R$12000,$BV$24:$BV$12000,BV24))</f>
        <v>#VALUE!</v>
      </c>
      <c r="AD24" s="67" t="e">
        <f ca="1">IF(D24="","",ROUNDUP((1/1000)*(100/P24)*IF(P24&lt;380,2,SQRT(3))*AE24*AL24*(INDEX(INDIRECT("BDКаб!"&amp;INDEX(BDКаб!$C$4:$AH$4,1,MATCH(AM24&amp;AN24&amp;AO24&amp;"R",BDКаб!$C$3:$AH$3,0))),MATCH(AQ24,BDКаб!$B$5:$B$12,0))*AB24 + INDEX(INDIRECT("BDКаб!"&amp;INDEX(BDКаб!$C$4:$AH$4,1,MATCH(AM24&amp;AN24&amp;AO24&amp;"X",BDКаб!$C$3:$AH$3,0))),MATCH(AQ24,BDКаб!$B$5:$B$12,0))*SQRT(1-AB24*AB24)),2))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IF(D24="","",AA24*SUMIFS($U$24:$U$12000,$BV$24:$BV$12000,BV24))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IF(D24="",IF(BZ24=0,"",IF(BZ24=O24,"",BZ24&amp;"."&amp;CA24)),'&lt;zlight&gt;DEVEXPORT'!E11&amp;"."&amp;'&lt;zlight&gt;DEVEXPORT'!F11)</f>
        <v>SLCABAGEN1_HeadDeviceName.SLCABAGEN1_NGHeadDevice</v>
      </c>
      <c r="AK24" s="67" t="e">
        <f ca="1">IF(AJ24="","",AR24&amp;"-"&amp;AP24&amp;"х"&amp;AQ24&amp;"мм²")</f>
        <v>#N/A</v>
      </c>
      <c r="AL24" s="67" t="e">
        <f>IF(AJ24="","",SUMIFS(#REF!,#REF!,AJ24))</f>
        <v>#REF!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114" t="str">
        <f>IF(E24="","",E24)</f>
        <v>АВ</v>
      </c>
      <c r="AY24" s="114">
        <f>IF(F24="","",F24)</f>
        <v>1</v>
      </c>
      <c r="AZ24" s="114" t="e">
        <f ca="1">IF(AE24="","",AE24)</f>
        <v>#VALUE!</v>
      </c>
      <c r="BA24" s="120" t="e">
        <f ca="1">IF(AX24="","",IF(AY24="",AZ24,SUMIFS($AZ$24:$AZ$500000,$AY$24:$AY$500000,AY24)))</f>
        <v>#VALUE!</v>
      </c>
      <c r="BB24" s="114" t="e">
        <f ca="1">IF(AX24="","",IF(P24&lt;380,1,3))</f>
        <v>#N/A</v>
      </c>
      <c r="BC24" s="113">
        <f>IF(AX24="","",1.3)</f>
        <v>1.3</v>
      </c>
      <c r="BD24" s="120" t="e">
        <f ca="1">IF(AX24="","",IF(BC24="",BA24*1.3,BC24*BA24))</f>
        <v>#VALUE!</v>
      </c>
      <c r="BE24" s="120" t="e">
        <f ca="1">IF(AX24="","",INDEX(INDIRECT("BD!"&amp;INDEX(BD!$K$5:$BX$5,1,MATCH(AX24&amp;"I",BD!$K$4:$BY$4,0))),MATCH(BD24,INDIRECT("BD!"&amp;INDEX(BD!$K$5:$BX$5,1,MATCH(AX24&amp;"I",BD!$K$4:$BY$4,0))),-1)))</f>
        <v>#VALUE!</v>
      </c>
      <c r="BF24" s="111">
        <f>IF(AX24="","",10)</f>
        <v>10</v>
      </c>
      <c r="BG24" s="113"/>
      <c r="BH24" s="120" t="e">
        <f ca="1">IF(AX24="","",IF(BG24="",IF(BE24&gt;=BF24,BE24,BF24),BG24))</f>
        <v>#VALUE!</v>
      </c>
      <c r="BI24" s="68" t="str">
        <f>IF(E24="","","C")</f>
        <v>C</v>
      </c>
      <c r="BJ24" s="72" t="e">
        <f ca="1">IF(E24="","",IF(P24=380,3,1))</f>
        <v>#N/A</v>
      </c>
      <c r="BK24" s="72" t="str">
        <f>IF(E24="","","30")</f>
        <v>30</v>
      </c>
      <c r="BL24" s="72" t="e">
        <f ca="1">IF(E24="","",INDEX(INDIRECT("BD!"&amp;INDEX(BD!$K$5:$BX$5,1,MATCH(E24&amp;"О",BD!$K$4:$BY$4,0))),MATCH(BE24,INDIRECT("BD!"&amp;INDEX(BD!$K$5:$BX$5,1,MATCH(E24&amp;"I",BD!$K$4:$BY$4,0))),0))&amp;D24)</f>
        <v>#VALUE!</v>
      </c>
      <c r="BM24" s="71" t="e">
        <f ca="1">IF(E24="","",INDEX(INDIRECT("BD!"&amp;INDEX(BD!$K$5:$BX$5,1,MATCH(E24&amp;"М",BD!$K$4:$BY$4,0))),MATCH(BE24,INDIRECT("BD!"&amp;INDEX(BD!$K$5:$BX$5,1,MATCH(E24&amp;"I",BD!$K$4:$BY$4,0))),0)))</f>
        <v>#VALUE!</v>
      </c>
      <c r="BN24" t="e">
        <f ca="1">IF(E24="","",BJ24&amp;"P,"&amp;BE24&amp;"А,"&amp;BI24&amp;IF(BK24="","",","&amp;BK24&amp;"мА"))</f>
        <v>#N/A</v>
      </c>
      <c r="BO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P24" s="68" t="str">
        <f>IF(G24="","","C")</f>
        <v>C</v>
      </c>
      <c r="BQ24" s="72" t="str">
        <f>IF(G24="","","3")</f>
        <v>3</v>
      </c>
      <c r="BR24" s="72" t="str">
        <f>IF(G24="","","30")</f>
        <v>30</v>
      </c>
      <c r="BS24" s="72" t="e">
        <f ca="1">IF(G24="","",INDEX(INDIRECT("BD!"&amp;INDEX(BD!$K$5:$CA$5,1,MATCH(G24&amp;"О",BD!$K$4:$CB$4,0))),MATCH(BO24,INDIRECT("BD!"&amp;INDEX(BD!$K$5:$CA$5,1,MATCH(G24&amp;"I",BD!$K$4:$CB$4,0))),0))&amp;D24)</f>
        <v>#VALUE!</v>
      </c>
      <c r="BT24" s="71" t="e">
        <f ca="1">IF(G24="","",INDEX(INDIRECT("BD!"&amp;INDEX(BD!$K$5:$CA$5,1,MATCH(G24&amp;"М",BD!$K$4:$CB$4,0))),MATCH(BO24,INDIRECT("BD!"&amp;INDEX(BD!$K$5:$CA$5,1,MATCH(G24&amp;"I",BD!$K$4:$CB$4,0))),0)))</f>
        <v>#VALUE!</v>
      </c>
      <c r="BU24" t="e">
        <f ca="1">IF(G24="","",BQ24&amp;"P,"&amp;BO24&amp;"А,"&amp;BP24&amp;IF(BR24="","",","&amp;BR24&amp;"мА"))</f>
        <v>#VALUE!</v>
      </c>
      <c r="BV24" s="11" t="str">
        <f>'&lt;zlight&gt;DEVEXPORT'!V11</f>
        <v>SLCABAGEN1_NGHeadDevice</v>
      </c>
      <c r="BW24" s="11" t="e">
        <f ca="1">INDIRECT("'"&amp;O24&amp;"'!"&amp;"X14")</f>
        <v>#REF!</v>
      </c>
      <c r="BX24" s="97">
        <f>COUNT($BV$24:BV24)</f>
        <v>0</v>
      </c>
      <c r="BY24" s="97">
        <f>IF('&lt;zlight&gt;DEVEXPORT'!T11=0,'&lt;zlight&gt;DEVEXPORT'!T11,1)</f>
        <v>0</v>
      </c>
      <c r="BZ24" s="97">
        <f>IF('&lt;zlight&gt;DEVEXPORT'!U11=0,0,'&lt;zlight&gt;DEVEXPORT'!U11)</f>
        <v>0</v>
      </c>
      <c r="CA24" s="97">
        <f>IF('&lt;zlight&gt;DEVEXPORT'!U11=0,0,'&lt;zlight&gt;DEVEXPORT'!F11)</f>
        <v>0</v>
      </c>
      <c r="CB24" s="90">
        <f>IF(MATCH(BV24,$BV$24:BV24,0)=COUNT($BV$24:BV24),COUNTIFS(F24:$F$120000,F24),0)</f>
        <v>0</v>
      </c>
      <c r="CC24" s="11">
        <f>IF(INDEX($CB$24:CB24,MATCH(BV24,$BV$24:BV24,0))&gt;1,IF(CB24=0,2,1),IF(CB24=1,1,0))</f>
        <v>0</v>
      </c>
      <c r="CD24" s="90" t="e">
        <f>INDEX($BY$24:BY24,COUNT($BV$24:BV24)-1)</f>
        <v>#VALUE!</v>
      </c>
      <c r="CE24" s="90">
        <f>IF(INDEX($BY$24:$BY$120000,COUNT($BV$24:BV24))=1,IF(INDEX($BY$24:$BY$120000,COUNT($BV$24:BV24)+1)=1,1,0),0)</f>
        <v>0</v>
      </c>
      <c r="CF24" s="100" t="e">
        <f>IF(COUNT($BV$24:BV24)=1,1,IF(INDEX($BV$24:BV24,COUNT($BV$24:BV24)-1)=INDEX($BV$24:BV24,COUNT($BV$24:BV24)),0,COUNT($BV$24:BV24)))</f>
        <v>#VALUE!</v>
      </c>
      <c r="CG24" s="100" t="e">
        <f>IF(CF24&gt;0,ROW(),"-")</f>
        <v>#VALUE!</v>
      </c>
      <c r="CH24" s="100">
        <f>IF(BZ24=0,0,SUMIFS(BY24:$BY$120000,BZ24:$BZ$120000,BZ24))</f>
        <v>0</v>
      </c>
      <c r="CI24" s="100" t="e">
        <f ca="1">IF(COUNTIF(INDIRECT(ADDRESS(ROW(),COLUMN(BZ24))&amp;":"&amp;ADDRESS(MIN(CG24:$CG$120000),COLUMN(BZ24))),0)&gt;1,1,0)</f>
        <v>#VALUE!</v>
      </c>
      <c r="CJ24" s="90" t="e">
        <f>IF(BX24=1,0,IF(INDEX($BV$24:BV24,BX24-1)=BV24,IF(INDEX($BZ$24:BZ24,BX24-1)=BZ24,IF(INDEX($CA$24:CA24,BX24-1)=CA24,1,0),0),0))</f>
        <v>#VALUE!</v>
      </c>
      <c r="CK24" s="94">
        <f>MATCH(1,J24:L24,0)</f>
        <v>1</v>
      </c>
      <c r="CL24" s="101" t="e">
        <f>IF(BX24&lt;&gt;1,INDEX($CL$24:CL24,BX24-1)+25 - IF(BY24=0,IF(CD24=1,IF(CH24&lt;2,25,0),0),0),60)</f>
        <v>#VALUE!</v>
      </c>
      <c r="CM24" t="s">
        <v>59</v>
      </c>
      <c r="CN24" s="1" t="s">
        <v>330</v>
      </c>
      <c r="CO24" s="1" t="e">
        <f>CL24</f>
        <v>#VALUE!</v>
      </c>
      <c r="CP24" s="1">
        <v>0</v>
      </c>
      <c r="CQ24" s="1">
        <v>1</v>
      </c>
      <c r="CR24" s="1">
        <v>1</v>
      </c>
      <c r="CS24" s="1" t="s">
        <v>331</v>
      </c>
      <c r="CT24" s="1" t="e">
        <f ca="1">IF(Q24="ABC","BOOLEAN_1","BOOLEAN_0")</f>
        <v>#N/A</v>
      </c>
      <c r="CU24" s="1" t="s">
        <v>332</v>
      </c>
      <c r="CV24" s="1" t="e">
        <f ca="1">IF(H24&lt;&gt;"","INTEGER_0",IF(CB24=0,IF(CC24=0,"INTEGER_3","INTEGER_"&amp;CC24),"INTEGER_"&amp;CC24))</f>
        <v>#VALUE!</v>
      </c>
      <c r="CW24" s="92" t="s">
        <v>333</v>
      </c>
      <c r="CX24" s="1" t="str">
        <f t="shared" ref="CX24" ca="1" si="0">IFERROR(_xlfn.IFS(CV24="INTEGER_0","INTEGER_0",CV24="INTEGER_1","INTEGER_0",IF(CD24=1,IF(CK24=1,1,0),0),"INTEGER_1",IF(BY24=1,IF(CD24=1,1,0),0),"INTEGER_2",IF(BY24=0,IF(CD24=1,1,0),0),"INTEGER_0",IF(CD24=1,IF(CK24=2,IF(BZ24=0,IF(CI24=0,1,0),0),0),0),"INTEGER_2",IF(CD24=1,IF(CK24=2,IF(BZ24=0,IF(CI24&lt;&gt;0,1,0),0),0),0),"INTEGER_4",IF(CD24=1,IF(CK24=2,IF(BZ24&lt;&gt;0,1,0),0),0),"INTEGER_3",IF(CD24=0,IF(BY24=1,IF(CJ24=1,1,0),0),0),"INTEGER_5"),"INTEGER_0")</f>
        <v>INTEGER_0</v>
      </c>
      <c r="CY24" s="92" t="s">
        <v>334</v>
      </c>
      <c r="CZ24" s="1" t="str">
        <f t="shared" ref="CZ24" si="1">"INTEGER_0"</f>
        <v>INTEGER_0</v>
      </c>
      <c r="DA24" s="92" t="s">
        <v>335</v>
      </c>
      <c r="DB24" s="1" t="str">
        <f t="shared" ref="DB24" ca="1" si="2">IFERROR(_xlfn.IFS(CV24="INTEGER_0","INTEGER_4",CV24="INTEGER_1","INTEGER_4",IF(BY24=1,IF(CD24=1,1,0),0),"INTEGER_2",CX24="INTEGER_5","INTEGER_3"),"INTEGER_0")</f>
        <v>INTEGER_0</v>
      </c>
      <c r="DC24" s="92" t="s">
        <v>336</v>
      </c>
      <c r="DD24" s="1" t="str">
        <f ca="1">IFERROR(_xlfn.IFS(BY24=1,"INTEGER_0",I24&lt;&gt;"","INTEGER_0",H24&lt;&gt;"","INTEGER_0",IF(CD24=1,1,0),"INTEGER_0",IF(BY24=0,IF(CD24=0,IF(AJ24="",1,0),0),0),"INTEGER_3",IF(BY24=0,IF(CD24=0,IF(AJ24=INDEX($AJ$24:AJ24,BX24-1),1,0),0),0),"INTEGER_3"),"INTEGER_0")</f>
        <v>INTEGER_0</v>
      </c>
      <c r="DE24" s="92" t="s">
        <v>337</v>
      </c>
      <c r="DF24" s="1" t="str">
        <f t="shared" ref="DF24" si="3">IF(CE24=0,"INTEGER_0","INTEGER_0")</f>
        <v>INTEGER_0</v>
      </c>
      <c r="DG24" s="92" t="s">
        <v>338</v>
      </c>
      <c r="DH24" s="1" t="str">
        <f ca="1">IFERROR(_xlfn.IFS(IF(BY24=1,1,0),"INTEGER_0",I24&lt;&gt;"","INTEGER_5",H24&lt;&gt;"","INTEGER_5",DD24="INTEGER_3","INTEGER_3",IF(CD24=1,IF(BY24=0,1,0),0),"INTEGER_5",IF(AJ24=INDEX($AJ$24:AJ24,BX24-1),1,0),"INTEGER_5"),"INTEGER_0")</f>
        <v>INTEGER_0</v>
      </c>
      <c r="DI24" s="1" t="s">
        <v>339</v>
      </c>
      <c r="DJ24" s="1" t="str">
        <f>IF(W24&gt;1,O24&amp;"("&amp;W24&amp;"шт.)",O24)</f>
        <v>NMO_BaseName</v>
      </c>
      <c r="DK24" s="1" t="s">
        <v>341</v>
      </c>
      <c r="DL24" s="1" t="e">
        <f ca="1">R24</f>
        <v>#VALUE!</v>
      </c>
      <c r="DM24" s="1" t="s">
        <v>342</v>
      </c>
      <c r="DN24" s="1" t="e">
        <f ca="1">T24</f>
        <v>#VALUE!</v>
      </c>
      <c r="DO24" s="1" t="s">
        <v>343</v>
      </c>
      <c r="DP24" s="1" t="e">
        <f ca="1">Z24&amp;"\P~"&amp;P24&amp;"V"</f>
        <v>#N/A</v>
      </c>
      <c r="DQ24" s="103" t="s">
        <v>352</v>
      </c>
      <c r="DR24" s="103" t="str">
        <f>AJ24</f>
        <v>SLCABAGEN1_HeadDeviceName.SLCABAGEN1_NGHeadDevice</v>
      </c>
      <c r="DS24" s="103" t="s">
        <v>353</v>
      </c>
      <c r="DT24" s="103" t="s">
        <v>354</v>
      </c>
      <c r="DU24" s="103" t="s">
        <v>355</v>
      </c>
      <c r="DV24" s="103" t="s">
        <v>354</v>
      </c>
      <c r="DW24" s="103" t="s">
        <v>356</v>
      </c>
      <c r="DX24" s="103" t="e">
        <f ca="1">AK24</f>
        <v>#N/A</v>
      </c>
      <c r="DY24" s="103" t="str">
        <f>"VSCHEMACable22"</f>
        <v>VSCHEMACable22</v>
      </c>
      <c r="DZ24" s="103" t="e">
        <f>IF(AL24&lt;&gt;"","L="&amp;AL24&amp;"м"," ")</f>
        <v>#REF!</v>
      </c>
      <c r="EA24" t="s">
        <v>58</v>
      </c>
      <c r="EB24" t="e">
        <f ca="1">IF(H24&lt;&gt;"","&lt;zinsertblock&gt;","")</f>
        <v>#VALUE!</v>
      </c>
      <c r="EC24" s="1" t="e">
        <f ca="1">IF(EB24="","",INDEX(INDIRECT("BD!"&amp;INDEX(BD!$K$5:$BX$5,1,MATCH(E24&amp;"UGO",BD!$K$4:$BY$4,0))),MATCH(BE24,INDIRECT("BD!"&amp;INDEX(BD!$K$5:$BX$5,1,MATCH(E24&amp;"I",BD!$K$4:$BY$4,0))),0)))</f>
        <v>#VALUE!</v>
      </c>
      <c r="ED24" s="1" t="e">
        <f ca="1">IF(EB24="","",CO24+INDEX(INDIRECT("BD!"&amp;INDEX(BD!$K$5:$BX$5,1,MATCH(E24&amp;"MOVEX",BD!$K$4:$BY$4,0))),MATCH(BE24,INDIRECT("BD!"&amp;INDEX(BD!$K$5:$BX$5,1,MATCH(E24&amp;"I",BD!$K$4:$BY$4,0))),0)))</f>
        <v>#VALUE!</v>
      </c>
      <c r="EE24" s="1" t="e">
        <f ca="1">IF(EB24="","",CP24+INDEX(INDIRECT("BD!"&amp;INDEX(BD!$K$5:$BX$5,1,MATCH(E24&amp;"MOVEY",BD!$K$4:$BY$4,0))),MATCH(BE24,INDIRECT("BD!"&amp;INDEX(BD!$K$5:$BX$5,1,MATCH(E24&amp;"I",BD!$K$4:$BY$4,0))),0)))</f>
        <v>#VALUE!</v>
      </c>
      <c r="EF24" s="1">
        <v>1</v>
      </c>
      <c r="EG24" s="1">
        <v>1</v>
      </c>
      <c r="EH24" s="1" t="s">
        <v>363</v>
      </c>
      <c r="EI24" s="1" t="e">
        <f ca="1">BL24&amp;"\P"&amp;BM24&amp;"\P"&amp;BN24</f>
        <v>#VALUE!</v>
      </c>
      <c r="EJ24" t="e">
        <f ca="1">IF(EB24="","","&lt;/zinsertblock&gt;")</f>
        <v>#VALUE!</v>
      </c>
      <c r="EK24" t="e">
        <f ca="1">IF(I24&lt;&gt;"","&lt;zinsertblock&gt;","")</f>
        <v>#VALUE!</v>
      </c>
      <c r="EL24" s="1" t="e">
        <f ca="1">IF(EK24="","",INDEX(INDIRECT("BD!"&amp;INDEX(BD!$K$5:$CA$5,1,MATCH(G24&amp;"UGO",BD!$K$4:$CB$4,0))),MATCH(BO24,INDIRECT("BD!"&amp;INDEX(BD!$K$5:$CA$5,1,MATCH(G24&amp;"I",BD!$K$4:$CB$4,0))),0)))</f>
        <v>#VALUE!</v>
      </c>
      <c r="EM24" s="1" t="e">
        <f ca="1">IF(EK24="","",CO24+INDEX(INDIRECT("BD!"&amp;INDEX(BD!$K$5:$CA$5,1,MATCH(G24&amp;"MOVEX",BD!$K$4:$CB$4,0))),MATCH(BO24,INDIRECT("BD!"&amp;INDEX(BD!$K$5:$CA$5,1,MATCH(G24&amp;"I",BD!$K$4:$CB$4,0))),0)))</f>
        <v>#VALUE!</v>
      </c>
      <c r="EN24" s="1" t="e">
        <f ca="1">IF(EK24="","",CP24-20+INDEX(INDIRECT("BD!"&amp;INDEX(BD!$K$5:$CA$5,1,MATCH(G24&amp;"MOVEY",BD!$K$4:$CB$4,0))),MATCH(BO24,INDIRECT("BD!"&amp;INDEX(BD!$K$5:$CA$5,1,MATCH(G24&amp;"I",BD!$K$4:$CB$4,0))),0)))</f>
        <v>#VALUE!</v>
      </c>
      <c r="EO24" s="1">
        <v>1</v>
      </c>
      <c r="EP24" s="1">
        <v>1</v>
      </c>
      <c r="EQ24" s="1" t="s">
        <v>363</v>
      </c>
      <c r="ER24" s="1" t="e">
        <f ca="1">BS24&amp;"\P"&amp;BT24&amp;"\P"&amp;BU24</f>
        <v>#VALUE!</v>
      </c>
      <c r="ES24" t="e">
        <f ca="1">IF(EK24="","","&lt;/zinsertblock&gt;")</f>
        <v>#VALUE!</v>
      </c>
      <c r="ET24" t="s">
        <v>12</v>
      </c>
    </row>
  </sheetData>
  <mergeCells count="50">
    <mergeCell ref="CF21:CG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D4:H4"/>
    <mergeCell ref="P4:U4"/>
    <mergeCell ref="D5:G5"/>
    <mergeCell ref="P5:S5"/>
    <mergeCell ref="T5:U5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22:D23"/>
    <mergeCell ref="O22:Z22"/>
    <mergeCell ref="E22:E23"/>
    <mergeCell ref="F22:F23"/>
    <mergeCell ref="G22:G23"/>
    <mergeCell ref="H22:H23"/>
    <mergeCell ref="EB23:EJ23"/>
    <mergeCell ref="EK23:ES23"/>
    <mergeCell ref="I22:I23"/>
    <mergeCell ref="J22:L22"/>
    <mergeCell ref="M22:M23"/>
    <mergeCell ref="BV22:CG23"/>
    <mergeCell ref="AA22:AI22"/>
    <mergeCell ref="AJ22:AW22"/>
    <mergeCell ref="BO22:BU22"/>
    <mergeCell ref="AX22:BN22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V24">
    <cfRule type="cellIs" dxfId="89" priority="126" operator="equal">
      <formula>"INTEGER_0"</formula>
    </cfRule>
  </conditionalFormatting>
  <conditionalFormatting sqref="CV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W24">
    <cfRule type="cellIs" dxfId="83" priority="120" operator="equal">
      <formula>"INTEGER_0"</formula>
    </cfRule>
  </conditionalFormatting>
  <conditionalFormatting sqref="CW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X24">
    <cfRule type="cellIs" dxfId="77" priority="114" operator="equal">
      <formula>"INTEGER_0"</formula>
    </cfRule>
  </conditionalFormatting>
  <conditionalFormatting sqref="CX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Y24">
    <cfRule type="cellIs" dxfId="71" priority="108" operator="equal">
      <formula>"INTEGER_0"</formula>
    </cfRule>
  </conditionalFormatting>
  <conditionalFormatting sqref="CY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Z24">
    <cfRule type="cellIs" dxfId="65" priority="102" operator="equal">
      <formula>"INTEGER_0"</formula>
    </cfRule>
  </conditionalFormatting>
  <conditionalFormatting sqref="CZ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DA24">
    <cfRule type="cellIs" dxfId="59" priority="96" operator="equal">
      <formula>"INTEGER_0"</formula>
    </cfRule>
  </conditionalFormatting>
  <conditionalFormatting sqref="DA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DB24">
    <cfRule type="cellIs" dxfId="53" priority="90" operator="equal">
      <formula>"INTEGER_0"</formula>
    </cfRule>
  </conditionalFormatting>
  <conditionalFormatting sqref="DB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DC24">
    <cfRule type="cellIs" dxfId="47" priority="84" operator="equal">
      <formula>"INTEGER_0"</formula>
    </cfRule>
  </conditionalFormatting>
  <conditionalFormatting sqref="DC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DE24">
    <cfRule type="cellIs" dxfId="41" priority="72" operator="equal">
      <formula>"INTEGER_0"</formula>
    </cfRule>
  </conditionalFormatting>
  <conditionalFormatting sqref="DE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DF24">
    <cfRule type="cellIs" dxfId="35" priority="66" operator="equal">
      <formula>"INTEGER_0"</formula>
    </cfRule>
  </conditionalFormatting>
  <conditionalFormatting sqref="DF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DD24">
    <cfRule type="cellIs" dxfId="29" priority="30" operator="equal">
      <formula>"INTEGER_0"</formula>
    </cfRule>
  </conditionalFormatting>
  <conditionalFormatting sqref="DD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DG24">
    <cfRule type="cellIs" dxfId="23" priority="24" operator="equal">
      <formula>"INTEGER_0"</formula>
    </cfRule>
  </conditionalFormatting>
  <conditionalFormatting sqref="DG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DH24">
    <cfRule type="cellIs" dxfId="17" priority="18" operator="equal">
      <formula>"INTEGER_0"</formula>
    </cfRule>
  </conditionalFormatting>
  <conditionalFormatting sqref="DH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DI24">
    <cfRule type="cellIs" dxfId="11" priority="12" operator="equal">
      <formula>"INTEGER_0"</formula>
    </cfRule>
  </conditionalFormatting>
  <conditionalFormatting sqref="DI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J24:DZ24">
    <cfRule type="cellIs" dxfId="5" priority="6" operator="equal">
      <formula>"INTEGER_0"</formula>
    </cfRule>
  </conditionalFormatting>
  <conditionalFormatting sqref="DJ24:DZ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sheetPr codeName="Лист14"/>
  <dimension ref="A5:W23"/>
  <sheetViews>
    <sheetView topLeftCell="B2" workbookViewId="0">
      <selection activeCell="P12" sqref="P12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1" width="16.28515625" customWidth="1"/>
    <col min="22" max="22" width="33.85546875" customWidth="1"/>
  </cols>
  <sheetData>
    <row r="5" spans="1:23" x14ac:dyDescent="0.25">
      <c r="B5" t="s">
        <v>95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96</v>
      </c>
    </row>
    <row r="7" spans="1:23" x14ac:dyDescent="0.25">
      <c r="A7">
        <f>COLUMN()-1</f>
        <v>0</v>
      </c>
      <c r="B7">
        <f t="shared" ref="B7:V7" si="0">COLUMN()-1</f>
        <v>1</v>
      </c>
      <c r="C7">
        <f t="shared" si="0"/>
        <v>2</v>
      </c>
      <c r="D7">
        <f t="shared" si="0"/>
        <v>3</v>
      </c>
      <c r="E7">
        <f t="shared" si="0"/>
        <v>4</v>
      </c>
      <c r="F7">
        <f t="shared" si="0"/>
        <v>5</v>
      </c>
      <c r="G7">
        <f t="shared" si="0"/>
        <v>6</v>
      </c>
      <c r="H7">
        <f t="shared" si="0"/>
        <v>7</v>
      </c>
      <c r="I7">
        <f t="shared" si="0"/>
        <v>8</v>
      </c>
      <c r="J7">
        <f t="shared" si="0"/>
        <v>9</v>
      </c>
      <c r="K7">
        <f t="shared" si="0"/>
        <v>10</v>
      </c>
      <c r="L7">
        <f t="shared" si="0"/>
        <v>11</v>
      </c>
      <c r="M7">
        <f t="shared" si="0"/>
        <v>12</v>
      </c>
      <c r="N7">
        <f t="shared" si="0"/>
        <v>13</v>
      </c>
      <c r="O7">
        <f t="shared" si="0"/>
        <v>14</v>
      </c>
      <c r="P7">
        <f t="shared" si="0"/>
        <v>15</v>
      </c>
      <c r="Q7">
        <f t="shared" si="0"/>
        <v>16</v>
      </c>
      <c r="R7">
        <f t="shared" si="0"/>
        <v>17</v>
      </c>
      <c r="S7">
        <f t="shared" si="0"/>
        <v>18</v>
      </c>
      <c r="T7">
        <f t="shared" si="0"/>
        <v>19</v>
      </c>
      <c r="U7">
        <f t="shared" si="0"/>
        <v>20</v>
      </c>
      <c r="V7">
        <f t="shared" si="0"/>
        <v>21</v>
      </c>
    </row>
    <row r="8" spans="1:23" x14ac:dyDescent="0.25">
      <c r="A8">
        <f>ROW()-1</f>
        <v>7</v>
      </c>
    </row>
    <row r="9" spans="1:23" ht="90" x14ac:dyDescent="0.25">
      <c r="A9">
        <f t="shared" ref="A9:A23" si="1">ROW()-1</f>
        <v>8</v>
      </c>
      <c r="C9" t="s">
        <v>79</v>
      </c>
      <c r="D9" s="1" t="s">
        <v>10</v>
      </c>
      <c r="E9" s="1" t="s">
        <v>7</v>
      </c>
      <c r="F9" s="1" t="s">
        <v>8</v>
      </c>
      <c r="G9" s="1" t="s">
        <v>274</v>
      </c>
      <c r="H9" s="2" t="s">
        <v>275</v>
      </c>
      <c r="I9" s="2" t="s">
        <v>276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321</v>
      </c>
      <c r="Q9" s="2" t="s">
        <v>16</v>
      </c>
      <c r="R9" s="2" t="s">
        <v>17</v>
      </c>
      <c r="S9" s="3" t="s">
        <v>18</v>
      </c>
      <c r="T9" s="3" t="s">
        <v>279</v>
      </c>
      <c r="U9" s="3" t="s">
        <v>320</v>
      </c>
      <c r="V9" s="3" t="s">
        <v>319</v>
      </c>
    </row>
    <row r="10" spans="1:23" ht="45" x14ac:dyDescent="0.25">
      <c r="A10">
        <f t="shared" si="1"/>
        <v>9</v>
      </c>
      <c r="B10" s="4" t="s">
        <v>19</v>
      </c>
      <c r="C10" s="4"/>
      <c r="P10" s="1"/>
      <c r="S10" s="5"/>
      <c r="T10" s="5"/>
      <c r="U10" s="5"/>
      <c r="V10" s="5"/>
    </row>
    <row r="11" spans="1:23" x14ac:dyDescent="0.25">
      <c r="A11">
        <f t="shared" si="1"/>
        <v>10</v>
      </c>
      <c r="B11" t="s">
        <v>2</v>
      </c>
      <c r="C11" s="1" t="s">
        <v>78</v>
      </c>
      <c r="D11" s="1" t="s">
        <v>9</v>
      </c>
      <c r="E11" s="1" t="s">
        <v>373</v>
      </c>
      <c r="F11" s="1" t="s">
        <v>372</v>
      </c>
      <c r="G11" s="1" t="s">
        <v>340</v>
      </c>
      <c r="H11" s="1" t="s">
        <v>277</v>
      </c>
      <c r="I11" s="1" t="s">
        <v>278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IF(G11&lt;&gt;"Вкл",IF(F11&lt;&gt;"GC_HDGroup",IF(R11=1,1,0),0),0)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">
        <v>372</v>
      </c>
      <c r="W11" t="s">
        <v>3</v>
      </c>
    </row>
    <row r="12" spans="1:23" x14ac:dyDescent="0.25">
      <c r="A12">
        <f t="shared" si="1"/>
        <v>11</v>
      </c>
    </row>
    <row r="13" spans="1:23" x14ac:dyDescent="0.25">
      <c r="A13">
        <f t="shared" si="1"/>
        <v>12</v>
      </c>
    </row>
    <row r="14" spans="1:23" x14ac:dyDescent="0.25">
      <c r="A14">
        <f t="shared" si="1"/>
        <v>13</v>
      </c>
    </row>
    <row r="15" spans="1:23" x14ac:dyDescent="0.25">
      <c r="A15">
        <f t="shared" si="1"/>
        <v>14</v>
      </c>
    </row>
    <row r="16" spans="1:23" x14ac:dyDescent="0.25">
      <c r="A16">
        <f t="shared" si="1"/>
        <v>15</v>
      </c>
    </row>
    <row r="17" spans="1:1" x14ac:dyDescent="0.25">
      <c r="A17">
        <f t="shared" si="1"/>
        <v>16</v>
      </c>
    </row>
    <row r="18" spans="1:1" x14ac:dyDescent="0.25">
      <c r="A18">
        <f t="shared" si="1"/>
        <v>17</v>
      </c>
    </row>
    <row r="19" spans="1:1" x14ac:dyDescent="0.25">
      <c r="A19">
        <f t="shared" si="1"/>
        <v>18</v>
      </c>
    </row>
    <row r="20" spans="1:1" x14ac:dyDescent="0.25">
      <c r="A20">
        <f t="shared" si="1"/>
        <v>19</v>
      </c>
    </row>
    <row r="21" spans="1:1" x14ac:dyDescent="0.25">
      <c r="A21">
        <f t="shared" si="1"/>
        <v>20</v>
      </c>
    </row>
    <row r="22" spans="1:1" x14ac:dyDescent="0.25">
      <c r="A22">
        <f t="shared" si="1"/>
        <v>21</v>
      </c>
    </row>
    <row r="23" spans="1:1" x14ac:dyDescent="0.25">
      <c r="A23">
        <f t="shared" si="1"/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sheetPr codeName="Лист15"/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54</v>
      </c>
      <c r="J3" s="2" t="s">
        <v>15</v>
      </c>
      <c r="K3" s="2" t="s">
        <v>55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50</v>
      </c>
      <c r="D5" s="1" t="s">
        <v>9</v>
      </c>
      <c r="E5" s="1" t="s">
        <v>5</v>
      </c>
      <c r="F5" s="1" t="s">
        <v>6</v>
      </c>
      <c r="G5" s="1" t="s">
        <v>52</v>
      </c>
      <c r="H5" s="1" t="s">
        <v>53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A6F2-34F0-434E-8040-CB29DE649961}">
  <sheetPr codeName="Лист16"/>
  <dimension ref="A1:A3"/>
  <sheetViews>
    <sheetView workbookViewId="0">
      <selection activeCell="A13" sqref="A13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394</v>
      </c>
    </row>
    <row r="2" spans="1:1" x14ac:dyDescent="0.25">
      <c r="A2" t="s">
        <v>395</v>
      </c>
    </row>
    <row r="3" spans="1:1" x14ac:dyDescent="0.25">
      <c r="A3" t="s">
        <v>396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sheetPr codeName="Лист4"/>
  <dimension ref="B3:Z5"/>
  <sheetViews>
    <sheetView topLeftCell="E1" workbookViewId="0">
      <selection activeCell="Z5" sqref="Z5"/>
    </sheetView>
  </sheetViews>
  <sheetFormatPr defaultRowHeight="15" x14ac:dyDescent="0.25"/>
  <cols>
    <col min="2" max="2" width="28.42578125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397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sheetPr codeName="Лист6"/>
  <dimension ref="A2:BX67"/>
  <sheetViews>
    <sheetView workbookViewId="0">
      <selection activeCell="T16" sqref="T15:T16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23" t="s">
        <v>35</v>
      </c>
      <c r="B3" s="124"/>
      <c r="C3" s="125"/>
      <c r="F3" s="126" t="s">
        <v>104</v>
      </c>
      <c r="G3" s="127"/>
      <c r="H3" s="128"/>
      <c r="K3" s="131" t="s">
        <v>191</v>
      </c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105</v>
      </c>
      <c r="G4" s="46" t="s">
        <v>106</v>
      </c>
      <c r="H4" s="47" t="s">
        <v>107</v>
      </c>
      <c r="K4" s="53" t="s">
        <v>192</v>
      </c>
      <c r="L4" s="53" t="s">
        <v>193</v>
      </c>
      <c r="M4" s="53" t="s">
        <v>194</v>
      </c>
      <c r="N4" s="53" t="s">
        <v>222</v>
      </c>
      <c r="O4" s="53" t="s">
        <v>223</v>
      </c>
      <c r="P4" s="53" t="s">
        <v>224</v>
      </c>
      <c r="Q4" s="53" t="s">
        <v>261</v>
      </c>
      <c r="R4" s="53" t="s">
        <v>359</v>
      </c>
      <c r="S4" s="53" t="s">
        <v>360</v>
      </c>
      <c r="T4" s="53" t="s">
        <v>361</v>
      </c>
      <c r="U4" s="53" t="s">
        <v>195</v>
      </c>
      <c r="V4" s="53" t="s">
        <v>196</v>
      </c>
      <c r="W4" s="53" t="s">
        <v>197</v>
      </c>
      <c r="X4" s="53" t="s">
        <v>231</v>
      </c>
      <c r="Y4" s="53" t="s">
        <v>232</v>
      </c>
      <c r="Z4" s="53" t="s">
        <v>233</v>
      </c>
      <c r="AA4" s="53" t="s">
        <v>262</v>
      </c>
      <c r="AB4" s="53" t="s">
        <v>368</v>
      </c>
      <c r="AC4" s="53" t="s">
        <v>369</v>
      </c>
      <c r="AD4" s="53" t="s">
        <v>370</v>
      </c>
      <c r="AE4" s="53" t="s">
        <v>198</v>
      </c>
      <c r="AF4" s="53" t="s">
        <v>199</v>
      </c>
      <c r="AG4" s="53" t="s">
        <v>200</v>
      </c>
      <c r="AH4" s="53" t="s">
        <v>227</v>
      </c>
      <c r="AI4" s="53" t="s">
        <v>228</v>
      </c>
      <c r="AJ4" s="53" t="s">
        <v>229</v>
      </c>
      <c r="AK4" s="53" t="s">
        <v>263</v>
      </c>
      <c r="AL4" s="53" t="s">
        <v>364</v>
      </c>
      <c r="AM4" s="53" t="s">
        <v>365</v>
      </c>
      <c r="AN4" s="53" t="s">
        <v>366</v>
      </c>
      <c r="AO4" s="53" t="s">
        <v>201</v>
      </c>
      <c r="AP4" s="53" t="s">
        <v>202</v>
      </c>
      <c r="AQ4" s="53" t="s">
        <v>203</v>
      </c>
      <c r="AR4" s="53" t="s">
        <v>234</v>
      </c>
      <c r="AS4" s="53" t="s">
        <v>235</v>
      </c>
      <c r="AT4" s="53" t="s">
        <v>236</v>
      </c>
      <c r="AU4" s="53" t="s">
        <v>264</v>
      </c>
      <c r="AV4" s="53" t="s">
        <v>204</v>
      </c>
      <c r="AW4" s="53" t="s">
        <v>205</v>
      </c>
      <c r="AX4" s="53" t="s">
        <v>206</v>
      </c>
      <c r="AY4" s="53" t="s">
        <v>237</v>
      </c>
      <c r="AZ4" s="53" t="s">
        <v>238</v>
      </c>
      <c r="BA4" s="53" t="s">
        <v>239</v>
      </c>
      <c r="BB4" s="53" t="s">
        <v>265</v>
      </c>
      <c r="BC4" s="53" t="s">
        <v>207</v>
      </c>
      <c r="BD4" s="53" t="s">
        <v>208</v>
      </c>
      <c r="BE4" s="53" t="s">
        <v>209</v>
      </c>
      <c r="BF4" s="53" t="s">
        <v>240</v>
      </c>
      <c r="BG4" s="53" t="s">
        <v>241</v>
      </c>
      <c r="BH4" s="53" t="s">
        <v>242</v>
      </c>
      <c r="BI4" s="53" t="s">
        <v>266</v>
      </c>
      <c r="BJ4" s="53" t="s">
        <v>210</v>
      </c>
      <c r="BK4" s="53" t="s">
        <v>211</v>
      </c>
      <c r="BL4" s="53" t="s">
        <v>212</v>
      </c>
      <c r="BM4" s="53" t="s">
        <v>243</v>
      </c>
      <c r="BN4" s="53" t="s">
        <v>244</v>
      </c>
      <c r="BO4" s="53" t="s">
        <v>245</v>
      </c>
      <c r="BP4" s="53" t="s">
        <v>267</v>
      </c>
      <c r="BQ4" s="53" t="s">
        <v>213</v>
      </c>
      <c r="BR4" s="53" t="s">
        <v>214</v>
      </c>
      <c r="BS4" s="53" t="s">
        <v>215</v>
      </c>
      <c r="BT4" s="53" t="s">
        <v>246</v>
      </c>
      <c r="BU4" s="53" t="s">
        <v>247</v>
      </c>
      <c r="BV4" s="53" t="s">
        <v>248</v>
      </c>
      <c r="BW4" s="53" t="s">
        <v>268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225</v>
      </c>
      <c r="O6" s="10"/>
      <c r="P6" s="10"/>
      <c r="Q6" s="10">
        <v>2</v>
      </c>
      <c r="R6" s="104" t="s">
        <v>357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249</v>
      </c>
      <c r="Y6" s="10" t="s">
        <v>185</v>
      </c>
      <c r="Z6" s="10"/>
      <c r="AA6" s="10">
        <v>1</v>
      </c>
      <c r="AB6" s="105" t="s">
        <v>371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254</v>
      </c>
      <c r="AI6" s="10" t="s">
        <v>230</v>
      </c>
      <c r="AJ6" s="10">
        <v>0</v>
      </c>
      <c r="AK6" s="10">
        <v>3</v>
      </c>
      <c r="AL6" s="105" t="s">
        <v>367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255</v>
      </c>
      <c r="AS6" s="10" t="s">
        <v>253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256</v>
      </c>
      <c r="AZ6" s="10" t="s">
        <v>250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257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258</v>
      </c>
      <c r="BN6" s="10" t="s">
        <v>252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259</v>
      </c>
      <c r="BU6" s="10" t="s">
        <v>260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225</v>
      </c>
      <c r="O7" s="10"/>
      <c r="P7" s="10"/>
      <c r="Q7" s="10">
        <v>2</v>
      </c>
      <c r="R7" s="104" t="s">
        <v>357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249</v>
      </c>
      <c r="Y7" s="10" t="s">
        <v>185</v>
      </c>
      <c r="Z7" s="10"/>
      <c r="AA7" s="10">
        <v>1</v>
      </c>
      <c r="AB7" s="105" t="s">
        <v>371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254</v>
      </c>
      <c r="AI7" s="10" t="s">
        <v>230</v>
      </c>
      <c r="AJ7" s="10">
        <v>0</v>
      </c>
      <c r="AK7" s="10">
        <v>3</v>
      </c>
      <c r="AL7" s="105" t="s">
        <v>367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255</v>
      </c>
      <c r="AS7" s="10" t="s">
        <v>253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256</v>
      </c>
      <c r="AZ7" s="10" t="s">
        <v>250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257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258</v>
      </c>
      <c r="BN7" s="10" t="s">
        <v>251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259</v>
      </c>
      <c r="BU7" s="10" t="s">
        <v>260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225</v>
      </c>
      <c r="O8" s="10"/>
      <c r="P8" s="10"/>
      <c r="Q8" s="10">
        <v>2</v>
      </c>
      <c r="R8" s="104" t="s">
        <v>357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249</v>
      </c>
      <c r="Y8" s="10" t="s">
        <v>185</v>
      </c>
      <c r="Z8" s="10"/>
      <c r="AA8" s="10">
        <v>1</v>
      </c>
      <c r="AB8" s="105" t="s">
        <v>371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254</v>
      </c>
      <c r="AI8" s="10" t="s">
        <v>230</v>
      </c>
      <c r="AJ8" s="10">
        <v>0</v>
      </c>
      <c r="AK8" s="10">
        <v>3</v>
      </c>
      <c r="AL8" s="105" t="s">
        <v>367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255</v>
      </c>
      <c r="AS8" s="10" t="s">
        <v>253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256</v>
      </c>
      <c r="AZ8" s="10" t="s">
        <v>250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257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259</v>
      </c>
      <c r="BU8" s="10" t="s">
        <v>260</v>
      </c>
      <c r="BV8" s="10"/>
      <c r="BW8" s="10">
        <v>8</v>
      </c>
      <c r="BX8" s="10"/>
    </row>
    <row r="9" spans="1:76" ht="15.75" thickBot="1" x14ac:dyDescent="0.3">
      <c r="A9" s="129" t="s">
        <v>23</v>
      </c>
      <c r="B9" s="130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225</v>
      </c>
      <c r="O9" s="10"/>
      <c r="P9" s="10"/>
      <c r="Q9" s="10">
        <v>2</v>
      </c>
      <c r="R9" s="104" t="s">
        <v>357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249</v>
      </c>
      <c r="Y9" s="10" t="s">
        <v>185</v>
      </c>
      <c r="Z9" s="10"/>
      <c r="AA9" s="10">
        <v>1</v>
      </c>
      <c r="AB9" s="105" t="s">
        <v>371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254</v>
      </c>
      <c r="AI9" s="10" t="s">
        <v>230</v>
      </c>
      <c r="AJ9" s="10">
        <v>0</v>
      </c>
      <c r="AK9" s="10">
        <v>3</v>
      </c>
      <c r="AL9" s="105" t="s">
        <v>367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255</v>
      </c>
      <c r="AS9" s="10" t="s">
        <v>253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256</v>
      </c>
      <c r="AZ9" s="10" t="s">
        <v>250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257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259</v>
      </c>
      <c r="BU9" s="10" t="s">
        <v>260</v>
      </c>
      <c r="BV9" s="10"/>
      <c r="BW9" s="10">
        <v>8</v>
      </c>
      <c r="BX9" s="10"/>
    </row>
    <row r="10" spans="1:76" x14ac:dyDescent="0.25">
      <c r="A10" s="13" t="s">
        <v>110</v>
      </c>
      <c r="B10" s="48" t="s">
        <v>114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225</v>
      </c>
      <c r="O10" s="10"/>
      <c r="P10" s="10"/>
      <c r="Q10" s="10">
        <v>2</v>
      </c>
      <c r="R10" s="104" t="s">
        <v>357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249</v>
      </c>
      <c r="Y10" s="10" t="s">
        <v>185</v>
      </c>
      <c r="Z10" s="10"/>
      <c r="AA10" s="10">
        <v>1</v>
      </c>
      <c r="AB10" s="105" t="s">
        <v>371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254</v>
      </c>
      <c r="AI10" s="10" t="s">
        <v>230</v>
      </c>
      <c r="AJ10" s="10">
        <v>0</v>
      </c>
      <c r="AK10" s="10">
        <v>3</v>
      </c>
      <c r="AL10" s="105" t="s">
        <v>367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255</v>
      </c>
      <c r="AS10" s="10" t="s">
        <v>253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256</v>
      </c>
      <c r="AZ10" s="10" t="s">
        <v>250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257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259</v>
      </c>
      <c r="BU10" s="10" t="s">
        <v>260</v>
      </c>
      <c r="BV10" s="10"/>
      <c r="BW10" s="10">
        <v>8</v>
      </c>
      <c r="BX10" s="10"/>
    </row>
    <row r="11" spans="1:76" x14ac:dyDescent="0.25">
      <c r="A11" s="50" t="s">
        <v>111</v>
      </c>
      <c r="B11" s="51" t="s">
        <v>115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225</v>
      </c>
      <c r="O11" s="10"/>
      <c r="P11" s="10"/>
      <c r="Q11" s="10">
        <v>2</v>
      </c>
      <c r="R11" s="104" t="s">
        <v>357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249</v>
      </c>
      <c r="Y11" s="10" t="s">
        <v>185</v>
      </c>
      <c r="Z11" s="10"/>
      <c r="AA11" s="10">
        <v>1</v>
      </c>
      <c r="AB11" s="105" t="s">
        <v>371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254</v>
      </c>
      <c r="AI11" s="10" t="s">
        <v>230</v>
      </c>
      <c r="AJ11" s="10">
        <v>0</v>
      </c>
      <c r="AK11" s="10">
        <v>3</v>
      </c>
      <c r="AL11" s="105" t="s">
        <v>367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255</v>
      </c>
      <c r="AS11" s="10" t="s">
        <v>253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256</v>
      </c>
      <c r="AZ11" s="81" t="s">
        <v>250</v>
      </c>
      <c r="BA11" s="10"/>
      <c r="BB11" s="10"/>
      <c r="BC11" s="10">
        <v>1500</v>
      </c>
      <c r="BD11" s="10">
        <v>0</v>
      </c>
      <c r="BE11" s="10">
        <v>0</v>
      </c>
      <c r="BF11" s="10" t="s">
        <v>257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259</v>
      </c>
      <c r="BU11" s="10" t="s">
        <v>260</v>
      </c>
      <c r="BV11" s="10"/>
      <c r="BW11" s="10">
        <v>8</v>
      </c>
      <c r="BX11" s="10"/>
    </row>
    <row r="12" spans="1:76" x14ac:dyDescent="0.25">
      <c r="A12" s="50" t="s">
        <v>112</v>
      </c>
      <c r="B12" s="51" t="s">
        <v>116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225</v>
      </c>
      <c r="O12" s="10"/>
      <c r="P12" s="10"/>
      <c r="Q12" s="10">
        <v>2</v>
      </c>
      <c r="R12" s="104" t="s">
        <v>357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249</v>
      </c>
      <c r="Y12" s="10" t="s">
        <v>185</v>
      </c>
      <c r="Z12" s="10"/>
      <c r="AA12" s="10">
        <v>1</v>
      </c>
      <c r="AB12" s="105" t="s">
        <v>371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254</v>
      </c>
      <c r="AI12" s="10" t="s">
        <v>230</v>
      </c>
      <c r="AJ12" s="10">
        <v>0</v>
      </c>
      <c r="AK12" s="10">
        <v>3</v>
      </c>
      <c r="AL12" s="105" t="s">
        <v>367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255</v>
      </c>
      <c r="AS12" s="10" t="s">
        <v>253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256</v>
      </c>
      <c r="AZ12" s="81" t="s">
        <v>250</v>
      </c>
      <c r="BA12" s="10"/>
      <c r="BB12" s="10"/>
      <c r="BC12" s="10">
        <v>1250</v>
      </c>
      <c r="BD12" s="10">
        <v>0</v>
      </c>
      <c r="BE12" s="10">
        <v>0</v>
      </c>
      <c r="BF12" s="10" t="s">
        <v>257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259</v>
      </c>
      <c r="BU12" s="10" t="s">
        <v>260</v>
      </c>
      <c r="BV12" s="10"/>
      <c r="BW12" s="10">
        <v>8</v>
      </c>
      <c r="BX12" s="10"/>
    </row>
    <row r="13" spans="1:76" ht="15.75" thickBot="1" x14ac:dyDescent="0.3">
      <c r="A13" s="16" t="s">
        <v>113</v>
      </c>
      <c r="B13" s="49" t="s">
        <v>117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225</v>
      </c>
      <c r="O13" s="10"/>
      <c r="P13" s="10"/>
      <c r="Q13" s="10">
        <v>2</v>
      </c>
      <c r="R13" s="104" t="s">
        <v>357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371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254</v>
      </c>
      <c r="AI13" s="10" t="s">
        <v>230</v>
      </c>
      <c r="AJ13" s="10">
        <v>0</v>
      </c>
      <c r="AK13" s="10">
        <v>3</v>
      </c>
      <c r="AL13" s="105" t="s">
        <v>367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255</v>
      </c>
      <c r="AS13" s="10" t="s">
        <v>253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257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259</v>
      </c>
      <c r="BU13" s="10" t="s">
        <v>260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225</v>
      </c>
      <c r="O14" s="10"/>
      <c r="P14" s="10"/>
      <c r="Q14" s="10">
        <v>2</v>
      </c>
      <c r="R14" s="104" t="s">
        <v>357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371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254</v>
      </c>
      <c r="AI14" s="10" t="s">
        <v>230</v>
      </c>
      <c r="AJ14" s="10">
        <v>0</v>
      </c>
      <c r="AK14" s="10">
        <v>3</v>
      </c>
      <c r="AL14" s="105" t="s">
        <v>367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257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259</v>
      </c>
      <c r="BU14" s="10" t="s">
        <v>260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225</v>
      </c>
      <c r="O15" s="10"/>
      <c r="P15" s="10"/>
      <c r="Q15" s="10">
        <v>2</v>
      </c>
      <c r="R15" s="104" t="s">
        <v>357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371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254</v>
      </c>
      <c r="AI15" s="10" t="s">
        <v>230</v>
      </c>
      <c r="AJ15" s="10">
        <v>0</v>
      </c>
      <c r="AK15" s="10">
        <v>3</v>
      </c>
      <c r="AL15" s="105" t="s">
        <v>367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257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259</v>
      </c>
      <c r="BU15" s="10" t="s">
        <v>260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225</v>
      </c>
      <c r="O16" s="10"/>
      <c r="P16" s="10"/>
      <c r="Q16" s="10">
        <v>2</v>
      </c>
      <c r="R16" s="104" t="s">
        <v>357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371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367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257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259</v>
      </c>
      <c r="BU16" s="10" t="s">
        <v>260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225</v>
      </c>
      <c r="O17" s="10"/>
      <c r="P17" s="10"/>
      <c r="Q17" s="10">
        <v>2</v>
      </c>
      <c r="R17" s="104" t="s">
        <v>357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371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367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257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259</v>
      </c>
      <c r="BU17" s="10" t="s">
        <v>260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225</v>
      </c>
      <c r="O18" s="10"/>
      <c r="P18" s="10"/>
      <c r="Q18" s="10">
        <v>2</v>
      </c>
      <c r="R18" s="104" t="s">
        <v>357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371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367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257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259</v>
      </c>
      <c r="BU18" s="10" t="s">
        <v>260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225</v>
      </c>
      <c r="O19" s="10"/>
      <c r="P19" s="10"/>
      <c r="Q19" s="10">
        <v>2</v>
      </c>
      <c r="R19" s="104" t="s">
        <v>357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371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367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257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259</v>
      </c>
      <c r="BU19" s="10" t="s">
        <v>260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225</v>
      </c>
      <c r="O20" s="10"/>
      <c r="P20" s="10"/>
      <c r="Q20" s="10">
        <v>2</v>
      </c>
      <c r="R20" s="104" t="s">
        <v>357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371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367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257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259</v>
      </c>
      <c r="BU20" s="10" t="s">
        <v>260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225</v>
      </c>
      <c r="O21" s="10"/>
      <c r="P21" s="10"/>
      <c r="Q21" s="10">
        <v>2</v>
      </c>
      <c r="R21" s="104" t="s">
        <v>357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371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367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257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259</v>
      </c>
      <c r="BU21" s="10" t="s">
        <v>260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225</v>
      </c>
      <c r="O22" s="10"/>
      <c r="P22" s="10"/>
      <c r="Q22" s="10">
        <v>2</v>
      </c>
      <c r="R22" s="104" t="s">
        <v>357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371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367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257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225</v>
      </c>
      <c r="O23" s="10"/>
      <c r="P23" s="10"/>
      <c r="Q23" s="10">
        <v>2</v>
      </c>
      <c r="R23" s="104" t="s">
        <v>357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371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367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257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225</v>
      </c>
      <c r="O24" s="10" t="s">
        <v>182</v>
      </c>
      <c r="P24" s="10"/>
      <c r="Q24" s="10">
        <v>2</v>
      </c>
      <c r="R24" s="104" t="s">
        <v>357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371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367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257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225</v>
      </c>
      <c r="O25" s="10" t="s">
        <v>182</v>
      </c>
      <c r="P25" s="10"/>
      <c r="Q25" s="10">
        <v>2</v>
      </c>
      <c r="R25" s="104" t="s">
        <v>357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371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367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257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225</v>
      </c>
      <c r="O26" s="10" t="s">
        <v>182</v>
      </c>
      <c r="P26" s="10"/>
      <c r="Q26" s="10">
        <v>2</v>
      </c>
      <c r="R26" s="104" t="s">
        <v>357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371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367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257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225</v>
      </c>
      <c r="O27" s="10" t="s">
        <v>182</v>
      </c>
      <c r="P27" s="10"/>
      <c r="Q27" s="10">
        <v>2</v>
      </c>
      <c r="R27" s="104" t="s">
        <v>357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371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367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257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225</v>
      </c>
      <c r="O28" s="10" t="s">
        <v>182</v>
      </c>
      <c r="P28" s="10"/>
      <c r="Q28" s="10">
        <v>2</v>
      </c>
      <c r="R28" s="104" t="s">
        <v>357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371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367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257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225</v>
      </c>
      <c r="O29" s="10" t="s">
        <v>182</v>
      </c>
      <c r="P29" s="10"/>
      <c r="Q29" s="10">
        <v>2</v>
      </c>
      <c r="R29" s="104" t="s">
        <v>357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371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367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257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225</v>
      </c>
      <c r="O30" s="10" t="s">
        <v>182</v>
      </c>
      <c r="P30" s="10"/>
      <c r="Q30" s="10">
        <v>2</v>
      </c>
      <c r="R30" s="104" t="s">
        <v>357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371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367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257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225</v>
      </c>
      <c r="O31" s="10" t="s">
        <v>182</v>
      </c>
      <c r="P31" s="10"/>
      <c r="Q31" s="10">
        <v>2</v>
      </c>
      <c r="R31" s="104" t="s">
        <v>357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371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367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257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225</v>
      </c>
      <c r="O32" s="10" t="s">
        <v>182</v>
      </c>
      <c r="P32" s="10"/>
      <c r="Q32" s="10">
        <v>2</v>
      </c>
      <c r="R32" s="104" t="s">
        <v>357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371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367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257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225</v>
      </c>
      <c r="O33" s="10" t="s">
        <v>182</v>
      </c>
      <c r="P33" s="10"/>
      <c r="Q33" s="10">
        <v>2</v>
      </c>
      <c r="R33" s="104" t="s">
        <v>357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371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367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257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225</v>
      </c>
      <c r="O34" s="10" t="s">
        <v>182</v>
      </c>
      <c r="P34" s="10"/>
      <c r="Q34" s="10">
        <v>2</v>
      </c>
      <c r="R34" s="104" t="s">
        <v>357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371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367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257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225</v>
      </c>
      <c r="O35" s="10" t="s">
        <v>182</v>
      </c>
      <c r="P35" s="10"/>
      <c r="Q35" s="10">
        <v>2</v>
      </c>
      <c r="R35" s="104" t="s">
        <v>357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371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367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257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225</v>
      </c>
      <c r="O36" s="10" t="s">
        <v>182</v>
      </c>
      <c r="P36" s="10"/>
      <c r="Q36" s="10">
        <v>2</v>
      </c>
      <c r="R36" s="104" t="s">
        <v>357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371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367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257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225</v>
      </c>
      <c r="O37" s="10" t="s">
        <v>182</v>
      </c>
      <c r="P37" s="10"/>
      <c r="Q37" s="10">
        <v>2</v>
      </c>
      <c r="R37" s="104" t="s">
        <v>357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371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367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257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26" t="s">
        <v>184</v>
      </c>
      <c r="G42" s="127"/>
      <c r="H42" s="128"/>
    </row>
    <row r="43" spans="6:76" ht="31.5" x14ac:dyDescent="0.25">
      <c r="F43" s="45" t="s">
        <v>105</v>
      </c>
      <c r="G43" s="46" t="s">
        <v>106</v>
      </c>
      <c r="H43" s="47" t="s">
        <v>107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152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sheetPr codeName="Лист7"/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31" t="s">
        <v>138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3"/>
    </row>
    <row r="3" spans="2:34" ht="23.25" thickBot="1" x14ac:dyDescent="0.3">
      <c r="B3" s="54" t="s">
        <v>135</v>
      </c>
      <c r="C3" s="53" t="s">
        <v>143</v>
      </c>
      <c r="D3" s="53" t="s">
        <v>144</v>
      </c>
      <c r="E3" s="53" t="s">
        <v>145</v>
      </c>
      <c r="F3" s="53" t="s">
        <v>146</v>
      </c>
      <c r="G3" s="53" t="s">
        <v>147</v>
      </c>
      <c r="H3" s="53" t="s">
        <v>148</v>
      </c>
      <c r="I3" s="53" t="s">
        <v>149</v>
      </c>
      <c r="J3" s="53" t="s">
        <v>150</v>
      </c>
      <c r="K3" s="53" t="s">
        <v>151</v>
      </c>
      <c r="L3" s="53" t="s">
        <v>152</v>
      </c>
      <c r="M3" s="53" t="s">
        <v>153</v>
      </c>
      <c r="N3" s="53" t="s">
        <v>154</v>
      </c>
      <c r="O3" s="53" t="s">
        <v>155</v>
      </c>
      <c r="P3" s="53" t="s">
        <v>156</v>
      </c>
      <c r="Q3" s="53" t="s">
        <v>157</v>
      </c>
      <c r="R3" s="53" t="s">
        <v>158</v>
      </c>
      <c r="S3" s="53" t="s">
        <v>159</v>
      </c>
      <c r="T3" s="53" t="s">
        <v>160</v>
      </c>
      <c r="U3" s="53" t="s">
        <v>161</v>
      </c>
      <c r="V3" s="53" t="s">
        <v>162</v>
      </c>
      <c r="W3" s="53" t="s">
        <v>163</v>
      </c>
      <c r="X3" s="53" t="s">
        <v>164</v>
      </c>
      <c r="Y3" s="53" t="s">
        <v>165</v>
      </c>
      <c r="Z3" s="53" t="s">
        <v>166</v>
      </c>
      <c r="AA3" s="53" t="s">
        <v>167</v>
      </c>
      <c r="AB3" s="53" t="s">
        <v>168</v>
      </c>
      <c r="AC3" s="53" t="s">
        <v>169</v>
      </c>
      <c r="AD3" s="53" t="s">
        <v>170</v>
      </c>
      <c r="AE3" s="53" t="s">
        <v>171</v>
      </c>
      <c r="AF3" s="53" t="s">
        <v>172</v>
      </c>
      <c r="AG3" s="53" t="s">
        <v>173</v>
      </c>
      <c r="AH3" s="53" t="s">
        <v>174</v>
      </c>
    </row>
    <row r="4" spans="2:34" ht="23.25" thickBot="1" x14ac:dyDescent="0.3">
      <c r="B4" s="54" t="s">
        <v>175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142</v>
      </c>
      <c r="D5" s="10" t="s">
        <v>142</v>
      </c>
      <c r="E5" s="10" t="s">
        <v>142</v>
      </c>
      <c r="F5" s="10">
        <v>100000</v>
      </c>
      <c r="G5" s="10" t="s">
        <v>142</v>
      </c>
      <c r="H5" s="10" t="s">
        <v>142</v>
      </c>
      <c r="I5" s="10" t="s">
        <v>142</v>
      </c>
      <c r="J5" s="10">
        <v>100000</v>
      </c>
      <c r="K5" s="10">
        <v>0</v>
      </c>
      <c r="L5" s="10" t="s">
        <v>142</v>
      </c>
      <c r="M5" s="10" t="s">
        <v>142</v>
      </c>
      <c r="N5" s="10">
        <v>100000</v>
      </c>
      <c r="O5" s="10" t="s">
        <v>142</v>
      </c>
      <c r="P5" s="10" t="s">
        <v>142</v>
      </c>
      <c r="Q5" s="10" t="s">
        <v>142</v>
      </c>
      <c r="R5" s="10">
        <v>100000</v>
      </c>
      <c r="S5" s="10" t="s">
        <v>142</v>
      </c>
      <c r="T5" s="10" t="s">
        <v>142</v>
      </c>
      <c r="U5" s="10" t="s">
        <v>142</v>
      </c>
      <c r="V5" s="10">
        <v>100000</v>
      </c>
      <c r="W5" s="10" t="s">
        <v>142</v>
      </c>
      <c r="X5" s="10" t="s">
        <v>142</v>
      </c>
      <c r="Y5" s="10" t="s">
        <v>142</v>
      </c>
      <c r="Z5" s="10">
        <v>100000</v>
      </c>
      <c r="AA5" s="10" t="s">
        <v>142</v>
      </c>
      <c r="AB5" s="10" t="s">
        <v>142</v>
      </c>
      <c r="AC5" s="10" t="s">
        <v>142</v>
      </c>
      <c r="AD5" s="10">
        <v>100000</v>
      </c>
      <c r="AE5" s="10" t="s">
        <v>142</v>
      </c>
      <c r="AF5" s="10" t="s">
        <v>142</v>
      </c>
      <c r="AG5" s="10" t="s">
        <v>142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142</v>
      </c>
      <c r="T6" s="10" t="s">
        <v>142</v>
      </c>
      <c r="U6" s="10" t="s">
        <v>142</v>
      </c>
      <c r="V6" s="10" t="s">
        <v>142</v>
      </c>
      <c r="W6" s="10" t="s">
        <v>142</v>
      </c>
      <c r="X6" s="10" t="s">
        <v>142</v>
      </c>
      <c r="Y6" s="10" t="s">
        <v>142</v>
      </c>
      <c r="Z6" s="10" t="s">
        <v>142</v>
      </c>
      <c r="AA6" s="10" t="s">
        <v>142</v>
      </c>
      <c r="AB6" s="10" t="s">
        <v>142</v>
      </c>
      <c r="AC6" s="10" t="s">
        <v>142</v>
      </c>
      <c r="AD6" s="10" t="s">
        <v>142</v>
      </c>
      <c r="AE6" s="10" t="s">
        <v>142</v>
      </c>
      <c r="AF6" s="10" t="s">
        <v>142</v>
      </c>
      <c r="AG6" s="10" t="s">
        <v>142</v>
      </c>
      <c r="AH6" s="10" t="s">
        <v>142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sheetPr codeName="Лист8"/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34" t="s">
        <v>97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18" ht="35.25" customHeight="1" thickBot="1" x14ac:dyDescent="0.3">
      <c r="A2" s="33"/>
      <c r="B2" s="12" t="s">
        <v>98</v>
      </c>
      <c r="C2" s="135" t="s">
        <v>99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6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124</v>
      </c>
      <c r="B4" s="29" t="s">
        <v>100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125</v>
      </c>
      <c r="B6" s="29" t="s">
        <v>101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126</v>
      </c>
      <c r="B8" s="30" t="s">
        <v>102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127</v>
      </c>
      <c r="B10" s="32" t="s">
        <v>103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sheetPr codeName="Лист9"/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90</v>
      </c>
    </row>
    <row r="2" spans="1:1" x14ac:dyDescent="0.25">
      <c r="A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sheetPr codeName="Лист10"/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37" t="s">
        <v>89</v>
      </c>
      <c r="E1" s="137"/>
      <c r="F1" s="137"/>
      <c r="G1" s="137"/>
      <c r="H1" s="137"/>
    </row>
    <row r="2" spans="2:9" x14ac:dyDescent="0.25">
      <c r="D2" s="137"/>
      <c r="E2" s="137"/>
      <c r="F2" s="137"/>
      <c r="G2" s="137"/>
      <c r="H2" s="137"/>
    </row>
    <row r="3" spans="2:9" x14ac:dyDescent="0.25">
      <c r="C3" t="s">
        <v>79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78</v>
      </c>
      <c r="D5" t="s">
        <v>9</v>
      </c>
      <c r="E5" t="s">
        <v>5</v>
      </c>
      <c r="F5" t="s">
        <v>6</v>
      </c>
      <c r="G5" t="s">
        <v>72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sheetPr codeName="Лист11"/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38" t="s">
        <v>89</v>
      </c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</row>
    <row r="9" spans="5:16" x14ac:dyDescent="0.25"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</row>
    <row r="10" spans="5:16" x14ac:dyDescent="0.25"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</row>
    <row r="11" spans="5:16" x14ac:dyDescent="0.25"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</row>
    <row r="12" spans="5:16" x14ac:dyDescent="0.25"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</row>
    <row r="13" spans="5:16" x14ac:dyDescent="0.25"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</row>
    <row r="14" spans="5:16" x14ac:dyDescent="0.25"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</row>
    <row r="15" spans="5:16" x14ac:dyDescent="0.25"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</row>
    <row r="16" spans="5:16" x14ac:dyDescent="0.25"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</row>
    <row r="17" spans="5:16" x14ac:dyDescent="0.25"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</row>
    <row r="18" spans="5:16" x14ac:dyDescent="0.25"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</row>
    <row r="19" spans="5:16" x14ac:dyDescent="0.25"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</row>
    <row r="20" spans="5:16" x14ac:dyDescent="0.25"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</row>
    <row r="21" spans="5:16" x14ac:dyDescent="0.25"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</row>
    <row r="22" spans="5:16" x14ac:dyDescent="0.25"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&lt;zall&gt;DEVSET</vt:lpstr>
      <vt:lpstr>&lt;zall&gt;DEVEXPORT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2024-07-09T11:13:01Z</dcterms:modified>
</cp:coreProperties>
</file>