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tnafubrhane/Documents/Data Analytics Class/Challanges /Excel-Challenge /"/>
    </mc:Choice>
  </mc:AlternateContent>
  <xr:revisionPtr revIDLastSave="0" documentId="13_ncr:1_{BDBD7540-9104-3247-9BE8-C3D95CA582C1}" xr6:coauthVersionLast="47" xr6:coauthVersionMax="47" xr10:uidLastSave="{00000000-0000-0000-0000-000000000000}"/>
  <bookViews>
    <workbookView xWindow="-38400" yWindow="-1060" windowWidth="38400" windowHeight="19680" activeTab="5" xr2:uid="{00000000-000D-0000-FFFF-FFFF00000000}"/>
  </bookViews>
  <sheets>
    <sheet name="Crowdfunding" sheetId="1" r:id="rId1"/>
    <sheet name="Outcome per Categpry" sheetId="11" r:id="rId2"/>
    <sheet name="Outcome per Sub-Category" sheetId="13" r:id="rId3"/>
    <sheet name="Outcome Count" sheetId="7" r:id="rId4"/>
    <sheet name="Outcome Based on Goals" sheetId="8" r:id="rId5"/>
    <sheet name="Summary Statistic Table " sheetId="9" r:id="rId6"/>
  </sheets>
  <definedNames>
    <definedName name="_xlnm._FilterDatabase" localSheetId="0" hidden="1">Crowdfunding!$A$1:$T$1001</definedName>
    <definedName name="_xlchart.v1.0" hidden="1">'Summary Statistic Table '!$B$1</definedName>
    <definedName name="_xlchart.v1.1" hidden="1">'Summary Statistic Table '!$B$2:$B$566</definedName>
    <definedName name="_xlchart.v1.2" hidden="1">'Summary Statistic Table '!$E$1</definedName>
    <definedName name="_xlchart.v1.3" hidden="1">'Summary Statistic Table '!$E$2:$E$566</definedName>
  </definedNames>
  <calcPr calcId="191029"/>
  <pivotCaches>
    <pivotCache cacheId="15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2" i="8"/>
  <c r="J13" i="9"/>
  <c r="I13" i="9"/>
  <c r="J12" i="9"/>
  <c r="J11" i="9"/>
  <c r="J10" i="9"/>
  <c r="J9" i="9"/>
  <c r="J8" i="9"/>
  <c r="I12" i="9"/>
  <c r="I11" i="9"/>
  <c r="I10" i="9"/>
  <c r="I9" i="9"/>
  <c r="I8" i="9"/>
  <c r="I5" i="1"/>
  <c r="C2" i="8"/>
  <c r="D2" i="8"/>
  <c r="B3" i="8"/>
  <c r="C3" i="8"/>
  <c r="D3" i="8"/>
  <c r="B4" i="8"/>
  <c r="C4" i="8"/>
  <c r="D4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F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" i="8" l="1"/>
  <c r="F5" i="8" s="1"/>
  <c r="E6" i="8"/>
  <c r="G6" i="8" s="1"/>
  <c r="E11" i="8"/>
  <c r="H11" i="8" s="1"/>
  <c r="E12" i="8"/>
  <c r="G12" i="8" s="1"/>
  <c r="E7" i="8"/>
  <c r="F7" i="8" s="1"/>
  <c r="E3" i="8"/>
  <c r="H3" i="8" s="1"/>
  <c r="F6" i="8"/>
  <c r="E9" i="8"/>
  <c r="H9" i="8" s="1"/>
  <c r="E2" i="8"/>
  <c r="F2" i="8" s="1"/>
  <c r="E8" i="8"/>
  <c r="F8" i="8" s="1"/>
  <c r="E4" i="8"/>
  <c r="F4" i="8" s="1"/>
  <c r="E13" i="8"/>
  <c r="G13" i="8" s="1"/>
  <c r="F11" i="8"/>
  <c r="E10" i="8"/>
  <c r="H10" i="8" s="1"/>
  <c r="G5" i="8" l="1"/>
  <c r="G11" i="8"/>
  <c r="H6" i="8"/>
  <c r="H5" i="8"/>
  <c r="H12" i="8"/>
  <c r="F9" i="8"/>
  <c r="G7" i="8"/>
  <c r="F12" i="8"/>
  <c r="H2" i="8"/>
  <c r="H4" i="8"/>
  <c r="G4" i="8"/>
  <c r="H13" i="8"/>
  <c r="F3" i="8"/>
  <c r="H7" i="8"/>
  <c r="G9" i="8"/>
  <c r="G2" i="8"/>
  <c r="G3" i="8"/>
  <c r="H8" i="8"/>
  <c r="G8" i="8"/>
  <c r="F13" i="8"/>
  <c r="F10" i="8"/>
  <c r="G10" i="8"/>
</calcChain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<sst xmlns="http://schemas.openxmlformats.org/spreadsheetml/2006/main" count="9062" uniqueCount="2116">
  <si>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</si>
  <si>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</si>
  <si>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</si>
  <si>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</si>
  <si>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</si>
  <si>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</si>
  <si>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</si>
  <si>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</si>
  <si>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</si>
  <si>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</si>
  <si>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</si>
  <si>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</si>
  <si>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</si>
  <si>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</si>
  <si>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</si>
  <si>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</si>
  <si>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</si>
  <si>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</si>
  <si>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</si>
  <si>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</si>
  <si>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</si>
  <si>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</si>
  <si>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</si>
  <si>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</si>
  <si>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</si>
  <si>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</si>
  <si>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</si>
  <si>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</si>
  <si>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</si>
  <si>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</si>
  <si>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</si>
  <si>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</si>
  <si>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</si>
  <si>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</si>
  <si>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</si>
  <si>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</si>
  <si>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</si>
  <si>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</si>
  <si>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</si>
  <si>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</si>
  <si>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</si>
  <si>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</si>
  <si>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</si>
  <si>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</si>
  <si>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</si>
  <si>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</si>
  <si>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</si>
  <si>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</si>
  <si>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</si>
  <si>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</si>
  <si>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</si>
  <si>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</si>
  <si>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</si>
  <si>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</si>
  <si>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</si>
  <si>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</si>
  <si>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</si>
  <si>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</si>
  <si>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</si>
  <si>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</si>
  <si>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</si>
  <si>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</si>
  <si>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</si>
  <si>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</si>
  <si>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</si>
  <si>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</si>
  <si>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</si>
  <si>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</si>
  <si>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</si>
  <si>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</si>
  <si>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</si>
  <si>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</si>
  <si>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</si>
  <si>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</si>
  <si>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</si>
  <si>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</si>
  <si>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</si>
  <si>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</si>
  <si>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</si>
  <si>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</si>
  <si>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</si>
  <si>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</si>
  <si>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</si>
  <si>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</si>
  <si>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</si>
  <si>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</si>
  <si>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</si>
  <si>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</si>
  <si>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</si>
  <si>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</si>
  <si>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</si>
  <si>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</si>
  <si>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</si>
  <si>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</si>
  <si>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</si>
  <si>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</si>
  <si>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</si>
  <si>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</si>
  <si>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</si>
  <si>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</si>
  <si>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</si>
  <si>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</si>
  <si>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</si>
  <si>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</si>
  <si>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</si>
  <si>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</si>
  <si>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</si>
  <si>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</si>
  <si>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</si>
  <si>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</si>
  <si>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</si>
  <si>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</si>
  <si>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</si>
  <si>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</si>
  <si>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</si>
  <si>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</si>
  <si>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</si>
  <si>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</si>
  <si>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</si>
  <si>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</si>
  <si>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</si>
  <si>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</si>
  <si>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</si>
  <si>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</si>
  <si>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</si>
  <si>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</si>
  <si>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</si>
  <si>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</si>
  <si>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</si>
  <si>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</si>
  <si>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</si>
  <si>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</si>
  <si>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</si>
  <si>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</si>
  <si>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</si>
  <si>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</si>
  <si>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</si>
  <si>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</si>
  <si>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</si>
  <si>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</si>
  <si>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</si>
  <si>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</si>
  <si>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</si>
  <si>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</si>
  <si>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</si>
  <si>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</si>
  <si>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</si>
  <si>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</si>
  <si>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</si>
  <si>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</si>
  <si>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</si>
  <si>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</si>
  <si>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</si>
  <si>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</si>
  <si>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</si>
  <si>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</si>
  <si>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</si>
  <si>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</si>
  <si>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</si>
  <si>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</si>
  <si>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</si>
  <si>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</si>
  <si>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</si>
  <si>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</si>
  <si>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</si>
  <si>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</si>
  <si>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</si>
  <si>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</si>
  <si>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</si>
  <si>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</si>
  <si>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</si>
  <si>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</si>
  <si>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</si>
  <si>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</si>
  <si>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</si>
  <si>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</si>
  <si>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</si>
  <si>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</si>
  <si>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</si>
  <si>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</si>
  <si>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</si>
  <si>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</si>
  <si>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</si>
  <si>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</si>
  <si>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</si>
  <si>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</si>
  <si>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</si>
  <si>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</si>
  <si>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</si>
  <si>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</si>
  <si>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</si>
  <si>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</si>
  <si>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</si>
  <si>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</si>
  <si>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</si>
  <si>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</si>
  <si>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</si>
  <si>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</si>
  <si>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</si>
  <si>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</si>
  <si>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</si>
  <si>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</si>
  <si>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</si>
  <si>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</si>
  <si>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</si>
  <si>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</si>
  <si>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</si>
  <si>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</si>
  <si>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</si>
  <si>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</si>
  <si>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</si>
  <si>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</si>
  <si>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</si>
  <si>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</si>
  <si>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</si>
  <si>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</si>
  <si>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</si>
  <si>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</si>
  <si>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</si>
  <si>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</si>
  <si>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</si>
  <si>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</si>
  <si>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</si>
  <si>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</si>
  <si>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</si>
  <si>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</si>
  <si>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</si>
  <si>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</si>
  <si>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</si>
  <si>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</si>
  <si>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</si>
  <si>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</si>
  <si>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</si>
  <si>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</si>
  <si>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</si>
  <si>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</si>
  <si>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</si>
  <si>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</si>
  <si>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</si>
  <si>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</si>
  <si>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</si>
  <si>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</si>
  <si>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</si>
  <si>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</si>
  <si>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</si>
  <si>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</si>
  <si>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</si>
  <si>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</si>
  <si>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</si>
  <si>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</si>
  <si>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</si>
  <si>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</si>
  <si>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</si>
  <si>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</si>
  <si>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</si>
  <si>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</si>
  <si>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</si>
  <si>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</si>
  <si>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</si>
  <si>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</si>
  <si>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</si>
  <si>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</si>
  <si>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</si>
  <si>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</si>
  <si>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</si>
  <si>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</si>
  <si>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</si>
  <si>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</si>
  <si>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</si>
  <si>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</si>
  <si>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</si>
  <si>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</si>
  <si>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</si>
  <si>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</si>
  <si>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</si>
  <si>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</si>
  <si>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</si>
  <si>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</si>
  <si>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</si>
  <si>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</si>
  <si>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</si>
  <si>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</si>
  <si>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</si>
  <si>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</si>
  <si>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</si>
  <si>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</si>
  <si>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</si>
  <si>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</si>
  <si>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</si>
  <si>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</si>
  <si>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</si>
  <si>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</si>
  <si>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</si>
  <si>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</si>
  <si>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</si>
  <si>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</si>
  <si>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</si>
  <si>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</si>
  <si>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</si>
  <si>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</si>
  <si>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</si>
  <si>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</si>
  <si>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</si>
  <si>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</si>
  <si>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</si>
  <si>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</si>
  <si>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</si>
  <si>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</si>
  <si>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</si>
  <si>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</si>
  <si>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</si>
  <si>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</si>
  <si>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</si>
  <si>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</si>
  <si>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</si>
  <si>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</si>
  <si>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</si>
  <si>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</si>
  <si>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</si>
  <si>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</si>
  <si>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</si>
  <si>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</si>
  <si>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</si>
  <si>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</si>
  <si>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</si>
  <si>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</si>
  <si>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</si>
  <si>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</si>
  <si>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</si>
  <si>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</si>
  <si>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</si>
  <si>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</si>
  <si>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</si>
  <si>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</si>
  <si>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</si>
  <si>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</si>
  <si>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</si>
  <si>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</si>
  <si>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</si>
  <si>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</si>
  <si>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</si>
  <si>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</si>
  <si>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</si>
  <si>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</si>
  <si>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</si>
  <si>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</si>
  <si>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</si>
  <si>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</si>
  <si>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</si>
  <si>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</si>
  <si>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</si>
  <si>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</si>
  <si>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</si>
  <si>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</si>
  <si>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</si>
  <si>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</si>
  <si>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</si>
  <si>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</si>
  <si>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</si>
  <si>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</si>
  <si>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</si>
  <si>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</si>
  <si>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</si>
  <si>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</si>
  <si>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</si>
  <si>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</si>
  <si>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</si>
  <si>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</si>
  <si>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</si>
  <si>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</si>
  <si>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</si>
  <si>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</si>
  <si>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</si>
  <si>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</si>
  <si>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</si>
  <si>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</si>
  <si>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</si>
  <si>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</si>
  <si>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</si>
  <si>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</si>
  <si>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</si>
  <si>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</si>
  <si>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</si>
  <si>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</si>
  <si>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</si>
  <si>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</si>
  <si>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</si>
  <si>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</si>
  <si>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</si>
  <si>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</si>
  <si>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</si>
  <si>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</si>
  <si>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</si>
  <si>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</si>
  <si>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</si>
  <si>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</si>
  <si>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</si>
  <si>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</si>
  <si>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</si>
  <si>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</si>
  <si>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</si>
  <si>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</si>
  <si>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</si>
  <si>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</si>
  <si>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</si>
  <si>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</si>
  <si>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</si>
  <si>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</si>
  <si>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</si>
  <si>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</si>
  <si>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</si>
  <si>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</si>
  <si>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</si>
  <si>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</si>
  <si>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</si>
  <si>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</si>
  <si>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</si>
  <si>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</si>
  <si>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</si>
  <si>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</si>
  <si>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</si>
  <si>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</si>
  <si>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</si>
  <si>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</si>
  <si>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</si>
  <si>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</si>
  <si>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</si>
  <si>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</si>
  <si>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</si>
  <si>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</si>
  <si>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</si>
  <si>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</si>
  <si>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</si>
  <si>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</si>
  <si>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</si>
  <si>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</si>
  <si>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</si>
  <si>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</si>
  <si>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</si>
  <si>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</si>
  <si>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</si>
  <si>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</si>
  <si>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</si>
  <si>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</si>
  <si>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</si>
  <si>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</si>
  <si>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</si>
  <si>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</si>
  <si>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</si>
  <si>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</si>
  <si>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</si>
  <si>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</si>
  <si>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</si>
  <si>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</si>
  <si>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</si>
  <si>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</si>
  <si>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</si>
  <si>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</si>
  <si>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</si>
  <si>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</si>
  <si>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</si>
  <si>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</si>
  <si>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</si>
  <si>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</si>
  <si>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</si>
  <si>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</si>
  <si>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</si>
  <si>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</si>
  <si>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</si>
  <si>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</si>
  <si>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</si>
  <si>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</si>
  <si>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</si>
  <si>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</si>
  <si>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</si>
  <si>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</si>
  <si>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</si>
  <si>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</si>
  <si>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</si>
  <si>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</si>
  <si>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</si>
  <si>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</si>
  <si>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</si>
  <si>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</si>
  <si>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</si>
  <si>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</si>
  <si>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</si>
  <si>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</si>
  <si>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</si>
  <si>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</si>
  <si>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</si>
  <si>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</si>
  <si>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</si>
  <si>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</si>
  <si>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</si>
  <si>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</si>
  <si>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</si>
  <si>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</si>
  <si>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</si>
  <si>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</si>
  <si>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</si>
  <si>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</si>
  <si>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</si>
  <si>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</si>
  <si>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</si>
  <si>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</si>
  <si>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</si>
  <si>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</si>
  <si>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</si>
  <si>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</si>
  <si>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</si>
  <si>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</si>
  <si>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</si>
  <si>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</si>
  <si>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</si>
  <si>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</si>
  <si>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</si>
  <si>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</si>
  <si>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</si>
  <si>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</si>
  <si>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</si>
  <si>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</si>
  <si>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</si>
  <si>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</si>
  <si>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</si>
  <si>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</si>
  <si>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</si>
  <si>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</si>
  <si>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</si>
  <si>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</si>
  <si>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</si>
  <si>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</si>
  <si>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</si>
  <si>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</si>
  <si>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</si>
  <si>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</si>
  <si>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</si>
  <si>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</si>
  <si>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</si>
  <si>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</si>
  <si>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</si>
  <si>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</si>
  <si>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</si>
  <si>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</si>
  <si>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</si>
  <si>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</si>
  <si>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</si>
  <si>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</si>
  <si>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</si>
  <si>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</si>
  <si>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</si>
  <si>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</si>
  <si>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</si>
  <si>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</si>
  <si>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</si>
  <si>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</si>
  <si>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</si>
  <si>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</si>
  <si>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</si>
  <si>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</si>
  <si>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</si>
  <si>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</si>
  <si>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</si>
  <si>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</si>
  <si>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</si>
  <si>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</si>
  <si>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</si>
  <si>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</si>
  <si>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</si>
  <si>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</si>
  <si>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</si>
  <si>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</si>
  <si>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</si>
  <si>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</si>
  <si>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</si>
  <si>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</si>
  <si>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</si>
  <si>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</si>
  <si>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</si>
  <si>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</si>
  <si>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</si>
  <si>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</si>
  <si>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</si>
  <si>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</si>
  <si>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</si>
  <si>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</si>
  <si>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</si>
  <si>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</si>
  <si>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</si>
  <si>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</si>
  <si>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</si>
  <si>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</si>
  <si>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</si>
  <si>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</si>
  <si>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</si>
  <si>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</si>
  <si>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</si>
  <si>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</si>
  <si>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</si>
  <si>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</si>
  <si>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</si>
  <si>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</si>
  <si>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</si>
  <si>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</si>
  <si>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</si>
  <si>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</si>
  <si>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</si>
  <si>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</si>
  <si>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</si>
  <si>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</si>
  <si>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</si>
  <si>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</si>
  <si>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</si>
  <si>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</si>
  <si>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</si>
  <si>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</si>
  <si>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</si>
  <si>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</si>
  <si>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</si>
  <si>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</si>
  <si>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</si>
  <si>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</si>
  <si>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</si>
  <si>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</si>
  <si>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</si>
  <si>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</si>
  <si>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</si>
  <si>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</si>
  <si>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</si>
  <si>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</si>
  <si>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</si>
  <si>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</si>
  <si>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</si>
  <si>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</si>
  <si>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</si>
  <si>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</si>
  <si>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</si>
  <si>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</si>
  <si>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</si>
  <si>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</si>
  <si>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</si>
  <si>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</si>
  <si>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</si>
  <si>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</si>
  <si>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</si>
  <si>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</si>
  <si>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</si>
  <si>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</si>
  <si>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</si>
  <si>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</si>
  <si>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</si>
  <si>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</si>
  <si>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</si>
  <si>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</si>
  <si>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</si>
  <si>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</si>
  <si>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</si>
  <si>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</si>
  <si>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</si>
  <si>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</si>
  <si>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</si>
  <si>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</si>
  <si>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</si>
  <si>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</si>
  <si>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</si>
  <si>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</si>
  <si>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</si>
  <si>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</si>
  <si>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</si>
  <si>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</si>
  <si>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</si>
  <si>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</si>
  <si>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</si>
  <si>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</si>
  <si>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</si>
  <si>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</si>
  <si>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</si>
  <si>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</si>
  <si>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</si>
  <si>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</si>
  <si>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</si>
  <si>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</si>
  <si>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</si>
  <si>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</si>
  <si>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</si>
  <si>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</si>
  <si>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</si>
  <si>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</si>
  <si>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</si>
  <si>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</si>
  <si>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</si>
  <si>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</si>
  <si>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</si>
  <si>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</si>
  <si>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</si>
  <si>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</si>
  <si>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</si>
  <si>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</si>
  <si>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</si>
  <si>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</si>
  <si>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</si>
  <si>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</si>
  <si>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</si>
  <si>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</si>
  <si>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</si>
  <si>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</si>
  <si>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</si>
  <si>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</si>
  <si>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</si>
  <si>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</si>
  <si>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</si>
  <si>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</si>
  <si>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</si>
  <si>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</si>
  <si>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</si>
  <si>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</si>
  <si>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</si>
  <si>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</si>
  <si>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</si>
  <si>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</si>
  <si>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</si>
  <si>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</si>
  <si>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</si>
  <si>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</si>
  <si>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</si>
  <si>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</si>
  <si>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</si>
  <si>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</si>
  <si>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</si>
  <si>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</si>
  <si>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</si>
  <si>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</si>
  <si>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</si>
  <si>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</si>
  <si>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</si>
  <si>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</si>
  <si>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</si>
  <si>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</si>
  <si>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</si>
  <si>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</si>
  <si>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</si>
  <si>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</si>
  <si>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</si>
  <si>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</si>
  <si>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</si>
  <si>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</si>
  <si>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</si>
  <si>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</si>
  <si>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</si>
  <si>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</si>
  <si>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</si>
  <si>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</si>
  <si>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</si>
  <si>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</si>
  <si>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</si>
  <si>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</si>
  <si>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</si>
  <si>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</si>
  <si>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</si>
  <si>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</si>
  <si>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</si>
  <si>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</si>
  <si>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</si>
  <si>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</si>
  <si>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</si>
  <si>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</si>
  <si>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</si>
  <si>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</si>
  <si>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</si>
  <si>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</si>
  <si>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</si>
  <si>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</si>
  <si>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</si>
  <si>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</si>
  <si>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</si>
  <si>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</si>
  <si>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</si>
  <si>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</si>
  <si>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</si>
  <si>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</si>
  <si>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</si>
  <si>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</si>
  <si>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</si>
  <si>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</si>
  <si>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</si>
  <si>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</si>
  <si>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</si>
  <si>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</si>
  <si>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</si>
  <si>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</si>
  <si>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</si>
  <si>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</si>
  <si>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</si>
  <si>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</si>
  <si>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</si>
  <si>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</si>
  <si>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</si>
  <si>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</si>
  <si>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</si>
  <si>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</si>
  <si>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</si>
  <si>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</si>
  <si>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</si>
  <si>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</si>
  <si>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</si>
  <si>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</si>
  <si>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</si>
  <si>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</si>
  <si>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</si>
  <si>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</si>
  <si>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</si>
  <si>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</si>
  <si>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</si>
  <si>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</si>
  <si>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</si>
  <si>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</si>
  <si>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</si>
  <si>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</si>
  <si>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</si>
  <si>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</si>
  <si>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</si>
  <si>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</si>
  <si>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</si>
  <si>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</si>
  <si>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</si>
  <si>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</si>
  <si>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</si>
  <si>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</si>
  <si>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</si>
  <si>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</si>
  <si>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</si>
  <si>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</si>
  <si>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</si>
  <si>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</si>
  <si>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</si>
  <si>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</si>
  <si>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</si>
  <si>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</si>
  <si>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</si>
  <si>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</si>
  <si>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</si>
  <si>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</si>
  <si>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</si>
  <si>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</si>
  <si>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</si>
  <si>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</si>
  <si>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</si>
  <si>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</si>
  <si>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</si>
  <si>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</si>
  <si>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</si>
  <si>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</si>
  <si>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</si>
  <si>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</si>
  <si>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</si>
  <si>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</si>
  <si>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</si>
  <si>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</si>
  <si>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</si>
  <si>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</si>
  <si>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</si>
  <si>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</si>
  <si>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</si>
  <si>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</si>
  <si>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</si>
  <si>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</si>
  <si>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</si>
  <si>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</si>
  <si>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</si>
  <si>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</si>
  <si>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</si>
  <si>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</si>
  <si>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</si>
  <si>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</si>
  <si>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</si>
  <si>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</si>
  <si>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</si>
  <si>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</si>
  <si>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</si>
  <si>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</si>
  <si>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</si>
  <si>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</si>
  <si>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</si>
  <si>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</si>
  <si>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</si>
  <si>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</si>
  <si>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</si>
  <si>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</si>
  <si>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</si>
  <si>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</si>
  <si>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</si>
  <si>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</si>
  <si>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</si>
  <si>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</si>
  <si>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</si>
  <si>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</si>
  <si>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</si>
  <si>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</si>
  <si>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</si>
  <si>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</si>
  <si>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</si>
  <si>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</si>
  <si>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</si>
  <si>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</si>
  <si>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</si>
  <si>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</si>
  <si>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</si>
  <si>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</si>
  <si>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</si>
  <si>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</si>
  <si>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</si>
  <si>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</si>
  <si>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</si>
  <si>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</si>
  <si>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</si>
  <si>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</si>
  <si>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</si>
  <si>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</si>
  <si>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</si>
  <si>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</si>
  <si>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</si>
  <si>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</si>
  <si>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</si>
  <si>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</si>
  <si>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</si>
  <si>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</si>
  <si>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</si>
  <si>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</si>
  <si>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</si>
  <si>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</si>
  <si>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</si>
  <si>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</si>
  <si>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</si>
  <si>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</si>
  <si>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</si>
  <si>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</si>
  <si>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</si>
  <si>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</si>
  <si>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</si>
  <si>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</si>
  <si>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</si>
  <si>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</si>
  <si>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</si>
  <si>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</si>
  <si>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</si>
  <si>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</si>
  <si>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</si>
  <si>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</si>
  <si>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</si>
  <si>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</si>
  <si>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</si>
  <si>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</si>
  <si>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</si>
  <si>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</si>
  <si>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</si>
  <si>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</si>
  <si>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</si>
  <si>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</si>
  <si>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</si>
  <si>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</si>
  <si>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</si>
  <si>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</si>
  <si>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</si>
  <si>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</si>
  <si>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</si>
  <si>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</si>
  <si>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</si>
  <si>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</si>
  <si>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</si>
  <si>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</si>
  <si>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</si>
  <si>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</si>
  <si>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</si>
  <si>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</si>
  <si>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</si>
  <si>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</si>
  <si>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</si>
  <si>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</si>
  <si>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</si>
  <si>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</si>
  <si>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</si>
  <si>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</si>
  <si>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</si>
  <si>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</si>
  <si>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</si>
  <si>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</si>
  <si>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</si>
  <si>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</si>
  <si>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</si>
  <si>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</si>
  <si>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</si>
  <si>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</si>
  <si>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</si>
  <si>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</si>
  <si>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</si>
  <si>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</si>
  <si>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</si>
  <si>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</si>
  <si>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</si>
  <si>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</si>
  <si>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</si>
  <si>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</si>
  <si>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</si>
  <si>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</si>
  <si>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</si>
  <si>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</si>
  <si>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</si>
  <si>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</si>
  <si>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</si>
  <si>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</si>
  <si>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</si>
  <si>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</si>
  <si>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</si>
  <si>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</si>
  <si>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</si>
  <si>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</si>
  <si>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</si>
  <si>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</si>
  <si>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</si>
  <si>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</si>
  <si>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</si>
  <si>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</si>
  <si>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</si>
  <si>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</si>
  <si>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</si>
  <si>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</si>
  <si>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</si>
  <si>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</si>
  <si>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</si>
  <si>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</si>
  <si>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</si>
  <si>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</si>
  <si>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</si>
  <si>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</si>
  <si>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</si>
  <si>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</si>
  <si>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</si>
  <si>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</si>
  <si>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</si>
  <si>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</si>
  <si>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</si>
  <si>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</si>
  <si>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</si>
  <si>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</si>
  <si>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</si>
  <si>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</si>
  <si>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</si>
  <si>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</si>
  <si>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</si>
  <si>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</si>
  <si>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</si>
  <si>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</si>
  <si>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</si>
  <si>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</si>
  <si>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</si>
  <si>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</si>
  <si>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</si>
  <si>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</si>
  <si>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</si>
  <si>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</si>
  <si>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</si>
  <si>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</si>
  <si>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</si>
  <si>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</si>
  <si>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</si>
  <si>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</si>
  <si>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</si>
  <si>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</si>
  <si>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</si>
  <si>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</si>
  <si>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</si>
  <si>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</si>
  <si>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</si>
  <si>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</si>
  <si>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</si>
  <si>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</si>
  <si>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</si>
  <si>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</si>
  <si>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</si>
  <si>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</si>
  <si>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</si>
  <si>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</si>
  <si>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</si>
  <si>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</si>
  <si>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</si>
  <si>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</si>
  <si>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</si>
  <si>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</si>
  <si>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</si>
  <si>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</si>
  <si>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</si>
  <si>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</si>
  <si>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</si>
  <si>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</si>
  <si>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</si>
  <si>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</si>
  <si>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</si>
  <si>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</si>
  <si>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</si>
  <si>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</si>
  <si>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</si>
  <si>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</si>
  <si>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</si>
  <si>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</si>
  <si>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</si>
  <si>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</si>
  <si>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</si>
  <si>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</si>
  <si>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</si>
  <si>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</si>
  <si>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</si>
  <si>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</si>
  <si>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</si>
  <si>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</si>
  <si>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</si>
  <si>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</si>
  <si>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</si>
  <si>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</si>
  <si>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</si>
  <si>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</si>
  <si>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</si>
  <si>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</si>
  <si>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</si>
  <si>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</si>
  <si>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</si>
  <si>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</si>
  <si>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</si>
  <si>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</si>
  <si>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</si>
  <si>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</si>
  <si>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</si>
  <si>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</si>
  <si>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</si>
  <si>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</si>
  <si>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</si>
  <si>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</si>
  <si>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</si>
  <si>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</si>
  <si>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</si>
  <si>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</si>
  <si>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</si>
  <si>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</si>
  <si>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</si>
  <si>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</si>
  <si>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</si>
  <si>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</si>
  <si>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</si>
  <si>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</si>
  <si>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</si>
  <si>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</si>
  <si>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</si>
  <si>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</si>
  <si>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</si>
  <si>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</si>
  <si>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</si>
  <si>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</si>
  <si>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</si>
  <si>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</si>
  <si>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</si>
  <si>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</si>
  <si>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</si>
  <si>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</si>
  <si>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</si>
  <si>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</si>
  <si>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</si>
  <si>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</si>
  <si>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</si>
  <si>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</si>
  <si>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</si>
  <si>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</si>
  <si>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</si>
  <si>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</si>
  <si>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</si>
  <si>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</si>
  <si>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</si>
  <si>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</si>
  <si>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</si>
  <si>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</si>
  <si>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</si>
  <si>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</si>
  <si>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</si>
  <si>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</si>
  <si>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</si>
  <si>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</si>
  <si>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</si>
  <si>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</si>
  <si>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</si>
  <si>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</si>
  <si>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</si>
  <si>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</si>
  <si>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</si>
  <si>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</si>
  <si>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</si>
  <si>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</si>
  <si>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</si>
  <si>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</si>
  <si>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</si>
  <si>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</si>
  <si>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</si>
  <si>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</si>
  <si>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</si>
  <si>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</si>
  <si>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</si>
  <si>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</si>
  <si>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</si>
  <si>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</si>
  <si>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</si>
  <si>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</si>
  <si>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</si>
  <si>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</si>
  <si>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</si>
  <si>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</si>
  <si>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</si>
  <si>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</si>
  <si>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</si>
  <si>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</si>
  <si>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</si>
  <si>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</si>
  <si>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</si>
  <si>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</si>
  <si>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</si>
  <si>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</si>
  <si>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</si>
  <si>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</si>
  <si>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</si>
  <si>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</si>
  <si>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</si>
  <si>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</si>
  <si>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</si>
  <si>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</si>
  <si>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</si>
  <si>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</si>
  <si>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</si>
  <si>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</si>
  <si>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</si>
  <si>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</si>
  <si>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</si>
  <si>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</si>
  <si>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</si>
  <si>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</si>
  <si>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</si>
  <si>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</si>
  <si>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</si>
  <si>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</si>
  <si>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</si>
  <si>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</si>
  <si>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</si>
  <si>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</si>
  <si>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</si>
  <si>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</si>
  <si>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</si>
  <si>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</si>
  <si>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</si>
  <si>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</si>
  <si>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</si>
  <si>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</si>
  <si>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</si>
  <si>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</si>
  <si>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</si>
  <si>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</si>
  <si>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</si>
  <si>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</si>
  <si>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</si>
  <si>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</si>
  <si>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</si>
  <si>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</si>
  <si>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</si>
  <si>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</si>
  <si>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</si>
  <si>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</si>
  <si>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</si>
  <si>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</si>
  <si>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</si>
  <si>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</si>
  <si>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</si>
  <si>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</si>
  <si>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</si>
  <si>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</si>
  <si>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</si>
  <si>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</si>
  <si>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</si>
  <si>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</si>
  <si>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</si>
  <si>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</si>
  <si>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</si>
  <si>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</si>
  <si>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</si>
  <si>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</si>
  <si>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</si>
  <si>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</si>
  <si>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</si>
  <si>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</si>
  <si>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</si>
  <si>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</si>
  <si>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</si>
  <si>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</si>
  <si>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</si>
  <si>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</si>
  <si>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</si>
  <si>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</si>
  <si>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</si>
  <si>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</si>
  <si>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</si>
  <si>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</si>
  <si>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</si>
  <si>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</si>
  <si>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</si>
  <si>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</si>
  <si>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</si>
  <si>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</si>
  <si>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</si>
  <si>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</si>
  <si>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</si>
  <si>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</si>
  <si>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</si>
  <si>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</si>
  <si>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</si>
  <si>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</si>
  <si>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</si>
  <si>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</si>
  <si>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</si>
  <si>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</si>
  <si>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</si>
  <si>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</si>
  <si>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</si>
  <si>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</si>
  <si>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</si>
  <si>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</si>
  <si>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</si>
  <si>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</si>
  <si>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</si>
  <si>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</si>
  <si>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</si>
  <si>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</si>
  <si>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</si>
  <si>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</si>
  <si>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</si>
  <si>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</si>
  <si>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</si>
  <si>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</si>
  <si>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</si>
  <si>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</si>
  <si>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</si>
  <si>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</si>
  <si>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</si>
  <si>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</si>
  <si>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</si>
  <si>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</si>
  <si>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</si>
  <si>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</si>
  <si>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</si>
  <si>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</si>
  <si>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</si>
  <si>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</si>
  <si>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</si>
  <si>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</si>
  <si>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</si>
  <si>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</si>
  <si>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</si>
  <si>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</si>
  <si>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</si>
  <si>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</si>
  <si>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</si>
  <si>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</si>
  <si>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</si>
  <si>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</si>
  <si>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</si>
  <si>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</si>
  <si>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</si>
  <si>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</si>
  <si>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</si>
  <si>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</si>
  <si>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</si>
  <si>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</si>
  <si>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</si>
  <si>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</si>
  <si>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</si>
  <si>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</si>
  <si>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</si>
  <si>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</si>
  <si>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</si>
  <si>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</si>
  <si>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</si>
  <si>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</si>
  <si>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</si>
  <si>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</si>
  <si>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</si>
  <si>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</si>
  <si>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</si>
  <si>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</si>
  <si>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</si>
  <si>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</si>
  <si>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</si>
  <si>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</si>
  <si>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</si>
  <si>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</si>
  <si>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</si>
  <si>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</si>
  <si>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</si>
  <si>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</si>
  <si>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</si>
  <si>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</si>
  <si>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</si>
  <si>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</si>
  <si>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</si>
  <si>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</si>
  <si>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</si>
  <si>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</si>
  <si>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</si>
  <si>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</si>
  <si>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</si>
  <si>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</si>
  <si>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</si>
  <si>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</si>
  <si>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</si>
  <si>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</si>
  <si>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</si>
  <si>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</si>
  <si>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</si>
  <si>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</si>
  <si>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</si>
  <si>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</si>
  <si>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</si>
  <si>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</si>
  <si>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</si>
  <si>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</si>
  <si>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</si>
  <si>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</si>
  <si>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</si>
  <si>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</si>
  <si>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</si>
  <si>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</si>
  <si>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</si>
  <si>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</si>
  <si>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</si>
  <si>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</si>
  <si>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</si>
  <si>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</si>
  <si>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</si>
  <si>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</si>
  <si>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</si>
  <si>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</si>
  <si>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</si>
  <si>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</si>
  <si>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</si>
  <si>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</si>
  <si>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</si>
  <si>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</si>
  <si>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</si>
  <si>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</si>
  <si>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</si>
  <si>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</si>
  <si>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</si>
  <si>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</si>
  <si>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</si>
  <si>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</si>
  <si>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</si>
  <si>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</si>
  <si>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</si>
  <si>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</si>
  <si>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</si>
  <si>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</si>
  <si>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</si>
  <si>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</si>
  <si>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</si>
  <si>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</si>
  <si>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</si>
  <si>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</si>
  <si>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</si>
  <si>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</si>
  <si>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</si>
  <si>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</si>
  <si>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</si>
  <si>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</si>
  <si>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</si>
  <si>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</si>
  <si>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</si>
  <si>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</si>
  <si>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</si>
  <si>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</si>
  <si>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</si>
  <si>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</si>
  <si>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</si>
  <si>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</si>
  <si>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</si>
  <si>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</si>
  <si>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</si>
  <si>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</si>
  <si>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</si>
  <si>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</si>
  <si>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</si>
  <si>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</si>
  <si>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</si>
  <si>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</si>
  <si>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</si>
  <si>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</si>
  <si>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</si>
  <si>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</si>
  <si>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</si>
  <si>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</si>
  <si>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</si>
  <si>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</si>
  <si>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</si>
  <si>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</si>
  <si>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</si>
  <si>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</si>
  <si>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</si>
  <si>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</si>
  <si>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</si>
  <si>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</si>
  <si>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</si>
  <si>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</si>
  <si>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</si>
  <si>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</si>
  <si>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</si>
  <si>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</si>
  <si>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</si>
  <si>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</si>
  <si>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</si>
  <si>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</si>
  <si>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</si>
  <si>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</si>
  <si>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</si>
  <si>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</si>
  <si>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</si>
  <si>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</si>
  <si>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</si>
  <si>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</si>
  <si>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</si>
  <si>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</si>
  <si>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</si>
  <si>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</si>
  <si>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</si>
  <si>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</si>
  <si>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</si>
  <si>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</si>
  <si>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</si>
  <si>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</si>
  <si>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</si>
  <si>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</si>
  <si>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</si>
  <si>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</si>
  <si>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</si>
  <si>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</si>
  <si>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</si>
  <si>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</si>
  <si>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</si>
  <si>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</si>
  <si>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</si>
  <si>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</si>
  <si>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</si>
  <si>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</si>
  <si>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</si>
  <si>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</si>
  <si>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</si>
  <si>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</si>
  <si>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</si>
  <si>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</si>
  <si>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</si>
  <si>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</si>
  <si>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</si>
  <si>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</si>
  <si>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</si>
  <si>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</si>
  <si>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</si>
  <si>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</si>
  <si>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</si>
  <si>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</si>
  <si>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</si>
  <si>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</si>
  <si>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</si>
  <si>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</si>
  <si>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</si>
  <si>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</si>
  <si>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</si>
  <si>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</si>
  <si>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</si>
  <si>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</si>
  <si>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</si>
  <si>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</si>
  <si>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</si>
  <si>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</si>
  <si>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</si>
  <si>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</si>
  <si>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</si>
  <si>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</si>
  <si>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</si>
  <si>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</si>
  <si>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</si>
  <si>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</si>
  <si>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</si>
  <si>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</si>
  <si>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</si>
  <si>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</si>
  <si>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</si>
  <si>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</si>
  <si>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</si>
  <si>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</si>
  <si>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</si>
  <si>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</si>
  <si>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</si>
  <si>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</si>
  <si>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</si>
  <si>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</si>
  <si>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</si>
  <si>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</si>
  <si>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</si>
  <si>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</si>
  <si>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</si>
  <si>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</si>
  <si>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</si>
  <si>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</si>
  <si>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</si>
  <si>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</si>
  <si>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</si>
  <si>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</si>
  <si>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</si>
  <si>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</si>
  <si>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</si>
  <si>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</si>
  <si>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</si>
  <si>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</si>
  <si>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</si>
  <si>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</si>
  <si>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</si>
  <si>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</si>
  <si>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</si>
  <si>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</si>
  <si>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</si>
  <si>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</si>
  <si>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</si>
  <si>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</si>
  <si>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</si>
  <si>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</si>
  <si>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</si>
  <si>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</si>
  <si>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</si>
  <si>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</si>
  <si>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</si>
  <si>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</si>
  <si>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</si>
  <si>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</si>
  <si>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</si>
  <si>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</si>
  <si>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</si>
  <si>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</si>
  <si>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</si>
  <si>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</si>
  <si>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</si>
  <si>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</si>
  <si>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</si>
  <si>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</si>
  <si>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</si>
  <si>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</si>
  <si>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</si>
  <si>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</si>
  <si>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</si>
  <si>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</si>
  <si>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</si>
  <si>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</si>
  <si>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</si>
  <si>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</si>
  <si>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</si>
  <si>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</si>
  <si>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</si>
  <si>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</si>
  <si>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</si>
  <si>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</si>
  <si>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</si>
  <si>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</si>
  <si>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</si>
  <si>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</si>
  <si>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</si>
  <si>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</si>
  <si>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</si>
  <si>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</si>
  <si>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</si>
  <si>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</si>
  <si>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</si>
  <si>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</si>
  <si>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</si>
  <si>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</si>
  <si>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</si>
  <si>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</si>
  <si>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</si>
  <si>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</si>
  <si>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</si>
  <si>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</si>
  <si>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</si>
  <si>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</si>
  <si>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</si>
  <si>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</si>
  <si>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</si>
  <si>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</si>
  <si>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</si>
  <si>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</si>
  <si>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</si>
  <si>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</si>
  <si>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</si>
  <si>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</si>
  <si>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</si>
  <si>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</si>
  <si>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</si>
  <si>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</si>
  <si>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</si>
  <si>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</si>
  <si>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</si>
  <si>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</si>
  <si>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</si>
  <si>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</si>
  <si>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</si>
  <si>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</si>
  <si>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</si>
  <si>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</si>
  <si>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</si>
  <si>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</si>
  <si>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</si>
  <si>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</si>
  <si>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</si>
  <si>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</si>
  <si>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</si>
  <si>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</si>
  <si>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</si>
  <si>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</si>
  <si>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</si>
  <si>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</si>
  <si>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</si>
  <si>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</si>
  <si>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</si>
  <si>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</si>
  <si>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</si>
  <si>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</si>
  <si>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</si>
  <si>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</si>
  <si>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</si>
  <si>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</si>
  <si>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</si>
  <si>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</si>
  <si>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</si>
  <si>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</si>
  <si>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</si>
  <si>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</si>
  <si>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</si>
  <si>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</si>
  <si>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</si>
  <si>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</si>
  <si>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</si>
  <si>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</si>
  <si>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</si>
  <si>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</si>
  <si>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</si>
  <si>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</si>
  <si>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</si>
  <si>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</si>
  <si>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</si>
  <si>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</si>
  <si>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</si>
  <si>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</si>
  <si>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</si>
  <si>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</si>
  <si>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</si>
  <si>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</si>
  <si>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</si>
  <si>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</si>
  <si>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</si>
  <si>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</si>
  <si>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</si>
  <si>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</si>
  <si>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</si>
  <si>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</si>
  <si>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</si>
  <si>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</si>
  <si>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</si>
  <si>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</si>
  <si>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</si>
  <si>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</si>
  <si>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</si>
  <si>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</si>
  <si>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</si>
  <si>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</si>
  <si>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</si>
  <si>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</si>
  <si>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</si>
  <si>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</si>
  <si>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</si>
  <si>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</si>
  <si>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</si>
  <si>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</si>
  <si>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</si>
  <si>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</si>
  <si>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</si>
  <si>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</si>
  <si>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</si>
  <si>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</si>
  <si>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</si>
  <si>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</si>
  <si>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</si>
  <si>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</si>
  <si>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</si>
  <si>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</si>
  <si>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</si>
  <si>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</si>
  <si>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</si>
  <si>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</si>
  <si>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</si>
  <si>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</si>
  <si>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</si>
  <si>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</si>
  <si>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</si>
  <si>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</si>
  <si>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</si>
  <si>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</si>
  <si>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</si>
  <si>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</si>
  <si>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</si>
  <si>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</si>
  <si>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</si>
  <si>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</si>
  <si>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</si>
  <si>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</si>
  <si>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</si>
  <si>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</si>
  <si>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</si>
  <si>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</si>
  <si>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</si>
  <si>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</si>
  <si>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</si>
  <si>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</si>
  <si>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</si>
  <si>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</si>
  <si>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</si>
  <si>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</si>
  <si>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</si>
  <si>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</si>
  <si>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</si>
  <si>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</si>
  <si>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</si>
  <si>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</si>
  <si>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</si>
  <si>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</si>
  <si>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</si>
  <si>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</si>
  <si>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</si>
  <si>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</si>
  <si>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</si>
  <si>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</si>
  <si>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</si>
  <si>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</si>
  <si>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</si>
  <si>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</si>
  <si>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</si>
  <si>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</si>
  <si>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</si>
  <si>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</si>
  <si>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</si>
  <si>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</si>
  <si>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</si>
  <si>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</si>
  <si>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</si>
  <si>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</si>
  <si>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</si>
  <si>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</si>
  <si>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</si>
  <si>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</si>
  <si>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</si>
  <si>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</si>
  <si>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</si>
  <si>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</si>
  <si>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</si>
  <si>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</si>
  <si>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</si>
  <si>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</si>
  <si>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</si>
  <si>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</si>
  <si>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</si>
  <si>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</si>
  <si>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</si>
  <si>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</si>
  <si>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</si>
  <si>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</si>
  <si>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</si>
  <si>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</si>
  <si>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</si>
  <si>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</si>
  <si>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</si>
  <si>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</si>
  <si>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</si>
  <si>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</si>
  <si>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</si>
  <si>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</si>
  <si>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</si>
  <si>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</si>
  <si>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</si>
  <si>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</si>
  <si>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</si>
  <si>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</si>
  <si>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</si>
  <si>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</si>
  <si>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</si>
  <si>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</si>
  <si>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</si>
  <si>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</si>
  <si>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</si>
  <si>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</si>
  <si>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</si>
  <si>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</si>
  <si>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</si>
  <si>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</si>
  <si>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</si>
  <si>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</si>
  <si>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</si>
  <si>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</si>
  <si>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</si>
  <si>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</si>
  <si>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</si>
  <si>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</si>
  <si>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</si>
  <si>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</si>
  <si>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</si>
  <si>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</si>
  <si>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</si>
  <si>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</si>
  <si>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</si>
  <si>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</si>
  <si>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</si>
  <si>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</si>
  <si>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</si>
  <si>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</si>
  <si>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</si>
  <si>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</si>
  <si>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</si>
  <si>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</si>
  <si>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</si>
  <si>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</si>
  <si>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</si>
  <si>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</si>
  <si>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</si>
  <si>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</si>
  <si>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</si>
  <si>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</si>
  <si>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</si>
  <si>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</si>
  <si>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</si>
  <si>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</si>
  <si>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</si>
  <si>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</si>
  <si>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</si>
  <si>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</si>
  <si>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</si>
  <si>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</si>
  <si>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</si>
  <si>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</si>
  <si>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</si>
  <si>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</si>
  <si>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</si>
  <si>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</si>
  <si>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</si>
  <si>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</si>
  <si>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</si>
  <si>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</si>
  <si>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</si>
  <si>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</si>
  <si>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</si>
  <si>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</si>
  <si>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</si>
  <si>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</si>
  <si>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</si>
  <si>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</si>
  <si>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</si>
  <si>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</si>
  <si>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</si>
  <si>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</si>
  <si>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</si>
  <si>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</si>
  <si>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</si>
  <si>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</si>
  <si>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</si>
  <si>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</si>
  <si>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</si>
  <si>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</si>
  <si>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</si>
  <si>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</si>
  <si>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</si>
  <si>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</si>
  <si>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</si>
  <si>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</si>
  <si>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</si>
  <si>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</si>
  <si>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</si>
  <si>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</si>
  <si>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</si>
  <si>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</si>
  <si>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</si>
  <si>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</si>
  <si>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</si>
  <si>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</si>
  <si>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</si>
  <si>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</si>
  <si>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</si>
  <si>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</si>
  <si>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</si>
  <si>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</si>
  <si>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</si>
  <si>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</si>
  <si>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</si>
  <si>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</si>
  <si>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</si>
  <si>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</si>
  <si>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</si>
  <si>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</si>
  <si>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</si>
  <si>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</si>
  <si>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</si>
  <si>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</si>
  <si>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</si>
  <si>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</si>
  <si>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</si>
  <si>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</si>
  <si>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</si>
  <si>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</si>
  <si>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</si>
  <si>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</si>
  <si>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</si>
  <si>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</si>
  <si>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</si>
  <si>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</si>
  <si>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</si>
  <si>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</si>
  <si>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</si>
  <si>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</si>
  <si>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</si>
  <si>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</si>
  <si>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</si>
  <si>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</si>
  <si>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</si>
  <si>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</si>
  <si>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</si>
  <si>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</si>
  <si>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</si>
  <si>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</si>
  <si>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</si>
  <si>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</si>
  <si>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</si>
  <si>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</si>
  <si>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</si>
  <si>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</si>
  <si>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</si>
  <si>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</si>
  <si>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</si>
  <si>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</si>
  <si>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</si>
  <si>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</si>
  <si>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</si>
  <si>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</si>
  <si>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</si>
  <si>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</si>
  <si>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</si>
  <si>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</si>
  <si>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</si>
  <si>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</si>
  <si>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</si>
  <si>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</si>
  <si>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</si>
  <si>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</si>
  <si>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Average Donation </t>
  </si>
  <si>
    <t>Row Labels</t>
  </si>
  <si>
    <t>Grand Total</t>
  </si>
  <si>
    <t>Column Labels</t>
  </si>
  <si>
    <t>Count of outcome</t>
  </si>
  <si>
    <t>(All)</t>
  </si>
  <si>
    <t xml:space="preserve">Parent category </t>
  </si>
  <si>
    <t>Date Created Conversion</t>
  </si>
  <si>
    <t>Date Ended Conversiom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</si>
  <si>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</si>
  <si>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</si>
  <si>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</si>
  <si>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</si>
  <si>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</si>
  <si>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</si>
  <si>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</si>
  <si>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</si>
  <si>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</si>
  <si>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</si>
  <si>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</si>
  <si>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</si>
  <si>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</si>
  <si>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</si>
  <si>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</si>
  <si>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 xml:space="preserve"> Number Failed 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</si>
  <si>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</si>
  <si>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</si>
  <si>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</si>
  <si>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</si>
  <si>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</si>
  <si>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</si>
  <si>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</si>
  <si>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</si>
  <si>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</si>
  <si>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</si>
  <si>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</si>
  <si>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</si>
  <si>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</si>
  <si>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</si>
  <si>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</si>
  <si>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</si>
  <si>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Canceled</t>
  </si>
  <si>
    <t>Outcome</t>
  </si>
  <si>
    <t>Successful Campaign</t>
  </si>
  <si>
    <t xml:space="preserve">Unsuccessful Campaign </t>
  </si>
  <si>
    <t xml:space="preserve">Mean Number of Backers </t>
  </si>
  <si>
    <t xml:space="preserve">Median Number of Backers </t>
  </si>
  <si>
    <t xml:space="preserve">Minimum Number of backers </t>
  </si>
  <si>
    <t xml:space="preserve">Maximum number of backers </t>
  </si>
  <si>
    <t xml:space="preserve">Variance of the number of Backers </t>
  </si>
  <si>
    <t xml:space="preserve">Standard Deviation of the number of backers </t>
  </si>
  <si>
    <t xml:space="preserve">Outcome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</si>
</sst>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rgb="FF000000"/>
      <name val="Calibri"/>
      <family val="2"/>
      <scheme val="minor"/>
    </font>
    <font>
      <sz val="14"/>
      <color rgb="FF0E0E0E"/>
      <name val=".AppleSystemUIFontMonospaced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B687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9" fontId="16" fillId="0" borderId="0" xfId="0" applyNumberFormat="1" applyFont="1"/>
    <xf numFmtId="9" fontId="0" fillId="0" borderId="0" xfId="0" applyNumberFormat="1"/>
    <xf numFmtId="0" fontId="20" fillId="0" borderId="0" xfId="0" applyFont="1"/>
    <xf numFmtId="1" fontId="16" fillId="0" borderId="0" xfId="0" applyNumberFormat="1" applyFont="1"/>
    <xf numFmtId="1" fontId="16" fillId="34" borderId="0" xfId="0" applyNumberFormat="1" applyFont="1" applyFill="1"/>
    <xf numFmtId="1" fontId="16" fillId="33" borderId="0" xfId="0" applyNumberFormat="1" applyFont="1" applyFill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BB6872"/>
        </patternFill>
      </fill>
    </dxf>
    <dxf>
      <fill>
        <patternFill>
          <bgColor theme="9"/>
        </patternFill>
      </fill>
    </dxf>
    <dxf>
      <fill>
        <patternFill>
          <bgColor rgb="FFFFCF67"/>
        </patternFill>
      </fill>
    </dxf>
    <dxf>
      <fill>
        <patternFill>
          <bgColor rgb="FF62AEFF"/>
        </patternFill>
      </fill>
    </dxf>
    <dxf>
      <fill>
        <patternFill>
          <bgColor rgb="FFBB6872"/>
        </patternFill>
      </fill>
    </dxf>
    <dxf>
      <fill>
        <patternFill>
          <bgColor theme="9"/>
        </patternFill>
      </fill>
    </dxf>
    <dxf>
      <fill>
        <patternFill>
          <bgColor rgb="FFFFCF67"/>
        </patternFill>
      </fill>
    </dxf>
    <dxf>
      <fill>
        <patternFill>
          <bgColor rgb="FF62AEFF"/>
        </patternFill>
      </fill>
    </dxf>
    <dxf>
      <fill>
        <patternFill>
          <bgColor rgb="FFBB6872"/>
        </patternFill>
      </fill>
    </dxf>
    <dxf>
      <fill>
        <patternFill>
          <bgColor theme="9"/>
        </patternFill>
      </fill>
    </dxf>
    <dxf>
      <fill>
        <patternFill>
          <bgColor rgb="FFFFCF67"/>
        </patternFill>
      </fill>
    </dxf>
    <dxf>
      <fill>
        <patternFill>
          <bgColor rgb="FF62AEFF"/>
        </patternFill>
      </fill>
    </dxf>
  </dxfs>
  <tableStyles count="0" defaultTableStyle="TableStyleMedium2" defaultPivotStyle="PivotStyleLight16"/>
  <colors>
    <mruColors>
      <color rgb="FFBB6872"/>
      <color rgb="FF62AEFF"/>
      <color rgb="FFFFC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Categpry!PivotTable11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Categpry'!$B$3:$B$4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Categpry'!$A$5:$A$14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Categpry'!$B$5:$B$14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3-1A4A-8F36-41C04A555F1D}"/>
            </c:ext>
          </c:extLst>
        </c:ser>
        <c:ser>
          <c:idx val="1"/>
          <c:order val="1"/>
          <c:tx>
            <c:strRef>
              <c:f>'Outcome per Categpry'!$C$3:$C$4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Categpry'!$A$5:$A$14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Categpry'!$C$5:$C$14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3-1A4A-8F36-41C04A555F1D}"/>
            </c:ext>
          </c:extLst>
        </c:ser>
        <c:ser>
          <c:idx val="2"/>
          <c:order val="2"/>
          <c:tx>
            <c:strRef>
              <c:f>'Outcome per Categpry'!$D$3:$D$4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Categpry'!$A$5:$A$14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Categpry'!$D$5:$D$14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E3-1A4A-8F36-41C04A555F1D}"/>
            </c:ext>
          </c:extLst>
        </c:ser>
        <c:ser>
          <c:idx val="3"/>
          <c:order val="3"/>
          <c:tx>
            <c:strRef>
              <c:f>'Outcome per Categpry'!$E$3:$E$4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Categpry'!$A$5:$A$14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Categpry'!$E$5:$E$14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E3-1A4A-8F36-41C04A55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53071"/>
        <c:axId val="911402175"/>
      </c:barChart>
      <c:catAx>
        <c:axId val="9113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02175"/>
        <c:crosses val="autoZero"/>
        <c:auto val="1"/>
        <c:lblAlgn val="ctr"/>
        <c:lblOffset val="100"/>
        <c:noMultiLvlLbl val="0"/>
      </c:catAx>
      <c:valAx>
        <c:axId val="911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E14F-82B9-ACE6BE5B1153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C54F-93F1-798407872BF9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0-C54F-93F1-798407872BF9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0-C54F-93F1-79840787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623519"/>
        <c:axId val="919922159"/>
      </c:barChart>
      <c:catAx>
        <c:axId val="4876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2159"/>
        <c:crosses val="autoZero"/>
        <c:auto val="1"/>
        <c:lblAlgn val="ctr"/>
        <c:lblOffset val="100"/>
        <c:noMultiLvlLbl val="0"/>
      </c:catAx>
      <c:valAx>
        <c:axId val="9199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Count!PivotTable10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AB48-A422-714E422DF9C0}"/>
            </c:ext>
          </c:extLst>
        </c:ser>
        <c:ser>
          <c:idx val="1"/>
          <c:order val="1"/>
          <c:tx>
            <c:strRef>
              <c:f>'Outcome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0-AB48-A422-714E422DF9C0}"/>
            </c:ext>
          </c:extLst>
        </c:ser>
        <c:ser>
          <c:idx val="2"/>
          <c:order val="2"/>
          <c:tx>
            <c:strRef>
              <c:f>'Outcome Count'!$D$4:$D$5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0-AB48-A422-714E422D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71327"/>
        <c:axId val="498800159"/>
      </c:lineChart>
      <c:catAx>
        <c:axId val="4986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0159"/>
        <c:crosses val="autoZero"/>
        <c:auto val="1"/>
        <c:lblAlgn val="ctr"/>
        <c:lblOffset val="100"/>
        <c:noMultiLvlLbl val="0"/>
      </c:catAx>
      <c:valAx>
        <c:axId val="4988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A-8047-8608-C0486EF6A149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A-8047-8608-C0486EF6A149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A-8047-8608-C0486EF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81647"/>
        <c:axId val="896916911"/>
      </c:lineChart>
      <c:catAx>
        <c:axId val="8969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16911"/>
        <c:crosses val="autoZero"/>
        <c:auto val="1"/>
        <c:lblAlgn val="ctr"/>
        <c:lblOffset val="100"/>
        <c:noMultiLvlLbl val="0"/>
      </c:catAx>
      <c:valAx>
        <c:axId val="896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 for Successful and Unsuccessful Campaign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Successful and Unsuccessful Campaign </a:t>
          </a:r>
        </a:p>
      </cx:txPr>
    </cx:title>
    <cx:plotArea>
      <cx:plotAreaRegion>
        <cx:series layoutId="boxWhisker" uniqueId="{C794772D-BFD0-314F-A621-2AF71519EC86}">
          <cx:tx>
            <cx:txData>
              <cx:f>_xlchart.v1.0</cx:f>
              <cx:v>backers_count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D2A785-2F6D-2D4E-A6E6-C4B1D8E25C3D}">
          <cx:tx>
            <cx:txData>
              <cx:f>_xlchart.v1.2</cx:f>
              <cx:v>backers_count</cx:v>
            </cx:txData>
          </cx:tx>
          <cx:spPr>
            <a:solidFill>
              <a:srgbClr val="BB6872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44450</xdr:rowOff>
    </xdr:from>
    <xdr:to>
      <xdr:col>14</xdr:col>
      <xdr:colOff>685800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1420B-A0B5-1DB9-59E6-489C109B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196850</xdr:rowOff>
    </xdr:from>
    <xdr:to>
      <xdr:col>15</xdr:col>
      <xdr:colOff>730250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ED01F-D830-A294-6634-2C072F5E0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380396</xdr:colOff>
      <xdr:row>0</xdr:row>
      <xdr:rowOff>129591</xdr:rowOff>
    </xdr:from>
    <xdr:to>
      <xdr:col>12</xdr:col>
      <xdr:colOff>314484</xdr:colOff>
      <xdr:row>17</xdr:row>
      <xdr:rowOff>146870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19608-8BFE-AAA9-B1CA-6EDB487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14</xdr:row>
      <xdr:rowOff>19050</xdr:rowOff>
    </xdr:from>
    <xdr:to>
      <xdr:col>8</xdr:col>
      <xdr:colOff>190500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7A037-6CA3-3F93-7E87-1065355B8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1003300</xdr:colOff>
      <xdr:row>19</xdr:row>
      <xdr:rowOff>57150</xdr:rowOff>
    </xdr:from>
    <xdr:to>
      <xdr:col>15</xdr:col>
      <xdr:colOff>25400</xdr:colOff>
      <xdr:row>36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3256D59-5245-24FD-C16E-17C45BC10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6100" y="3943350"/>
              <a:ext cx="11226800" cy="358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0.696198148151" createdVersion="8" refreshedVersion="8" minRefreshableVersion="3" recordCount="1000" xr:uid="{0A08E17E-0754-9D40-BBCF-A9C63AE2B04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m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E2EE8-33C3-6E46-994E-0A3AF25A47F6}" name="PivotTable11" cacheId="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A20C8-7079-074F-8424-C8AD0C06FB87}" name="PivotTable12" cacheId="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9577C-A86E-B444-8312-7F5127A54EC2}" name="PivotTable10" cacheId="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workbookViewId="0">
      <selection activeCell="I13" sqref="I13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21.6640625" style="6" bestFit="1" customWidth="1"/>
    <col min="12" max="13" width="11.1640625" bestFit="1" customWidth="1"/>
    <col min="14" max="14" width="11.1640625" style="10" customWidth="1"/>
    <col min="15" max="15" width="21" style="10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2064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2030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v>0</v>
      </c>
      <c r="I2" s="6">
        <f>IF(H2&gt;0, 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L2/86400 + DATE(1970,1,1)</f>
        <v>42336.25</v>
      </c>
      <c r="O2" s="10">
        <f>M2/86400 + 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v>158</v>
      </c>
      <c r="I3" s="6">
        <f t="shared" ref="I3:I66" si="1">IF(H3&gt;0, 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L3/86400 + DATE(1970,1,1)</f>
        <v>41870.208333333336</v>
      </c>
      <c r="O3" s="10">
        <f t="shared" ref="O3:O66" si="3">M3/86400 + 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(E67/D67*100)</f>
        <v>236.14754098360655</v>
      </c>
      <c r="G67" t="s">
        <v>20</v>
      </c>
      <c r="H67">
        <v>236</v>
      </c>
      <c r="I67" s="6">
        <f t="shared" ref="I67:I130" si="5">IF(H67&gt;0, 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L67/86400 + DATE(1970,1,1)</f>
        <v>40570.25</v>
      </c>
      <c r="O67" s="10">
        <f t="shared" ref="O67:O130" si="7">M67/86400 + 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(E131/D131*100)</f>
        <v>3.202693602693603</v>
      </c>
      <c r="G131" t="s">
        <v>74</v>
      </c>
      <c r="H131">
        <v>55</v>
      </c>
      <c r="I131" s="6">
        <f t="shared" ref="I131:I194" si="9">IF(H131&gt;0, 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L131/86400 + DATE(1970,1,1)</f>
        <v>42038.25</v>
      </c>
      <c r="O131" s="10">
        <f t="shared" ref="O131:O194" si="11">M131/86400 + 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(E195/D195*100)</f>
        <v>45.636363636363633</v>
      </c>
      <c r="G195" t="s">
        <v>14</v>
      </c>
      <c r="H195">
        <v>65</v>
      </c>
      <c r="I195" s="6">
        <f t="shared" ref="I195:I258" si="13">IF(H195&gt;0, 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L195/86400 + DATE(1970,1,1)</f>
        <v>43198.208333333328</v>
      </c>
      <c r="O195" s="10">
        <f t="shared" ref="O195:O258" si="15">M195/86400 + 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(E259/D259*100)</f>
        <v>146</v>
      </c>
      <c r="G259" t="s">
        <v>20</v>
      </c>
      <c r="H259">
        <v>92</v>
      </c>
      <c r="I259" s="6">
        <f t="shared" ref="I259:I322" si="17">IF(H259&gt;0, 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L259/86400 + DATE(1970,1,1)</f>
        <v>41338.25</v>
      </c>
      <c r="O259" s="10">
        <f t="shared" ref="O259:O322" si="19">M259/86400 + 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(E323/D323*100)</f>
        <v>94.144366197183089</v>
      </c>
      <c r="G323" t="s">
        <v>14</v>
      </c>
      <c r="H323">
        <v>2468</v>
      </c>
      <c r="I323" s="6">
        <f t="shared" ref="I323:I386" si="21">IF(H323&gt;0, 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L323/86400 + DATE(1970,1,1)</f>
        <v>40634.208333333336</v>
      </c>
      <c r="O323" s="10">
        <f t="shared" ref="O323:O386" si="23">M323/86400 + 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(E387/D387*100)</f>
        <v>146.16709511568124</v>
      </c>
      <c r="G387" t="s">
        <v>20</v>
      </c>
      <c r="H387">
        <v>1137</v>
      </c>
      <c r="I387" s="6">
        <f t="shared" ref="I387:I450" si="25">IF(H387&gt;0, 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L387/86400 + DATE(1970,1,1)</f>
        <v>43553.208333333328</v>
      </c>
      <c r="O387" s="10">
        <f t="shared" ref="O387:O450" si="27">M387/86400 + 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(E451/D451*100)</f>
        <v>967</v>
      </c>
      <c r="G451" t="s">
        <v>20</v>
      </c>
      <c r="H451">
        <v>86</v>
      </c>
      <c r="I451" s="6">
        <f t="shared" ref="I451:I514" si="29">IF(H451&gt;0, 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L451/86400 + DATE(1970,1,1)</f>
        <v>43530.25</v>
      </c>
      <c r="O451" s="10">
        <f t="shared" ref="O451:O514" si="31">M451/86400 + 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(E515/D515*100)</f>
        <v>39.277108433734945</v>
      </c>
      <c r="G515" t="s">
        <v>74</v>
      </c>
      <c r="H515">
        <v>35</v>
      </c>
      <c r="I515" s="6">
        <f t="shared" ref="I515:I578" si="33">IF(H515&gt;0, 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L515/86400 + DATE(1970,1,1)</f>
        <v>40430.208333333336</v>
      </c>
      <c r="O515" s="10">
        <f t="shared" ref="O515:O578" si="35">M515/86400 + 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(E579/D579*100)</f>
        <v>18.853658536585368</v>
      </c>
      <c r="G579" t="s">
        <v>74</v>
      </c>
      <c r="H579">
        <v>37</v>
      </c>
      <c r="I579" s="6">
        <f t="shared" ref="I579:I642" si="37">IF(H579&gt;0, 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L579/86400 + DATE(1970,1,1)</f>
        <v>40613.25</v>
      </c>
      <c r="O579" s="10">
        <f t="shared" ref="O579:O642" si="39">M579/86400 + 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(E643/D643*100)</f>
        <v>119.96808510638297</v>
      </c>
      <c r="G643" t="s">
        <v>20</v>
      </c>
      <c r="H643">
        <v>194</v>
      </c>
      <c r="I643" s="6">
        <f t="shared" ref="I643:I706" si="41">IF(H643&gt;0, 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L643/86400 + DATE(1970,1,1)</f>
        <v>42786.25</v>
      </c>
      <c r="O643" s="10">
        <f t="shared" ref="O643:O706" si="43">M643/86400 + 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(E707/D707*100)</f>
        <v>99.026517383618156</v>
      </c>
      <c r="G707" t="s">
        <v>14</v>
      </c>
      <c r="H707">
        <v>2025</v>
      </c>
      <c r="I707" s="6">
        <f t="shared" ref="I707:I770" si="45">IF(H707&gt;0, 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L707/86400 + DATE(1970,1,1)</f>
        <v>41619.25</v>
      </c>
      <c r="O707" s="10">
        <f t="shared" ref="O707:O770" si="47">M707/86400 + 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(E771/D771*100)</f>
        <v>86.867834394904463</v>
      </c>
      <c r="G771" t="s">
        <v>14</v>
      </c>
      <c r="H771">
        <v>3410</v>
      </c>
      <c r="I771" s="6">
        <f t="shared" ref="I771:I834" si="49">IF(H771&gt;0, 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L771/86400 + DATE(1970,1,1)</f>
        <v>41501.208333333336</v>
      </c>
      <c r="O771" s="10">
        <f t="shared" ref="O771:O834" si="51">M771/86400 + 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(E835/D835*100)</f>
        <v>157.69117647058823</v>
      </c>
      <c r="G835" t="s">
        <v>20</v>
      </c>
      <c r="H835">
        <v>165</v>
      </c>
      <c r="I835" s="6">
        <f t="shared" ref="I835:I898" si="53">IF(H835&gt;0, 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L835/86400 + DATE(1970,1,1)</f>
        <v>40588.25</v>
      </c>
      <c r="O835" s="10">
        <f t="shared" ref="O835:O898" si="55">M835/86400 + 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(E899/D899*100)</f>
        <v>27.693181818181817</v>
      </c>
      <c r="G899" t="s">
        <v>14</v>
      </c>
      <c r="H899">
        <v>27</v>
      </c>
      <c r="I899" s="6">
        <f t="shared" ref="I899:I962" si="57">IF(H899&gt;0, 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L899/86400 + DATE(1970,1,1)</f>
        <v>43583.208333333328</v>
      </c>
      <c r="O899" s="10">
        <f t="shared" ref="O899:O962" si="59">M899/86400 + 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(E963/D963*100)</f>
        <v>119.29824561403508</v>
      </c>
      <c r="G963" t="s">
        <v>20</v>
      </c>
      <c r="H963">
        <v>155</v>
      </c>
      <c r="I963" s="6">
        <f t="shared" ref="I963:I1001" si="61">IF(H963&gt;0, 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L963/86400 + DATE(1970,1,1)</f>
        <v>40591.25</v>
      </c>
      <c r="O963" s="10">
        <f t="shared" ref="O963:O1001" si="63">M963/86400 + 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G2">
    <cfRule type="colorScale" priority="6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74AA-D10E-244E-AB34-CF910FC032C6}">
  <dimension ref="A1:F14"/>
  <sheetViews>
    <sheetView workbookViewId="0">
      <selection activeCell="M27" sqref="M27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7" t="s">
        <v>6</v>
      </c>
      <c r="B1" t="s">
        <v>2069</v>
      </c>
    </row>
    <row r="3" spans="1:6">
      <c r="A3" s="7" t="s">
        <v>2068</v>
      </c>
      <c r="B3" s="7" t="s">
        <v>2067</v>
      </c>
    </row>
    <row r="4" spans="1:6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8" t="s">
        <v>2062</v>
      </c>
      <c r="E8">
        <v>4</v>
      </c>
      <c r="F8">
        <v>4</v>
      </c>
    </row>
    <row r="9" spans="1:6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8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48DA-DC0F-B64C-B61F-1FBCB705852D}">
  <dimension ref="A1:F30"/>
  <sheetViews>
    <sheetView workbookViewId="0">
      <selection activeCell="D1" sqref="D1:D1048576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7" t="s">
        <v>6</v>
      </c>
      <c r="B1" t="s">
        <v>2069</v>
      </c>
    </row>
    <row r="2" spans="1:6">
      <c r="A2" s="7" t="s">
        <v>2070</v>
      </c>
      <c r="B2" t="s">
        <v>2069</v>
      </c>
    </row>
    <row r="4" spans="1:6">
      <c r="A4" s="7" t="s">
        <v>2068</v>
      </c>
      <c r="B4" s="7" t="s">
        <v>2067</v>
      </c>
    </row>
    <row r="5" spans="1:6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>
      <c r="A6" s="8" t="s">
        <v>2047</v>
      </c>
      <c r="B6" s="21">
        <v>1</v>
      </c>
      <c r="C6" s="21">
        <v>10</v>
      </c>
      <c r="D6" s="21">
        <v>2</v>
      </c>
      <c r="E6" s="21">
        <v>21</v>
      </c>
      <c r="F6" s="21">
        <v>34</v>
      </c>
    </row>
    <row r="7" spans="1:6">
      <c r="A7" s="8" t="s">
        <v>2063</v>
      </c>
      <c r="B7" s="21"/>
      <c r="C7" s="21"/>
      <c r="D7" s="21"/>
      <c r="E7" s="21">
        <v>4</v>
      </c>
      <c r="F7" s="21">
        <v>4</v>
      </c>
    </row>
    <row r="8" spans="1:6">
      <c r="A8" s="8" t="s">
        <v>2040</v>
      </c>
      <c r="B8" s="21">
        <v>4</v>
      </c>
      <c r="C8" s="21">
        <v>21</v>
      </c>
      <c r="D8" s="21">
        <v>1</v>
      </c>
      <c r="E8" s="21">
        <v>34</v>
      </c>
      <c r="F8" s="21">
        <v>60</v>
      </c>
    </row>
    <row r="9" spans="1:6">
      <c r="A9" s="8" t="s">
        <v>2042</v>
      </c>
      <c r="B9" s="21">
        <v>2</v>
      </c>
      <c r="C9" s="21">
        <v>12</v>
      </c>
      <c r="D9" s="21">
        <v>1</v>
      </c>
      <c r="E9" s="21">
        <v>22</v>
      </c>
      <c r="F9" s="21">
        <v>37</v>
      </c>
    </row>
    <row r="10" spans="1:6">
      <c r="A10" s="8" t="s">
        <v>2041</v>
      </c>
      <c r="B10" s="21"/>
      <c r="C10" s="21">
        <v>8</v>
      </c>
      <c r="D10" s="21"/>
      <c r="E10" s="21">
        <v>10</v>
      </c>
      <c r="F10" s="21">
        <v>18</v>
      </c>
    </row>
    <row r="11" spans="1:6">
      <c r="A11" s="8" t="s">
        <v>2051</v>
      </c>
      <c r="B11" s="21">
        <v>1</v>
      </c>
      <c r="C11" s="21">
        <v>7</v>
      </c>
      <c r="D11" s="21"/>
      <c r="E11" s="21">
        <v>9</v>
      </c>
      <c r="F11" s="21">
        <v>17</v>
      </c>
    </row>
    <row r="12" spans="1:6">
      <c r="A12" s="8" t="s">
        <v>2032</v>
      </c>
      <c r="B12" s="21">
        <v>4</v>
      </c>
      <c r="C12" s="21">
        <v>20</v>
      </c>
      <c r="D12" s="21"/>
      <c r="E12" s="21">
        <v>22</v>
      </c>
      <c r="F12" s="21">
        <v>46</v>
      </c>
    </row>
    <row r="13" spans="1:6">
      <c r="A13" s="8" t="s">
        <v>2043</v>
      </c>
      <c r="B13" s="21">
        <v>3</v>
      </c>
      <c r="C13" s="21">
        <v>19</v>
      </c>
      <c r="D13" s="21"/>
      <c r="E13" s="21">
        <v>23</v>
      </c>
      <c r="F13" s="21">
        <v>45</v>
      </c>
    </row>
    <row r="14" spans="1:6">
      <c r="A14" s="8" t="s">
        <v>2056</v>
      </c>
      <c r="B14" s="21">
        <v>1</v>
      </c>
      <c r="C14" s="21">
        <v>6</v>
      </c>
      <c r="D14" s="21"/>
      <c r="E14" s="21">
        <v>10</v>
      </c>
      <c r="F14" s="21">
        <v>17</v>
      </c>
    </row>
    <row r="15" spans="1:6">
      <c r="A15" s="8" t="s">
        <v>2055</v>
      </c>
      <c r="B15" s="21"/>
      <c r="C15" s="21">
        <v>3</v>
      </c>
      <c r="D15" s="21"/>
      <c r="E15" s="21">
        <v>4</v>
      </c>
      <c r="F15" s="21">
        <v>7</v>
      </c>
    </row>
    <row r="16" spans="1:6">
      <c r="A16" s="8" t="s">
        <v>2059</v>
      </c>
      <c r="B16" s="21"/>
      <c r="C16" s="21">
        <v>8</v>
      </c>
      <c r="D16" s="21">
        <v>1</v>
      </c>
      <c r="E16" s="21">
        <v>4</v>
      </c>
      <c r="F16" s="21">
        <v>13</v>
      </c>
    </row>
    <row r="17" spans="1:6">
      <c r="A17" s="8" t="s">
        <v>2046</v>
      </c>
      <c r="B17" s="21">
        <v>1</v>
      </c>
      <c r="C17" s="21">
        <v>6</v>
      </c>
      <c r="D17" s="21">
        <v>1</v>
      </c>
      <c r="E17" s="21">
        <v>13</v>
      </c>
      <c r="F17" s="21">
        <v>21</v>
      </c>
    </row>
    <row r="18" spans="1:6">
      <c r="A18" s="8" t="s">
        <v>2053</v>
      </c>
      <c r="B18" s="21">
        <v>4</v>
      </c>
      <c r="C18" s="21">
        <v>11</v>
      </c>
      <c r="D18" s="21">
        <v>1</v>
      </c>
      <c r="E18" s="21">
        <v>26</v>
      </c>
      <c r="F18" s="21">
        <v>42</v>
      </c>
    </row>
    <row r="19" spans="1:6">
      <c r="A19" s="8" t="s">
        <v>2038</v>
      </c>
      <c r="B19" s="21">
        <v>23</v>
      </c>
      <c r="C19" s="21">
        <v>132</v>
      </c>
      <c r="D19" s="21">
        <v>2</v>
      </c>
      <c r="E19" s="21">
        <v>187</v>
      </c>
      <c r="F19" s="21">
        <v>344</v>
      </c>
    </row>
    <row r="20" spans="1:6">
      <c r="A20" s="8" t="s">
        <v>2054</v>
      </c>
      <c r="B20" s="21"/>
      <c r="C20" s="21">
        <v>4</v>
      </c>
      <c r="D20" s="21"/>
      <c r="E20" s="21">
        <v>4</v>
      </c>
      <c r="F20" s="21">
        <v>8</v>
      </c>
    </row>
    <row r="21" spans="1:6">
      <c r="A21" s="8" t="s">
        <v>2034</v>
      </c>
      <c r="B21" s="21">
        <v>6</v>
      </c>
      <c r="C21" s="21">
        <v>30</v>
      </c>
      <c r="D21" s="21"/>
      <c r="E21" s="21">
        <v>49</v>
      </c>
      <c r="F21" s="21">
        <v>85</v>
      </c>
    </row>
    <row r="22" spans="1:6">
      <c r="A22" s="8" t="s">
        <v>2061</v>
      </c>
      <c r="B22" s="21"/>
      <c r="C22" s="21">
        <v>9</v>
      </c>
      <c r="D22" s="21"/>
      <c r="E22" s="21">
        <v>5</v>
      </c>
      <c r="F22" s="21">
        <v>14</v>
      </c>
    </row>
    <row r="23" spans="1:6">
      <c r="A23" s="8" t="s">
        <v>2050</v>
      </c>
      <c r="B23" s="21">
        <v>1</v>
      </c>
      <c r="C23" s="21">
        <v>5</v>
      </c>
      <c r="D23" s="21">
        <v>1</v>
      </c>
      <c r="E23" s="21">
        <v>9</v>
      </c>
      <c r="F23" s="21">
        <v>16</v>
      </c>
    </row>
    <row r="24" spans="1:6">
      <c r="A24" s="8" t="s">
        <v>2058</v>
      </c>
      <c r="B24" s="21">
        <v>3</v>
      </c>
      <c r="C24" s="21">
        <v>3</v>
      </c>
      <c r="D24" s="21"/>
      <c r="E24" s="21">
        <v>11</v>
      </c>
      <c r="F24" s="21">
        <v>17</v>
      </c>
    </row>
    <row r="25" spans="1:6">
      <c r="A25" s="8" t="s">
        <v>2057</v>
      </c>
      <c r="B25" s="21"/>
      <c r="C25" s="21">
        <v>7</v>
      </c>
      <c r="D25" s="21"/>
      <c r="E25" s="21">
        <v>14</v>
      </c>
      <c r="F25" s="21">
        <v>21</v>
      </c>
    </row>
    <row r="26" spans="1:6">
      <c r="A26" s="8" t="s">
        <v>2049</v>
      </c>
      <c r="B26" s="21">
        <v>1</v>
      </c>
      <c r="C26" s="21">
        <v>15</v>
      </c>
      <c r="D26" s="21">
        <v>2</v>
      </c>
      <c r="E26" s="21">
        <v>17</v>
      </c>
      <c r="F26" s="21">
        <v>35</v>
      </c>
    </row>
    <row r="27" spans="1:6">
      <c r="A27" s="8" t="s">
        <v>2044</v>
      </c>
      <c r="B27" s="21"/>
      <c r="C27" s="21">
        <v>16</v>
      </c>
      <c r="D27" s="21">
        <v>1</v>
      </c>
      <c r="E27" s="21">
        <v>28</v>
      </c>
      <c r="F27" s="21">
        <v>45</v>
      </c>
    </row>
    <row r="28" spans="1:6">
      <c r="A28" s="8" t="s">
        <v>2036</v>
      </c>
      <c r="B28" s="21">
        <v>2</v>
      </c>
      <c r="C28" s="21">
        <v>12</v>
      </c>
      <c r="D28" s="21">
        <v>1</v>
      </c>
      <c r="E28" s="21">
        <v>36</v>
      </c>
      <c r="F28" s="21">
        <v>51</v>
      </c>
    </row>
    <row r="29" spans="1:6">
      <c r="A29" s="8" t="s">
        <v>2060</v>
      </c>
      <c r="B29" s="21"/>
      <c r="C29" s="21"/>
      <c r="D29" s="21"/>
      <c r="E29" s="21">
        <v>3</v>
      </c>
      <c r="F29" s="21">
        <v>3</v>
      </c>
    </row>
    <row r="30" spans="1:6">
      <c r="A30" s="8" t="s">
        <v>2066</v>
      </c>
      <c r="B30" s="21">
        <v>57</v>
      </c>
      <c r="C30" s="21">
        <v>364</v>
      </c>
      <c r="D30" s="21">
        <v>14</v>
      </c>
      <c r="E30" s="21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6DA1-DF2D-5B45-B31A-9FCD0C173DDA}">
  <sheetPr codeName="Sheet5"/>
  <dimension ref="A1:E18"/>
  <sheetViews>
    <sheetView zoomScale="147" zoomScaleNormal="147" workbookViewId="0">
      <selection activeCell="D4" sqref="D4"/>
    </sheetView>
  </sheetViews>
  <sheetFormatPr baseColWidth="10" defaultRowHeight="16"/>
  <cols>
    <col min="1" max="1" width="28" bestFit="1" customWidth="1"/>
    <col min="2" max="2" width="15.5" bestFit="1" customWidth="1"/>
    <col min="3" max="3" width="5.83203125" bestFit="1" customWidth="1"/>
    <col min="4" max="4" width="9.6640625" bestFit="1" customWidth="1"/>
    <col min="5" max="5" width="11" bestFit="1" customWidth="1"/>
  </cols>
  <sheetData>
    <row r="1" spans="1:5">
      <c r="A1" s="7" t="s">
        <v>2070</v>
      </c>
      <c r="B1" t="s">
        <v>2069</v>
      </c>
    </row>
    <row r="2" spans="1:5">
      <c r="A2" s="7" t="s">
        <v>2085</v>
      </c>
      <c r="B2" t="s">
        <v>2069</v>
      </c>
    </row>
    <row r="4" spans="1:5">
      <c r="A4" s="7" t="s">
        <v>2068</v>
      </c>
      <c r="B4" s="7" t="s">
        <v>2067</v>
      </c>
    </row>
    <row r="5" spans="1:5">
      <c r="A5" s="7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8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AE1D-6827-754F-8C97-5847E19AC8C1}">
  <sheetPr codeName="Sheet6"/>
  <dimension ref="A1:H13"/>
  <sheetViews>
    <sheetView workbookViewId="0">
      <selection activeCell="B5" sqref="B5"/>
    </sheetView>
  </sheetViews>
  <sheetFormatPr baseColWidth="10" defaultRowHeight="16"/>
  <cols>
    <col min="1" max="1" width="32" customWidth="1"/>
    <col min="2" max="2" width="17" bestFit="1" customWidth="1"/>
    <col min="3" max="3" width="14.33203125" bestFit="1" customWidth="1"/>
    <col min="4" max="4" width="14.33203125" customWidth="1"/>
    <col min="5" max="5" width="12.33203125" bestFit="1" customWidth="1"/>
    <col min="6" max="6" width="20" style="15" bestFit="1" customWidth="1"/>
    <col min="7" max="7" width="15.83203125" style="15" bestFit="1" customWidth="1"/>
    <col min="8" max="8" width="18.33203125" style="15" bestFit="1" customWidth="1"/>
  </cols>
  <sheetData>
    <row r="1" spans="1:8" s="11" customFormat="1">
      <c r="A1" s="11" t="s">
        <v>2086</v>
      </c>
      <c r="B1" s="11" t="s">
        <v>2087</v>
      </c>
      <c r="C1" s="11" t="s">
        <v>2088</v>
      </c>
      <c r="D1" s="11" t="s">
        <v>2105</v>
      </c>
      <c r="E1" s="11" t="s">
        <v>2089</v>
      </c>
      <c r="F1" s="14" t="s">
        <v>2090</v>
      </c>
      <c r="G1" s="14" t="s">
        <v>2091</v>
      </c>
      <c r="H1" s="14" t="s">
        <v>2092</v>
      </c>
    </row>
    <row r="2" spans="1:8">
      <c r="A2" s="1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5">
        <f>(B2/E2)</f>
        <v>0.58823529411764708</v>
      </c>
      <c r="G2" s="15">
        <f>(C2/E2)</f>
        <v>0.39215686274509803</v>
      </c>
      <c r="H2" s="15">
        <f>(D2/E2)</f>
        <v>1.9607843137254902E-2</v>
      </c>
    </row>
    <row r="3" spans="1:8">
      <c r="A3" s="12" t="s">
        <v>2094</v>
      </c>
      <c r="B3">
        <f>COUNTIFS(Crowdfunding!D:D,"&gt;=1000", Crowdfunding!D:D,"&lt;=4999", Crowdfunding!G:G,"Successful")</f>
        <v>191</v>
      </c>
      <c r="C3">
        <f>COUNTIFS(Crowdfunding!D:D,"&gt;=1000", Crowdfunding!D:D,"&lt;=4999", Crowdfunding!G:G,"failed")</f>
        <v>38</v>
      </c>
      <c r="D3">
        <f>COUNTIFS(Crowdfunding!D:D,"&gt;=1000", Crowdfunding!D:D,"&lt;=4999", Crowdfunding!G:G,"canceled")</f>
        <v>2</v>
      </c>
      <c r="E3">
        <f t="shared" ref="E3:E13" si="0">SUM(B3:D3)</f>
        <v>231</v>
      </c>
      <c r="F3" s="15">
        <f t="shared" ref="F3:F13" si="1">(B3/E3)</f>
        <v>0.82683982683982682</v>
      </c>
      <c r="G3" s="15">
        <f>(C3/E3)</f>
        <v>0.16450216450216451</v>
      </c>
      <c r="H3" s="15">
        <f t="shared" ref="H3:H13" si="2">(D3/E3)</f>
        <v>8.658008658008658E-3</v>
      </c>
    </row>
    <row r="4" spans="1:8">
      <c r="A4" s="12" t="s">
        <v>2095</v>
      </c>
      <c r="B4">
        <f>COUNTIFS(Crowdfunding!D:D,"&gt;=5000", Crowdfunding!D:D,"&lt;=9999", Crowdfunding!G:G,"Successful")</f>
        <v>164</v>
      </c>
      <c r="C4">
        <f>COUNTIFS(Crowdfunding!D:D,"&gt;=5000", Crowdfunding!D:D,"&lt;=9999", Crowdfunding!G:G,"failed")</f>
        <v>126</v>
      </c>
      <c r="D4">
        <f>COUNTIFS(Crowdfunding!D:D,"&gt;=5000", Crowdfunding!D:D,"&lt;=9999", Crowdfunding!G:G,"canceled")</f>
        <v>25</v>
      </c>
      <c r="E4">
        <f t="shared" si="0"/>
        <v>315</v>
      </c>
      <c r="F4" s="15">
        <f t="shared" si="1"/>
        <v>0.52063492063492067</v>
      </c>
      <c r="G4" s="15">
        <f t="shared" ref="G4:G13" si="3">(C4/E4)</f>
        <v>0.4</v>
      </c>
      <c r="H4" s="15">
        <f t="shared" si="2"/>
        <v>7.9365079365079361E-2</v>
      </c>
    </row>
    <row r="5" spans="1:8">
      <c r="A5" s="12" t="s">
        <v>2096</v>
      </c>
      <c r="B5">
        <f>COUNTIFS(Crowdfunding!D:D,"&gt;=10000", Crowdfunding!D:D,"&lt;=14999", Crowdfunding!G:G,"Successful")</f>
        <v>4</v>
      </c>
      <c r="C5">
        <f>COUNTIFS(Crowdfunding!D:D,"&gt;=10000", Crowdfunding!D:D,"&lt;=14999", Crowdfunding!G:G,"failed")</f>
        <v>5</v>
      </c>
      <c r="D5">
        <f>COUNTIFS(Crowdfunding!D:D,"&gt;=10000", Crowdfunding!D:D,"&lt;=14999", Crowdfunding!G:G,"canceled")</f>
        <v>0</v>
      </c>
      <c r="E5">
        <f>SUM(B5:D5)</f>
        <v>9</v>
      </c>
      <c r="F5" s="15">
        <f t="shared" si="1"/>
        <v>0.44444444444444442</v>
      </c>
      <c r="G5" s="15">
        <f t="shared" si="3"/>
        <v>0.55555555555555558</v>
      </c>
      <c r="H5" s="15">
        <f t="shared" si="2"/>
        <v>0</v>
      </c>
    </row>
    <row r="6" spans="1:8">
      <c r="A6" s="12" t="s">
        <v>2097</v>
      </c>
      <c r="B6">
        <f>COUNTIFS(Crowdfunding!D:D,"&gt;=15000", Crowdfunding!D:D,"&lt;=19999", Crowdfunding!G:G,"Successful")</f>
        <v>10</v>
      </c>
      <c r="C6">
        <f>COUNTIFS(Crowdfunding!D:D,"&gt;=15000", Crowdfunding!D:D,"&lt;=19999", Crowdfunding!G:G,"failed")</f>
        <v>0</v>
      </c>
      <c r="D6">
        <f>COUNTIFS(Crowdfunding!D:D,"&gt;=15000", Crowdfunding!D:D,"&lt;=19999", Crowdfunding!G:G,"canceled")</f>
        <v>0</v>
      </c>
      <c r="E6">
        <f t="shared" si="0"/>
        <v>10</v>
      </c>
      <c r="F6" s="15">
        <f t="shared" si="1"/>
        <v>1</v>
      </c>
      <c r="G6" s="15">
        <f t="shared" si="3"/>
        <v>0</v>
      </c>
      <c r="H6" s="15">
        <f t="shared" si="2"/>
        <v>0</v>
      </c>
    </row>
    <row r="7" spans="1:8">
      <c r="A7" s="12" t="s">
        <v>2098</v>
      </c>
      <c r="B7">
        <f>COUNTIFS(Crowdfunding!D:D,"&gt;=20000", Crowdfunding!D:D,"&lt;=24999", Crowdfunding!G:G,"Successful")</f>
        <v>7</v>
      </c>
      <c r="C7">
        <f>COUNTIFS(Crowdfunding!D:D,"&gt;=20000", Crowdfunding!D:D,"&lt;=24999", Crowdfunding!G:G,"failed")</f>
        <v>0</v>
      </c>
      <c r="D7">
        <f>COUNTIFS(Crowdfunding!D:D,"&gt;=20000", Crowdfunding!D:D,"&lt;=24999", Crowdfunding!G:G,"canceled")</f>
        <v>0</v>
      </c>
      <c r="E7">
        <f t="shared" si="0"/>
        <v>7</v>
      </c>
      <c r="F7" s="15">
        <f t="shared" si="1"/>
        <v>1</v>
      </c>
      <c r="G7" s="15">
        <f t="shared" si="3"/>
        <v>0</v>
      </c>
      <c r="H7" s="15">
        <f t="shared" si="2"/>
        <v>0</v>
      </c>
    </row>
    <row r="8" spans="1:8">
      <c r="A8" s="12" t="s">
        <v>2099</v>
      </c>
      <c r="B8">
        <f>COUNTIFS(Crowdfunding!D:D,"&gt;=25000", Crowdfunding!D:D,"&lt;=29999", Crowdfunding!G:G,"Successful")</f>
        <v>11</v>
      </c>
      <c r="C8">
        <f>COUNTIFS(Crowdfunding!D:D,"&gt;=25000", Crowdfunding!D:D,"&lt;=29999", Crowdfunding!G:G,"failed")</f>
        <v>3</v>
      </c>
      <c r="D8">
        <f>COUNTIFS(Crowdfunding!D:D,"&gt;=25000", Crowdfunding!D:D,"&lt;=29999", Crowdfunding!G:G,"canceled")</f>
        <v>0</v>
      </c>
      <c r="E8">
        <f t="shared" si="0"/>
        <v>14</v>
      </c>
      <c r="F8" s="15">
        <f t="shared" si="1"/>
        <v>0.7857142857142857</v>
      </c>
      <c r="G8" s="15">
        <f t="shared" si="3"/>
        <v>0.21428571428571427</v>
      </c>
      <c r="H8" s="15">
        <f t="shared" si="2"/>
        <v>0</v>
      </c>
    </row>
    <row r="9" spans="1:8">
      <c r="A9" s="12" t="s">
        <v>2100</v>
      </c>
      <c r="B9">
        <f>COUNTIFS(Crowdfunding!D:D,"&gt;=30000", Crowdfunding!D:D,"&lt;=34999", Crowdfunding!G:G,"Successful")</f>
        <v>7</v>
      </c>
      <c r="C9">
        <f>COUNTIFS(Crowdfunding!D:D,"&gt;=30000", Crowdfunding!D:D,"&lt;=34999", Crowdfunding!G:G,"failed")</f>
        <v>0</v>
      </c>
      <c r="D9" s="13">
        <f>COUNTIFS(Crowdfunding!D:D,"&gt;=30000", Crowdfunding!D:D,"&lt;=34999", Crowdfunding!G:G,"canceled")</f>
        <v>0</v>
      </c>
      <c r="E9">
        <f t="shared" si="0"/>
        <v>7</v>
      </c>
      <c r="F9" s="15">
        <f t="shared" si="1"/>
        <v>1</v>
      </c>
      <c r="G9" s="15">
        <f t="shared" si="3"/>
        <v>0</v>
      </c>
      <c r="H9" s="15">
        <f t="shared" si="2"/>
        <v>0</v>
      </c>
    </row>
    <row r="10" spans="1:8">
      <c r="A10" s="12" t="s">
        <v>2101</v>
      </c>
      <c r="B10">
        <f>COUNTIFS(Crowdfunding!D:D,"&gt;=35000", Crowdfunding!D:D,"&lt;=39999", Crowdfunding!G:G,"Successful")</f>
        <v>8</v>
      </c>
      <c r="C10">
        <f>COUNTIFS(Crowdfunding!D:D,"&gt;=35000", Crowdfunding!D:D,"&lt;=39999", Crowdfunding!G:G,"failed")</f>
        <v>3</v>
      </c>
      <c r="D10">
        <f>COUNTIFS(Crowdfunding!D:D,"&gt;=35000", Crowdfunding!D:D,"&lt;=39999", Crowdfunding!G:G,"canceled")</f>
        <v>1</v>
      </c>
      <c r="E10">
        <f t="shared" si="0"/>
        <v>12</v>
      </c>
      <c r="F10" s="15">
        <f t="shared" si="1"/>
        <v>0.66666666666666663</v>
      </c>
      <c r="G10" s="15">
        <f t="shared" si="3"/>
        <v>0.25</v>
      </c>
      <c r="H10" s="15">
        <f t="shared" si="2"/>
        <v>8.3333333333333329E-2</v>
      </c>
    </row>
    <row r="11" spans="1:8">
      <c r="A11" s="12" t="s">
        <v>2102</v>
      </c>
      <c r="B11">
        <f>COUNTIFS(Crowdfunding!D:D,"&gt;=40000", Crowdfunding!D:D,"&lt;=44999", Crowdfunding!G:G,"Successful")</f>
        <v>11</v>
      </c>
      <c r="C11">
        <f>COUNTIFS(Crowdfunding!D:D,"&gt;=40000", Crowdfunding!D:D,"&lt;=44999", Crowdfunding!G:G,"failed")</f>
        <v>3</v>
      </c>
      <c r="D11">
        <f>COUNTIFS(Crowdfunding!D:D,"&gt;=40000", Crowdfunding!D:D,"&lt;=44999", Crowdfunding!G:G,"canceled")</f>
        <v>0</v>
      </c>
      <c r="E11">
        <f t="shared" si="0"/>
        <v>14</v>
      </c>
      <c r="F11" s="15">
        <f t="shared" si="1"/>
        <v>0.7857142857142857</v>
      </c>
      <c r="G11" s="15">
        <f t="shared" si="3"/>
        <v>0.21428571428571427</v>
      </c>
      <c r="H11" s="15">
        <f t="shared" si="2"/>
        <v>0</v>
      </c>
    </row>
    <row r="12" spans="1:8">
      <c r="A12" s="12" t="s">
        <v>2103</v>
      </c>
      <c r="B12">
        <f>COUNTIFS(Crowdfunding!D:D,"&gt;=45000", Crowdfunding!D:D,"&lt;=49999", Crowdfunding!G:G,"Successful")</f>
        <v>8</v>
      </c>
      <c r="C12">
        <f>COUNTIFS(Crowdfunding!D:D,"&gt;=45000", Crowdfunding!D:D,"&lt;=49999", Crowdfunding!G:G,"failed")</f>
        <v>3</v>
      </c>
      <c r="D12">
        <f>COUNTIFS(Crowdfunding!D:D,"&gt;=45000", Crowdfunding!D:D,"&lt;=49999", Crowdfunding!G:G,"cancled")</f>
        <v>0</v>
      </c>
      <c r="E12">
        <f t="shared" si="0"/>
        <v>11</v>
      </c>
      <c r="F12" s="15">
        <f t="shared" si="1"/>
        <v>0.72727272727272729</v>
      </c>
      <c r="G12" s="15">
        <f t="shared" si="3"/>
        <v>0.27272727272727271</v>
      </c>
      <c r="H12" s="15">
        <f t="shared" si="2"/>
        <v>0</v>
      </c>
    </row>
    <row r="13" spans="1:8">
      <c r="A13" s="12" t="s">
        <v>2104</v>
      </c>
      <c r="B13">
        <f>COUNTIFS(Crowdfunding!D:D,"&gt;=50000", Crowdfunding!G:G,"Successful")</f>
        <v>114</v>
      </c>
      <c r="C13">
        <f>COUNTIFS(Crowdfunding!D:D,"&gt;=50000", Crowdfunding!G:G,"failed")</f>
        <v>163</v>
      </c>
      <c r="D13">
        <f>COUNTIFS(Crowdfunding!D:D,"&gt;=50000", Crowdfunding!G:G,"canceled")</f>
        <v>28</v>
      </c>
      <c r="E13">
        <f t="shared" si="0"/>
        <v>305</v>
      </c>
      <c r="F13" s="15">
        <f t="shared" si="1"/>
        <v>0.3737704918032787</v>
      </c>
      <c r="G13" s="15">
        <f t="shared" si="3"/>
        <v>0.53442622950819674</v>
      </c>
      <c r="H13" s="1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D0CF-89D9-0544-B2CB-6F133133DA6A}">
  <sheetPr codeName="Sheet7"/>
  <dimension ref="A1:J566"/>
  <sheetViews>
    <sheetView tabSelected="1" workbookViewId="0">
      <selection activeCell="D1" activeCellId="1" sqref="A1:B1048576 D1:E1048576"/>
    </sheetView>
  </sheetViews>
  <sheetFormatPr baseColWidth="10" defaultRowHeight="16"/>
  <cols>
    <col min="1" max="1" width="19" bestFit="1" customWidth="1"/>
    <col min="2" max="3" width="19" customWidth="1"/>
    <col min="4" max="4" width="15.33203125" bestFit="1" customWidth="1"/>
    <col min="7" max="7" width="27.33203125" bestFit="1" customWidth="1"/>
    <col min="8" max="8" width="39" bestFit="1" customWidth="1"/>
    <col min="9" max="9" width="18.5" style="4" bestFit="1" customWidth="1"/>
    <col min="10" max="10" width="21.1640625" style="4" bestFit="1" customWidth="1"/>
  </cols>
  <sheetData>
    <row r="1" spans="1:10" s="11" customFormat="1">
      <c r="A1" s="11" t="s">
        <v>2106</v>
      </c>
      <c r="B1" s="11" t="s">
        <v>5</v>
      </c>
      <c r="D1" s="11" t="s">
        <v>2115</v>
      </c>
      <c r="E1" s="11" t="s">
        <v>5</v>
      </c>
      <c r="I1" s="17"/>
      <c r="J1" s="17"/>
    </row>
    <row r="2" spans="1:10">
      <c r="A2" t="s">
        <v>20</v>
      </c>
      <c r="B2">
        <v>158</v>
      </c>
      <c r="D2" t="s">
        <v>14</v>
      </c>
      <c r="E2">
        <v>0</v>
      </c>
    </row>
    <row r="3" spans="1:10" ht="18">
      <c r="A3" t="s">
        <v>20</v>
      </c>
      <c r="B3">
        <v>1425</v>
      </c>
      <c r="D3" t="s">
        <v>14</v>
      </c>
      <c r="E3">
        <v>24</v>
      </c>
      <c r="G3" s="16"/>
    </row>
    <row r="4" spans="1:10">
      <c r="A4" t="s">
        <v>20</v>
      </c>
      <c r="B4">
        <v>174</v>
      </c>
      <c r="D4" t="s">
        <v>14</v>
      </c>
      <c r="E4">
        <v>53</v>
      </c>
    </row>
    <row r="5" spans="1:10">
      <c r="A5" t="s">
        <v>20</v>
      </c>
      <c r="B5">
        <v>227</v>
      </c>
      <c r="D5" t="s">
        <v>14</v>
      </c>
      <c r="E5">
        <v>18</v>
      </c>
    </row>
    <row r="6" spans="1:10">
      <c r="A6" t="s">
        <v>20</v>
      </c>
      <c r="B6">
        <v>220</v>
      </c>
      <c r="D6" t="s">
        <v>14</v>
      </c>
      <c r="E6">
        <v>44</v>
      </c>
    </row>
    <row r="7" spans="1:10">
      <c r="A7" t="s">
        <v>20</v>
      </c>
      <c r="B7">
        <v>98</v>
      </c>
      <c r="D7" t="s">
        <v>14</v>
      </c>
      <c r="E7">
        <v>27</v>
      </c>
      <c r="H7" s="11"/>
      <c r="I7" s="18" t="s">
        <v>2107</v>
      </c>
      <c r="J7" s="19" t="s">
        <v>2108</v>
      </c>
    </row>
    <row r="8" spans="1:10">
      <c r="A8" t="s">
        <v>20</v>
      </c>
      <c r="B8">
        <v>100</v>
      </c>
      <c r="D8" t="s">
        <v>14</v>
      </c>
      <c r="E8">
        <v>55</v>
      </c>
      <c r="H8" s="11" t="s">
        <v>2109</v>
      </c>
      <c r="I8" s="20">
        <f>AVERAGE('Summary Statistic Table '!B2:B566)</f>
        <v>851.14690265486729</v>
      </c>
      <c r="J8" s="20">
        <f>AVERAGE(E2:E365)</f>
        <v>585.61538461538464</v>
      </c>
    </row>
    <row r="9" spans="1:10">
      <c r="A9" t="s">
        <v>20</v>
      </c>
      <c r="B9">
        <v>1249</v>
      </c>
      <c r="D9" t="s">
        <v>14</v>
      </c>
      <c r="E9">
        <v>200</v>
      </c>
      <c r="H9" s="11" t="s">
        <v>2110</v>
      </c>
      <c r="I9" s="20">
        <f>MEDIAN(B2:B566)</f>
        <v>201</v>
      </c>
      <c r="J9" s="20">
        <f>MEDIAN(E2:E365)</f>
        <v>114.5</v>
      </c>
    </row>
    <row r="10" spans="1:10">
      <c r="A10" t="s">
        <v>20</v>
      </c>
      <c r="B10">
        <v>1396</v>
      </c>
      <c r="D10" t="s">
        <v>14</v>
      </c>
      <c r="E10">
        <v>452</v>
      </c>
      <c r="H10" s="11" t="s">
        <v>2111</v>
      </c>
      <c r="I10" s="20">
        <f>MIN(B2:B566)</f>
        <v>16</v>
      </c>
      <c r="J10" s="20">
        <f>MIN(E2:E365)</f>
        <v>0</v>
      </c>
    </row>
    <row r="11" spans="1:10">
      <c r="A11" t="s">
        <v>20</v>
      </c>
      <c r="B11">
        <v>890</v>
      </c>
      <c r="D11" t="s">
        <v>14</v>
      </c>
      <c r="E11">
        <v>674</v>
      </c>
      <c r="H11" s="11" t="s">
        <v>2112</v>
      </c>
      <c r="I11" s="20">
        <f>MAX(B2:B566)</f>
        <v>7295</v>
      </c>
      <c r="J11" s="20">
        <f>MAX(E2:E365)</f>
        <v>6080</v>
      </c>
    </row>
    <row r="12" spans="1:10">
      <c r="A12" t="s">
        <v>20</v>
      </c>
      <c r="B12">
        <v>142</v>
      </c>
      <c r="D12" t="s">
        <v>14</v>
      </c>
      <c r="E12">
        <v>558</v>
      </c>
      <c r="H12" s="11" t="s">
        <v>2113</v>
      </c>
      <c r="I12" s="20">
        <f>_xlfn.VAR.P(B2:B566)</f>
        <v>1603373.7324019109</v>
      </c>
      <c r="J12" s="20">
        <f>_xlfn.VAR.P(E2:E365)</f>
        <v>921574.68174133555</v>
      </c>
    </row>
    <row r="13" spans="1:10">
      <c r="A13" t="s">
        <v>20</v>
      </c>
      <c r="B13">
        <v>2673</v>
      </c>
      <c r="D13" t="s">
        <v>14</v>
      </c>
      <c r="E13">
        <v>15</v>
      </c>
      <c r="H13" s="11" t="s">
        <v>2114</v>
      </c>
      <c r="I13" s="20">
        <f>_xlfn.STDEV.P(B2:B566)</f>
        <v>1266.2439466397898</v>
      </c>
      <c r="J13" s="20">
        <f>_xlfn.STDEV.P(E2:E365)</f>
        <v>959.98681331637863</v>
      </c>
    </row>
    <row r="14" spans="1:10">
      <c r="A14" t="s">
        <v>20</v>
      </c>
      <c r="B14">
        <v>163</v>
      </c>
      <c r="D14" t="s">
        <v>14</v>
      </c>
      <c r="E14">
        <v>2307</v>
      </c>
    </row>
    <row r="15" spans="1:10">
      <c r="A15" t="s">
        <v>20</v>
      </c>
      <c r="B15">
        <v>2220</v>
      </c>
      <c r="D15" t="s">
        <v>14</v>
      </c>
      <c r="E15">
        <v>88</v>
      </c>
    </row>
    <row r="16" spans="1:10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">
    <cfRule type="containsText" dxfId="11" priority="1" operator="containsText" text="live">
      <formula>NOT(ISERROR(SEARCH("live",A2)))</formula>
    </cfRule>
    <cfRule type="containsText" dxfId="10" priority="2" operator="containsText" text="canceled">
      <formula>NOT(ISERROR(SEARCH("canceled",A2)))</formula>
    </cfRule>
    <cfRule type="containsText" dxfId="9" priority="3" operator="containsText" text="successful">
      <formula>NOT(ISERROR(SEARCH("successful",A2)))</formula>
    </cfRule>
    <cfRule type="containsText" dxfId="8" priority="4" operator="containsText" text="failed">
      <formula>NOT(ISERROR(SEARCH("failed",A2)))</formula>
    </cfRule>
  </conditionalFormatting>
  <conditionalFormatting sqref="D2">
    <cfRule type="colorScale" priority="9">
      <colorScale>
        <cfvo type="min"/>
        <cfvo type="max"/>
        <color rgb="FFFF7128"/>
        <color rgb="FFFFEF9C"/>
      </colorScale>
    </cfRule>
  </conditionalFormatting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Categpry</vt:lpstr>
      <vt:lpstr>Outcome per Sub-Category</vt:lpstr>
      <vt:lpstr>Outcome Count</vt:lpstr>
      <vt:lpstr>Outcome Based on Goals</vt:lpstr>
      <vt:lpstr>Summary Statistic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Atnafu Brhane</cp:lastModifiedBy>
  <dcterms:created xsi:type="dcterms:W3CDTF">2021-09-29T18:52:28Z</dcterms:created>
  <dcterms:modified xsi:type="dcterms:W3CDTF">2024-10-21T20:11:44Z</dcterms:modified>
</cp:coreProperties>
</file>