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\Documents\siberia_data\dg_fluxes\"/>
    </mc:Choice>
  </mc:AlternateContent>
  <bookViews>
    <workbookView xWindow="0" yWindow="0" windowWidth="20490" windowHeight="7155"/>
  </bookViews>
  <sheets>
    <sheet name="all_fluxes_2015_16" sheetId="1" r:id="rId1"/>
    <sheet name="read_m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452" i="1" l="1"/>
  <c r="P452" i="1"/>
  <c r="R452" i="1" s="1"/>
  <c r="O452" i="1"/>
  <c r="Q452" i="1" s="1"/>
  <c r="L452" i="1"/>
  <c r="J452" i="1"/>
  <c r="W451" i="1"/>
  <c r="T451" i="1"/>
  <c r="P451" i="1"/>
  <c r="R451" i="1" s="1"/>
  <c r="O451" i="1"/>
  <c r="Q451" i="1" s="1"/>
  <c r="L451" i="1"/>
  <c r="J451" i="1"/>
  <c r="W450" i="1"/>
  <c r="P450" i="1"/>
  <c r="O450" i="1"/>
  <c r="Q450" i="1" s="1"/>
  <c r="L450" i="1"/>
  <c r="R450" i="1" s="1"/>
  <c r="J450" i="1"/>
  <c r="W449" i="1"/>
  <c r="T449" i="1"/>
  <c r="P449" i="1"/>
  <c r="O449" i="1"/>
  <c r="Q449" i="1" s="1"/>
  <c r="L449" i="1"/>
  <c r="R449" i="1" s="1"/>
  <c r="J449" i="1"/>
  <c r="W448" i="1"/>
  <c r="P448" i="1"/>
  <c r="O448" i="1"/>
  <c r="L448" i="1"/>
  <c r="R448" i="1" s="1"/>
  <c r="J448" i="1"/>
  <c r="Q448" i="1" s="1"/>
  <c r="W447" i="1"/>
  <c r="T447" i="1"/>
  <c r="P447" i="1"/>
  <c r="O447" i="1"/>
  <c r="L447" i="1"/>
  <c r="R447" i="1" s="1"/>
  <c r="J447" i="1"/>
  <c r="Q447" i="1" s="1"/>
  <c r="W446" i="1"/>
  <c r="T446" i="1"/>
  <c r="P446" i="1"/>
  <c r="O446" i="1"/>
  <c r="Q446" i="1" s="1"/>
  <c r="L446" i="1"/>
  <c r="R446" i="1" s="1"/>
  <c r="J446" i="1"/>
  <c r="W445" i="1"/>
  <c r="T445" i="1"/>
  <c r="P445" i="1"/>
  <c r="O445" i="1"/>
  <c r="Q445" i="1" s="1"/>
  <c r="L445" i="1"/>
  <c r="R445" i="1" s="1"/>
  <c r="J445" i="1"/>
  <c r="W444" i="1"/>
  <c r="P444" i="1"/>
  <c r="R444" i="1" s="1"/>
  <c r="O444" i="1"/>
  <c r="L444" i="1"/>
  <c r="J444" i="1"/>
  <c r="Q444" i="1" s="1"/>
  <c r="W443" i="1"/>
  <c r="T443" i="1"/>
  <c r="P443" i="1"/>
  <c r="R443" i="1" s="1"/>
  <c r="O443" i="1"/>
  <c r="L443" i="1"/>
  <c r="J443" i="1"/>
  <c r="Q443" i="1" s="1"/>
  <c r="W442" i="1"/>
  <c r="P442" i="1"/>
  <c r="R442" i="1" s="1"/>
  <c r="O442" i="1"/>
  <c r="Q442" i="1" s="1"/>
  <c r="L442" i="1"/>
  <c r="J442" i="1"/>
  <c r="W441" i="1"/>
  <c r="T441" i="1"/>
  <c r="P441" i="1"/>
  <c r="R441" i="1" s="1"/>
  <c r="O441" i="1"/>
  <c r="Q441" i="1" s="1"/>
  <c r="L441" i="1"/>
  <c r="J441" i="1"/>
  <c r="W440" i="1"/>
  <c r="P440" i="1"/>
  <c r="R440" i="1" s="1"/>
  <c r="O440" i="1"/>
  <c r="Q440" i="1" s="1"/>
  <c r="L440" i="1"/>
  <c r="J440" i="1"/>
  <c r="W439" i="1"/>
  <c r="T439" i="1"/>
  <c r="P439" i="1"/>
  <c r="R439" i="1" s="1"/>
  <c r="O439" i="1"/>
  <c r="Q439" i="1" s="1"/>
  <c r="L439" i="1"/>
  <c r="J439" i="1"/>
  <c r="P438" i="1"/>
  <c r="R438" i="1" s="1"/>
  <c r="O438" i="1"/>
  <c r="L438" i="1"/>
  <c r="J438" i="1"/>
  <c r="Q438" i="1" s="1"/>
  <c r="T437" i="1"/>
  <c r="P437" i="1"/>
  <c r="R437" i="1" s="1"/>
  <c r="O437" i="1"/>
  <c r="Q437" i="1" s="1"/>
  <c r="L437" i="1"/>
  <c r="J437" i="1"/>
  <c r="W436" i="1"/>
  <c r="P436" i="1"/>
  <c r="O436" i="1"/>
  <c r="Q436" i="1" s="1"/>
  <c r="L436" i="1"/>
  <c r="J436" i="1"/>
  <c r="R436" i="1" s="1"/>
  <c r="W435" i="1"/>
  <c r="T435" i="1"/>
  <c r="P435" i="1"/>
  <c r="R435" i="1" s="1"/>
  <c r="O435" i="1"/>
  <c r="Q435" i="1" s="1"/>
  <c r="L435" i="1"/>
  <c r="J435" i="1"/>
  <c r="W434" i="1"/>
  <c r="R434" i="1"/>
  <c r="P434" i="1"/>
  <c r="O434" i="1"/>
  <c r="Q434" i="1" s="1"/>
  <c r="L434" i="1"/>
  <c r="J434" i="1"/>
  <c r="W433" i="1"/>
  <c r="T433" i="1"/>
  <c r="P433" i="1"/>
  <c r="O433" i="1"/>
  <c r="Q433" i="1" s="1"/>
  <c r="L433" i="1"/>
  <c r="R433" i="1" s="1"/>
  <c r="J433" i="1"/>
  <c r="T432" i="1"/>
  <c r="P432" i="1"/>
  <c r="O432" i="1"/>
  <c r="L432" i="1"/>
  <c r="J432" i="1"/>
  <c r="R432" i="1" s="1"/>
  <c r="T431" i="1"/>
  <c r="P431" i="1"/>
  <c r="R431" i="1" s="1"/>
  <c r="O431" i="1"/>
  <c r="L431" i="1"/>
  <c r="J431" i="1"/>
  <c r="Q431" i="1" s="1"/>
  <c r="W430" i="1"/>
  <c r="P430" i="1"/>
  <c r="R430" i="1" s="1"/>
  <c r="O430" i="1"/>
  <c r="Q430" i="1" s="1"/>
  <c r="L430" i="1"/>
  <c r="J430" i="1"/>
  <c r="W429" i="1"/>
  <c r="T429" i="1"/>
  <c r="P429" i="1"/>
  <c r="R429" i="1" s="1"/>
  <c r="O429" i="1"/>
  <c r="Q429" i="1" s="1"/>
  <c r="L429" i="1"/>
  <c r="J429" i="1"/>
  <c r="Q428" i="1"/>
  <c r="P428" i="1"/>
  <c r="O428" i="1"/>
  <c r="L428" i="1"/>
  <c r="J428" i="1"/>
  <c r="R428" i="1" s="1"/>
  <c r="T427" i="1"/>
  <c r="P427" i="1"/>
  <c r="R427" i="1" s="1"/>
  <c r="O427" i="1"/>
  <c r="Q427" i="1" s="1"/>
  <c r="L427" i="1"/>
  <c r="J427" i="1"/>
  <c r="P426" i="1"/>
  <c r="O426" i="1"/>
  <c r="Q426" i="1" s="1"/>
  <c r="L426" i="1"/>
  <c r="R426" i="1" s="1"/>
  <c r="J426" i="1"/>
  <c r="T425" i="1"/>
  <c r="P425" i="1"/>
  <c r="R425" i="1" s="1"/>
  <c r="O425" i="1"/>
  <c r="L425" i="1"/>
  <c r="J425" i="1"/>
  <c r="Q425" i="1" s="1"/>
  <c r="W424" i="1"/>
  <c r="P424" i="1"/>
  <c r="R424" i="1" s="1"/>
  <c r="O424" i="1"/>
  <c r="Q424" i="1" s="1"/>
  <c r="L424" i="1"/>
  <c r="J424" i="1"/>
  <c r="W423" i="1"/>
  <c r="T423" i="1"/>
  <c r="P423" i="1"/>
  <c r="R423" i="1" s="1"/>
  <c r="O423" i="1"/>
  <c r="Q423" i="1" s="1"/>
  <c r="L423" i="1"/>
  <c r="J423" i="1"/>
  <c r="W422" i="1"/>
  <c r="P422" i="1"/>
  <c r="O422" i="1"/>
  <c r="Q422" i="1" s="1"/>
  <c r="L422" i="1"/>
  <c r="J422" i="1"/>
  <c r="R422" i="1" s="1"/>
  <c r="W421" i="1"/>
  <c r="T421" i="1"/>
  <c r="P421" i="1"/>
  <c r="O421" i="1"/>
  <c r="Q421" i="1" s="1"/>
  <c r="L421" i="1"/>
  <c r="J421" i="1"/>
  <c r="R421" i="1" s="1"/>
  <c r="W420" i="1"/>
  <c r="V420" i="1"/>
  <c r="U420" i="1"/>
  <c r="P420" i="1"/>
  <c r="R420" i="1" s="1"/>
  <c r="O420" i="1"/>
  <c r="Q420" i="1" s="1"/>
  <c r="L420" i="1"/>
  <c r="J420" i="1"/>
  <c r="W419" i="1"/>
  <c r="V419" i="1"/>
  <c r="U419" i="1"/>
  <c r="P419" i="1"/>
  <c r="R419" i="1" s="1"/>
  <c r="O419" i="1"/>
  <c r="L419" i="1"/>
  <c r="J419" i="1"/>
  <c r="Q419" i="1" s="1"/>
  <c r="W418" i="1"/>
  <c r="U418" i="1"/>
  <c r="P418" i="1"/>
  <c r="R418" i="1" s="1"/>
  <c r="O418" i="1"/>
  <c r="L418" i="1"/>
  <c r="J418" i="1"/>
  <c r="Q418" i="1" s="1"/>
  <c r="W417" i="1"/>
  <c r="U417" i="1"/>
  <c r="P417" i="1"/>
  <c r="R417" i="1" s="1"/>
  <c r="O417" i="1"/>
  <c r="L417" i="1"/>
  <c r="J417" i="1"/>
  <c r="Q417" i="1" s="1"/>
  <c r="W416" i="1"/>
  <c r="P416" i="1"/>
  <c r="R416" i="1" s="1"/>
  <c r="O416" i="1"/>
  <c r="Q416" i="1" s="1"/>
  <c r="L416" i="1"/>
  <c r="J416" i="1"/>
  <c r="W415" i="1"/>
  <c r="T415" i="1"/>
  <c r="P415" i="1"/>
  <c r="R415" i="1" s="1"/>
  <c r="O415" i="1"/>
  <c r="Q415" i="1" s="1"/>
  <c r="L415" i="1"/>
  <c r="J415" i="1"/>
  <c r="W414" i="1"/>
  <c r="T414" i="1"/>
  <c r="P414" i="1"/>
  <c r="R414" i="1" s="1"/>
  <c r="O414" i="1"/>
  <c r="Q414" i="1" s="1"/>
  <c r="L414" i="1"/>
  <c r="J414" i="1"/>
  <c r="W413" i="1"/>
  <c r="T413" i="1"/>
  <c r="P413" i="1"/>
  <c r="R413" i="1" s="1"/>
  <c r="O413" i="1"/>
  <c r="Q413" i="1" s="1"/>
  <c r="L413" i="1"/>
  <c r="J413" i="1"/>
  <c r="W412" i="1"/>
  <c r="U412" i="1"/>
  <c r="P412" i="1"/>
  <c r="R412" i="1" s="1"/>
  <c r="O412" i="1"/>
  <c r="Q412" i="1" s="1"/>
  <c r="L412" i="1"/>
  <c r="J412" i="1"/>
  <c r="W411" i="1"/>
  <c r="U411" i="1"/>
  <c r="P411" i="1"/>
  <c r="R411" i="1" s="1"/>
  <c r="O411" i="1"/>
  <c r="Q411" i="1" s="1"/>
  <c r="L411" i="1"/>
  <c r="J411" i="1"/>
  <c r="W410" i="1"/>
  <c r="U410" i="1"/>
  <c r="P410" i="1"/>
  <c r="R410" i="1" s="1"/>
  <c r="O410" i="1"/>
  <c r="Q410" i="1" s="1"/>
  <c r="L410" i="1"/>
  <c r="J410" i="1"/>
  <c r="W409" i="1"/>
  <c r="U409" i="1"/>
  <c r="T409" i="1"/>
  <c r="P409" i="1"/>
  <c r="R409" i="1" s="1"/>
  <c r="O409" i="1"/>
  <c r="L409" i="1"/>
  <c r="J409" i="1"/>
  <c r="Q409" i="1" s="1"/>
  <c r="W408" i="1"/>
  <c r="P408" i="1"/>
  <c r="R408" i="1" s="1"/>
  <c r="O408" i="1"/>
  <c r="Q408" i="1" s="1"/>
  <c r="L408" i="1"/>
  <c r="J408" i="1"/>
  <c r="W407" i="1"/>
  <c r="T407" i="1"/>
  <c r="P407" i="1"/>
  <c r="R407" i="1" s="1"/>
  <c r="O407" i="1"/>
  <c r="Q407" i="1" s="1"/>
  <c r="L407" i="1"/>
  <c r="J407" i="1"/>
  <c r="W406" i="1"/>
  <c r="P406" i="1"/>
  <c r="O406" i="1"/>
  <c r="Q406" i="1" s="1"/>
  <c r="L406" i="1"/>
  <c r="R406" i="1" s="1"/>
  <c r="J406" i="1"/>
  <c r="W405" i="1"/>
  <c r="T405" i="1"/>
  <c r="P405" i="1"/>
  <c r="O405" i="1"/>
  <c r="Q405" i="1" s="1"/>
  <c r="L405" i="1"/>
  <c r="R405" i="1" s="1"/>
  <c r="J405" i="1"/>
  <c r="W404" i="1"/>
  <c r="U404" i="1"/>
  <c r="P404" i="1"/>
  <c r="O404" i="1"/>
  <c r="Q404" i="1" s="1"/>
  <c r="L404" i="1"/>
  <c r="R404" i="1" s="1"/>
  <c r="J404" i="1"/>
  <c r="W403" i="1"/>
  <c r="U403" i="1"/>
  <c r="P403" i="1"/>
  <c r="O403" i="1"/>
  <c r="Q403" i="1" s="1"/>
  <c r="L403" i="1"/>
  <c r="R403" i="1" s="1"/>
  <c r="J403" i="1"/>
  <c r="W402" i="1"/>
  <c r="U402" i="1"/>
  <c r="P402" i="1"/>
  <c r="O402" i="1"/>
  <c r="Q402" i="1" s="1"/>
  <c r="L402" i="1"/>
  <c r="R402" i="1" s="1"/>
  <c r="J402" i="1"/>
  <c r="W401" i="1"/>
  <c r="U401" i="1"/>
  <c r="P401" i="1"/>
  <c r="O401" i="1"/>
  <c r="Q401" i="1" s="1"/>
  <c r="L401" i="1"/>
  <c r="R401" i="1" s="1"/>
  <c r="J401" i="1"/>
  <c r="W400" i="1"/>
  <c r="P400" i="1"/>
  <c r="O400" i="1"/>
  <c r="L400" i="1"/>
  <c r="R400" i="1" s="1"/>
  <c r="J400" i="1"/>
  <c r="Q400" i="1" s="1"/>
  <c r="W399" i="1"/>
  <c r="T399" i="1"/>
  <c r="P399" i="1"/>
  <c r="O399" i="1"/>
  <c r="L399" i="1"/>
  <c r="R399" i="1" s="1"/>
  <c r="J399" i="1"/>
  <c r="Q399" i="1" s="1"/>
  <c r="W398" i="1"/>
  <c r="P398" i="1"/>
  <c r="R398" i="1" s="1"/>
  <c r="O398" i="1"/>
  <c r="L398" i="1"/>
  <c r="J398" i="1"/>
  <c r="Q398" i="1" s="1"/>
  <c r="W397" i="1"/>
  <c r="T397" i="1"/>
  <c r="P397" i="1"/>
  <c r="R397" i="1" s="1"/>
  <c r="O397" i="1"/>
  <c r="L397" i="1"/>
  <c r="J397" i="1"/>
  <c r="Q397" i="1" s="1"/>
  <c r="W396" i="1"/>
  <c r="U396" i="1"/>
  <c r="P396" i="1"/>
  <c r="R396" i="1" s="1"/>
  <c r="O396" i="1"/>
  <c r="L396" i="1"/>
  <c r="J396" i="1"/>
  <c r="Q396" i="1" s="1"/>
  <c r="W395" i="1"/>
  <c r="U395" i="1"/>
  <c r="P395" i="1"/>
  <c r="R395" i="1" s="1"/>
  <c r="O395" i="1"/>
  <c r="L395" i="1"/>
  <c r="J395" i="1"/>
  <c r="Q395" i="1" s="1"/>
  <c r="W394" i="1"/>
  <c r="P394" i="1"/>
  <c r="R394" i="1" s="1"/>
  <c r="O394" i="1"/>
  <c r="Q394" i="1" s="1"/>
  <c r="L394" i="1"/>
  <c r="J394" i="1"/>
  <c r="W393" i="1"/>
  <c r="T393" i="1"/>
  <c r="P393" i="1"/>
  <c r="R393" i="1" s="1"/>
  <c r="O393" i="1"/>
  <c r="Q393" i="1" s="1"/>
  <c r="L393" i="1"/>
  <c r="J393" i="1"/>
  <c r="W392" i="1"/>
  <c r="P392" i="1"/>
  <c r="O392" i="1"/>
  <c r="Q392" i="1" s="1"/>
  <c r="L392" i="1"/>
  <c r="J392" i="1"/>
  <c r="R392" i="1" s="1"/>
  <c r="W391" i="1"/>
  <c r="T391" i="1"/>
  <c r="P391" i="1"/>
  <c r="O391" i="1"/>
  <c r="Q391" i="1" s="1"/>
  <c r="L391" i="1"/>
  <c r="J391" i="1"/>
  <c r="R391" i="1" s="1"/>
  <c r="W390" i="1"/>
  <c r="U390" i="1"/>
  <c r="P390" i="1"/>
  <c r="O390" i="1"/>
  <c r="Q390" i="1" s="1"/>
  <c r="L390" i="1"/>
  <c r="J390" i="1"/>
  <c r="R390" i="1" s="1"/>
  <c r="W389" i="1"/>
  <c r="U389" i="1"/>
  <c r="P389" i="1"/>
  <c r="O389" i="1"/>
  <c r="Q389" i="1" s="1"/>
  <c r="L389" i="1"/>
  <c r="J389" i="1"/>
  <c r="R389" i="1" s="1"/>
  <c r="W388" i="1"/>
  <c r="P388" i="1"/>
  <c r="O388" i="1"/>
  <c r="L388" i="1"/>
  <c r="R388" i="1" s="1"/>
  <c r="J388" i="1"/>
  <c r="Q388" i="1" s="1"/>
  <c r="W387" i="1"/>
  <c r="T387" i="1"/>
  <c r="P387" i="1"/>
  <c r="O387" i="1"/>
  <c r="L387" i="1"/>
  <c r="R387" i="1" s="1"/>
  <c r="J387" i="1"/>
  <c r="Q387" i="1" s="1"/>
  <c r="W386" i="1"/>
  <c r="P386" i="1"/>
  <c r="R386" i="1" s="1"/>
  <c r="O386" i="1"/>
  <c r="L386" i="1"/>
  <c r="J386" i="1"/>
  <c r="Q386" i="1" s="1"/>
  <c r="W385" i="1"/>
  <c r="T385" i="1"/>
  <c r="P385" i="1"/>
  <c r="R385" i="1" s="1"/>
  <c r="O385" i="1"/>
  <c r="L385" i="1"/>
  <c r="J385" i="1"/>
  <c r="Q385" i="1" s="1"/>
  <c r="W384" i="1"/>
  <c r="U384" i="1"/>
  <c r="P384" i="1"/>
  <c r="R384" i="1" s="1"/>
  <c r="O384" i="1"/>
  <c r="L384" i="1"/>
  <c r="J384" i="1"/>
  <c r="Q384" i="1" s="1"/>
  <c r="W383" i="1"/>
  <c r="U383" i="1"/>
  <c r="P383" i="1"/>
  <c r="R383" i="1" s="1"/>
  <c r="O383" i="1"/>
  <c r="L383" i="1"/>
  <c r="J383" i="1"/>
  <c r="Q383" i="1" s="1"/>
  <c r="W382" i="1"/>
  <c r="P382" i="1"/>
  <c r="R382" i="1" s="1"/>
  <c r="O382" i="1"/>
  <c r="Q382" i="1" s="1"/>
  <c r="L382" i="1"/>
  <c r="J382" i="1"/>
  <c r="W381" i="1"/>
  <c r="T381" i="1"/>
  <c r="P381" i="1"/>
  <c r="R381" i="1" s="1"/>
  <c r="O381" i="1"/>
  <c r="Q381" i="1" s="1"/>
  <c r="L381" i="1"/>
  <c r="J381" i="1"/>
  <c r="Q432" i="1" l="1"/>
  <c r="T380" i="1" l="1"/>
  <c r="P380" i="1"/>
  <c r="O380" i="1"/>
  <c r="L380" i="1"/>
  <c r="K380" i="1"/>
  <c r="J380" i="1"/>
  <c r="P379" i="1"/>
  <c r="O379" i="1"/>
  <c r="Q379" i="1" s="1"/>
  <c r="L379" i="1"/>
  <c r="R379" i="1" s="1"/>
  <c r="J379" i="1"/>
  <c r="P378" i="1"/>
  <c r="R378" i="1" s="1"/>
  <c r="O378" i="1"/>
  <c r="L378" i="1"/>
  <c r="J378" i="1"/>
  <c r="Q378" i="1" s="1"/>
  <c r="T377" i="1"/>
  <c r="P377" i="1"/>
  <c r="O377" i="1"/>
  <c r="L377" i="1"/>
  <c r="K377" i="1"/>
  <c r="J377" i="1"/>
  <c r="T376" i="1"/>
  <c r="P376" i="1"/>
  <c r="R376" i="1" s="1"/>
  <c r="O376" i="1"/>
  <c r="Q376" i="1" s="1"/>
  <c r="L376" i="1"/>
  <c r="J376" i="1"/>
  <c r="T375" i="1"/>
  <c r="P375" i="1"/>
  <c r="O375" i="1"/>
  <c r="Q375" i="1" s="1"/>
  <c r="L375" i="1"/>
  <c r="R375" i="1" s="1"/>
  <c r="J375" i="1"/>
  <c r="P374" i="1"/>
  <c r="O374" i="1"/>
  <c r="L374" i="1"/>
  <c r="J374" i="1"/>
  <c r="Q374" i="1" s="1"/>
  <c r="T373" i="1"/>
  <c r="P373" i="1"/>
  <c r="R373" i="1" s="1"/>
  <c r="O373" i="1"/>
  <c r="Q373" i="1" s="1"/>
  <c r="L373" i="1"/>
  <c r="J373" i="1"/>
  <c r="P372" i="1"/>
  <c r="O372" i="1"/>
  <c r="L372" i="1"/>
  <c r="R372" i="1" s="1"/>
  <c r="J372" i="1"/>
  <c r="P371" i="1"/>
  <c r="R371" i="1" s="1"/>
  <c r="O371" i="1"/>
  <c r="Q371" i="1" s="1"/>
  <c r="L371" i="1"/>
  <c r="J371" i="1"/>
  <c r="R370" i="1"/>
  <c r="P370" i="1"/>
  <c r="O370" i="1"/>
  <c r="L370" i="1"/>
  <c r="J370" i="1"/>
  <c r="Q370" i="1" s="1"/>
  <c r="P369" i="1"/>
  <c r="R369" i="1" s="1"/>
  <c r="O369" i="1"/>
  <c r="Q369" i="1" s="1"/>
  <c r="L369" i="1"/>
  <c r="J369" i="1"/>
  <c r="T368" i="1"/>
  <c r="P368" i="1"/>
  <c r="O368" i="1"/>
  <c r="Q368" i="1" s="1"/>
  <c r="L368" i="1"/>
  <c r="R368" i="1" s="1"/>
  <c r="J368" i="1"/>
  <c r="T367" i="1"/>
  <c r="R367" i="1"/>
  <c r="P367" i="1"/>
  <c r="O367" i="1"/>
  <c r="L367" i="1"/>
  <c r="J367" i="1"/>
  <c r="Q367" i="1" s="1"/>
  <c r="P366" i="1"/>
  <c r="R366" i="1" s="1"/>
  <c r="O366" i="1"/>
  <c r="Q366" i="1" s="1"/>
  <c r="L366" i="1"/>
  <c r="J366" i="1"/>
  <c r="R365" i="1"/>
  <c r="P365" i="1"/>
  <c r="O365" i="1"/>
  <c r="L365" i="1"/>
  <c r="J365" i="1"/>
  <c r="Q365" i="1" s="1"/>
  <c r="T364" i="1"/>
  <c r="P364" i="1"/>
  <c r="R364" i="1" s="1"/>
  <c r="O364" i="1"/>
  <c r="L364" i="1"/>
  <c r="J364" i="1"/>
  <c r="Q364" i="1" s="1"/>
  <c r="T363" i="1"/>
  <c r="P363" i="1"/>
  <c r="R363" i="1" s="1"/>
  <c r="O363" i="1"/>
  <c r="Q363" i="1" s="1"/>
  <c r="L363" i="1"/>
  <c r="J363" i="1"/>
  <c r="R362" i="1"/>
  <c r="P362" i="1"/>
  <c r="O362" i="1"/>
  <c r="L362" i="1"/>
  <c r="J362" i="1"/>
  <c r="Q362" i="1" s="1"/>
  <c r="P361" i="1"/>
  <c r="R361" i="1" s="1"/>
  <c r="O361" i="1"/>
  <c r="Q361" i="1" s="1"/>
  <c r="L361" i="1"/>
  <c r="J361" i="1"/>
  <c r="R360" i="1"/>
  <c r="P360" i="1"/>
  <c r="O360" i="1"/>
  <c r="L360" i="1"/>
  <c r="J360" i="1"/>
  <c r="Q360" i="1" s="1"/>
  <c r="T359" i="1"/>
  <c r="P359" i="1"/>
  <c r="R359" i="1" s="1"/>
  <c r="O359" i="1"/>
  <c r="K359" i="1"/>
  <c r="L359" i="1" s="1"/>
  <c r="Q359" i="1" s="1"/>
  <c r="J359" i="1"/>
  <c r="T358" i="1"/>
  <c r="Q358" i="1"/>
  <c r="P358" i="1"/>
  <c r="O358" i="1"/>
  <c r="K358" i="1"/>
  <c r="L358" i="1" s="1"/>
  <c r="J358" i="1"/>
  <c r="P357" i="1"/>
  <c r="R357" i="1" s="1"/>
  <c r="O357" i="1"/>
  <c r="Q357" i="1" s="1"/>
  <c r="L357" i="1"/>
  <c r="J357" i="1"/>
  <c r="P356" i="1"/>
  <c r="O356" i="1"/>
  <c r="L356" i="1"/>
  <c r="R356" i="1" s="1"/>
  <c r="J356" i="1"/>
  <c r="P355" i="1"/>
  <c r="R355" i="1" s="1"/>
  <c r="O355" i="1"/>
  <c r="Q355" i="1" s="1"/>
  <c r="L355" i="1"/>
  <c r="J355" i="1"/>
  <c r="P354" i="1"/>
  <c r="O354" i="1"/>
  <c r="L354" i="1"/>
  <c r="R354" i="1" s="1"/>
  <c r="J354" i="1"/>
  <c r="P353" i="1"/>
  <c r="R353" i="1" s="1"/>
  <c r="O353" i="1"/>
  <c r="Q353" i="1" s="1"/>
  <c r="L353" i="1"/>
  <c r="J353" i="1"/>
  <c r="R352" i="1"/>
  <c r="P352" i="1"/>
  <c r="O352" i="1"/>
  <c r="L352" i="1"/>
  <c r="J352" i="1"/>
  <c r="Q352" i="1" s="1"/>
  <c r="P351" i="1"/>
  <c r="R351" i="1" s="1"/>
  <c r="O351" i="1"/>
  <c r="Q351" i="1" s="1"/>
  <c r="L351" i="1"/>
  <c r="J351" i="1"/>
  <c r="R350" i="1"/>
  <c r="P350" i="1"/>
  <c r="O350" i="1"/>
  <c r="L350" i="1"/>
  <c r="J350" i="1"/>
  <c r="Q350" i="1" s="1"/>
  <c r="P349" i="1"/>
  <c r="R349" i="1" s="1"/>
  <c r="O349" i="1"/>
  <c r="Q349" i="1" s="1"/>
  <c r="L349" i="1"/>
  <c r="J349" i="1"/>
  <c r="P348" i="1"/>
  <c r="O348" i="1"/>
  <c r="L348" i="1"/>
  <c r="R348" i="1" s="1"/>
  <c r="J348" i="1"/>
  <c r="P347" i="1"/>
  <c r="R347" i="1" s="1"/>
  <c r="O347" i="1"/>
  <c r="Q347" i="1" s="1"/>
  <c r="L347" i="1"/>
  <c r="J347" i="1"/>
  <c r="P346" i="1"/>
  <c r="O346" i="1"/>
  <c r="L346" i="1"/>
  <c r="R346" i="1" s="1"/>
  <c r="J346" i="1"/>
  <c r="T345" i="1"/>
  <c r="P345" i="1"/>
  <c r="O345" i="1"/>
  <c r="L345" i="1"/>
  <c r="J345" i="1"/>
  <c r="Q345" i="1" s="1"/>
  <c r="T344" i="1"/>
  <c r="P344" i="1"/>
  <c r="R344" i="1" s="1"/>
  <c r="O344" i="1"/>
  <c r="Q344" i="1" s="1"/>
  <c r="L344" i="1"/>
  <c r="J344" i="1"/>
  <c r="P343" i="1"/>
  <c r="O343" i="1"/>
  <c r="L343" i="1"/>
  <c r="R343" i="1" s="1"/>
  <c r="J343" i="1"/>
  <c r="Q343" i="1" s="1"/>
  <c r="P342" i="1"/>
  <c r="R342" i="1" s="1"/>
  <c r="O342" i="1"/>
  <c r="Q342" i="1" s="1"/>
  <c r="L342" i="1"/>
  <c r="J342" i="1"/>
  <c r="R341" i="1"/>
  <c r="P341" i="1"/>
  <c r="O341" i="1"/>
  <c r="L341" i="1"/>
  <c r="J341" i="1"/>
  <c r="Q341" i="1" s="1"/>
  <c r="T340" i="1"/>
  <c r="P340" i="1"/>
  <c r="O340" i="1"/>
  <c r="K340" i="1"/>
  <c r="L340" i="1" s="1"/>
  <c r="Q340" i="1" s="1"/>
  <c r="J340" i="1"/>
  <c r="P339" i="1"/>
  <c r="R339" i="1" s="1"/>
  <c r="O339" i="1"/>
  <c r="Q339" i="1" s="1"/>
  <c r="L339" i="1"/>
  <c r="J339" i="1"/>
  <c r="R338" i="1"/>
  <c r="P338" i="1"/>
  <c r="O338" i="1"/>
  <c r="L338" i="1"/>
  <c r="J338" i="1"/>
  <c r="Q338" i="1" s="1"/>
  <c r="P337" i="1"/>
  <c r="R337" i="1" s="1"/>
  <c r="O337" i="1"/>
  <c r="Q337" i="1" s="1"/>
  <c r="L337" i="1"/>
  <c r="J337" i="1"/>
  <c r="R336" i="1"/>
  <c r="P336" i="1"/>
  <c r="O336" i="1"/>
  <c r="L336" i="1"/>
  <c r="J336" i="1"/>
  <c r="Q336" i="1" s="1"/>
  <c r="T335" i="1"/>
  <c r="P335" i="1"/>
  <c r="O335" i="1"/>
  <c r="K335" i="1"/>
  <c r="L335" i="1" s="1"/>
  <c r="Q335" i="1" s="1"/>
  <c r="J335" i="1"/>
  <c r="T334" i="1"/>
  <c r="Q334" i="1"/>
  <c r="P334" i="1"/>
  <c r="R334" i="1" s="1"/>
  <c r="O334" i="1"/>
  <c r="K334" i="1"/>
  <c r="L334" i="1" s="1"/>
  <c r="J334" i="1"/>
  <c r="T333" i="1"/>
  <c r="P333" i="1"/>
  <c r="O333" i="1"/>
  <c r="K333" i="1"/>
  <c r="L333" i="1" s="1"/>
  <c r="Q333" i="1" s="1"/>
  <c r="J333" i="1"/>
  <c r="T332" i="1"/>
  <c r="Q332" i="1"/>
  <c r="P332" i="1"/>
  <c r="R332" i="1" s="1"/>
  <c r="O332" i="1"/>
  <c r="K332" i="1"/>
  <c r="L332" i="1" s="1"/>
  <c r="J332" i="1"/>
  <c r="T331" i="1"/>
  <c r="P331" i="1"/>
  <c r="O331" i="1"/>
  <c r="K331" i="1"/>
  <c r="L331" i="1" s="1"/>
  <c r="Q331" i="1" s="1"/>
  <c r="J331" i="1"/>
  <c r="T330" i="1"/>
  <c r="P330" i="1"/>
  <c r="R330" i="1" s="1"/>
  <c r="O330" i="1"/>
  <c r="K330" i="1"/>
  <c r="L330" i="1" s="1"/>
  <c r="Q330" i="1" s="1"/>
  <c r="J330" i="1"/>
  <c r="P329" i="1"/>
  <c r="R329" i="1" s="1"/>
  <c r="O329" i="1"/>
  <c r="Q329" i="1" s="1"/>
  <c r="L329" i="1"/>
  <c r="J329" i="1"/>
  <c r="R328" i="1"/>
  <c r="P328" i="1"/>
  <c r="O328" i="1"/>
  <c r="L328" i="1"/>
  <c r="J328" i="1"/>
  <c r="Q328" i="1" s="1"/>
  <c r="T327" i="1"/>
  <c r="Q327" i="1"/>
  <c r="P327" i="1"/>
  <c r="R327" i="1" s="1"/>
  <c r="O327" i="1"/>
  <c r="K327" i="1"/>
  <c r="L327" i="1" s="1"/>
  <c r="J327" i="1"/>
  <c r="P326" i="1"/>
  <c r="R326" i="1" s="1"/>
  <c r="O326" i="1"/>
  <c r="Q326" i="1" s="1"/>
  <c r="L326" i="1"/>
  <c r="J326" i="1"/>
  <c r="R325" i="1"/>
  <c r="P325" i="1"/>
  <c r="O325" i="1"/>
  <c r="L325" i="1"/>
  <c r="J325" i="1"/>
  <c r="Q325" i="1" s="1"/>
  <c r="P324" i="1"/>
  <c r="R324" i="1" s="1"/>
  <c r="O324" i="1"/>
  <c r="Q324" i="1" s="1"/>
  <c r="L324" i="1"/>
  <c r="J324" i="1"/>
  <c r="T323" i="1"/>
  <c r="P323" i="1"/>
  <c r="O323" i="1"/>
  <c r="K323" i="1"/>
  <c r="L323" i="1" s="1"/>
  <c r="R323" i="1" s="1"/>
  <c r="J323" i="1"/>
  <c r="T322" i="1"/>
  <c r="P322" i="1"/>
  <c r="O322" i="1"/>
  <c r="K322" i="1"/>
  <c r="L322" i="1" s="1"/>
  <c r="R322" i="1" s="1"/>
  <c r="J322" i="1"/>
  <c r="R321" i="1"/>
  <c r="P321" i="1"/>
  <c r="O321" i="1"/>
  <c r="L321" i="1"/>
  <c r="J321" i="1"/>
  <c r="Q321" i="1" s="1"/>
  <c r="T320" i="1"/>
  <c r="Q320" i="1"/>
  <c r="P320" i="1"/>
  <c r="O320" i="1"/>
  <c r="K320" i="1"/>
  <c r="L320" i="1" s="1"/>
  <c r="J320" i="1"/>
  <c r="T319" i="1"/>
  <c r="P319" i="1"/>
  <c r="R319" i="1" s="1"/>
  <c r="O319" i="1"/>
  <c r="L319" i="1"/>
  <c r="J319" i="1"/>
  <c r="Q319" i="1" s="1"/>
  <c r="P318" i="1"/>
  <c r="O318" i="1"/>
  <c r="Q318" i="1" s="1"/>
  <c r="L318" i="1"/>
  <c r="J318" i="1"/>
  <c r="R318" i="1" s="1"/>
  <c r="P317" i="1"/>
  <c r="R317" i="1" s="1"/>
  <c r="O317" i="1"/>
  <c r="L317" i="1"/>
  <c r="J317" i="1"/>
  <c r="Q317" i="1" s="1"/>
  <c r="T316" i="1"/>
  <c r="P316" i="1"/>
  <c r="R316" i="1" s="1"/>
  <c r="O316" i="1"/>
  <c r="Q316" i="1" s="1"/>
  <c r="L316" i="1"/>
  <c r="J316" i="1"/>
  <c r="T315" i="1"/>
  <c r="P315" i="1"/>
  <c r="O315" i="1"/>
  <c r="Q315" i="1" s="1"/>
  <c r="L315" i="1"/>
  <c r="J315" i="1"/>
  <c r="R315" i="1" s="1"/>
  <c r="P314" i="1"/>
  <c r="R314" i="1" s="1"/>
  <c r="O314" i="1"/>
  <c r="L314" i="1"/>
  <c r="J314" i="1"/>
  <c r="Q314" i="1" s="1"/>
  <c r="P313" i="1"/>
  <c r="O313" i="1"/>
  <c r="Q313" i="1" s="1"/>
  <c r="L313" i="1"/>
  <c r="J313" i="1"/>
  <c r="R313" i="1" s="1"/>
  <c r="P312" i="1"/>
  <c r="R312" i="1" s="1"/>
  <c r="O312" i="1"/>
  <c r="L312" i="1"/>
  <c r="J312" i="1"/>
  <c r="Q312" i="1" s="1"/>
  <c r="P311" i="1"/>
  <c r="O311" i="1"/>
  <c r="Q311" i="1" s="1"/>
  <c r="L311" i="1"/>
  <c r="J311" i="1"/>
  <c r="R311" i="1" s="1"/>
  <c r="P310" i="1"/>
  <c r="O310" i="1"/>
  <c r="L310" i="1"/>
  <c r="J310" i="1"/>
  <c r="Q310" i="1" s="1"/>
  <c r="P309" i="1"/>
  <c r="O309" i="1"/>
  <c r="Q309" i="1" s="1"/>
  <c r="L309" i="1"/>
  <c r="J309" i="1"/>
  <c r="R309" i="1" s="1"/>
  <c r="P308" i="1"/>
  <c r="R308" i="1" s="1"/>
  <c r="O308" i="1"/>
  <c r="L308" i="1"/>
  <c r="J308" i="1"/>
  <c r="Q308" i="1" s="1"/>
  <c r="P307" i="1"/>
  <c r="O307" i="1"/>
  <c r="Q307" i="1" s="1"/>
  <c r="L307" i="1"/>
  <c r="J307" i="1"/>
  <c r="R307" i="1" s="1"/>
  <c r="P306" i="1"/>
  <c r="R306" i="1" s="1"/>
  <c r="O306" i="1"/>
  <c r="L306" i="1"/>
  <c r="J306" i="1"/>
  <c r="Q306" i="1" s="1"/>
  <c r="P305" i="1"/>
  <c r="O305" i="1"/>
  <c r="Q305" i="1" s="1"/>
  <c r="L305" i="1"/>
  <c r="J305" i="1"/>
  <c r="R305" i="1" s="1"/>
  <c r="T304" i="1"/>
  <c r="R304" i="1"/>
  <c r="P304" i="1"/>
  <c r="O304" i="1"/>
  <c r="L304" i="1"/>
  <c r="J304" i="1"/>
  <c r="Q304" i="1" s="1"/>
  <c r="T303" i="1"/>
  <c r="P303" i="1"/>
  <c r="R303" i="1" s="1"/>
  <c r="O303" i="1"/>
  <c r="L303" i="1"/>
  <c r="J303" i="1"/>
  <c r="Q303" i="1" s="1"/>
  <c r="P302" i="1"/>
  <c r="O302" i="1"/>
  <c r="Q302" i="1" s="1"/>
  <c r="L302" i="1"/>
  <c r="J302" i="1"/>
  <c r="R302" i="1" s="1"/>
  <c r="P301" i="1"/>
  <c r="R301" i="1" s="1"/>
  <c r="O301" i="1"/>
  <c r="L301" i="1"/>
  <c r="J301" i="1"/>
  <c r="Q301" i="1" s="1"/>
  <c r="P300" i="1"/>
  <c r="O300" i="1"/>
  <c r="Q300" i="1" s="1"/>
  <c r="L300" i="1"/>
  <c r="J300" i="1"/>
  <c r="R300" i="1" s="1"/>
  <c r="P299" i="1"/>
  <c r="O299" i="1"/>
  <c r="L299" i="1"/>
  <c r="J299" i="1"/>
  <c r="Q299" i="1" s="1"/>
  <c r="P298" i="1"/>
  <c r="O298" i="1"/>
  <c r="Q298" i="1" s="1"/>
  <c r="L298" i="1"/>
  <c r="J298" i="1"/>
  <c r="R298" i="1" s="1"/>
  <c r="P297" i="1"/>
  <c r="R297" i="1" s="1"/>
  <c r="O297" i="1"/>
  <c r="L297" i="1"/>
  <c r="J297" i="1"/>
  <c r="Q297" i="1" s="1"/>
  <c r="T296" i="1"/>
  <c r="P296" i="1"/>
  <c r="R296" i="1" s="1"/>
  <c r="O296" i="1"/>
  <c r="Q296" i="1" s="1"/>
  <c r="L296" i="1"/>
  <c r="J296" i="1"/>
  <c r="T295" i="1"/>
  <c r="P295" i="1"/>
  <c r="O295" i="1"/>
  <c r="Q295" i="1" s="1"/>
  <c r="L295" i="1"/>
  <c r="J295" i="1"/>
  <c r="R295" i="1" s="1"/>
  <c r="P294" i="1"/>
  <c r="O294" i="1"/>
  <c r="L294" i="1"/>
  <c r="J294" i="1"/>
  <c r="Q294" i="1" s="1"/>
  <c r="P293" i="1"/>
  <c r="O293" i="1"/>
  <c r="Q293" i="1" s="1"/>
  <c r="L293" i="1"/>
  <c r="J293" i="1"/>
  <c r="R293" i="1" s="1"/>
  <c r="P292" i="1"/>
  <c r="R292" i="1" s="1"/>
  <c r="O292" i="1"/>
  <c r="L292" i="1"/>
  <c r="J292" i="1"/>
  <c r="Q292" i="1" s="1"/>
  <c r="P291" i="1"/>
  <c r="O291" i="1"/>
  <c r="Q291" i="1" s="1"/>
  <c r="L291" i="1"/>
  <c r="J291" i="1"/>
  <c r="R291" i="1" s="1"/>
  <c r="P290" i="1"/>
  <c r="R290" i="1" s="1"/>
  <c r="O290" i="1"/>
  <c r="L290" i="1"/>
  <c r="J290" i="1"/>
  <c r="Q290" i="1" s="1"/>
  <c r="P289" i="1"/>
  <c r="O289" i="1"/>
  <c r="Q289" i="1" s="1"/>
  <c r="L289" i="1"/>
  <c r="J289" i="1"/>
  <c r="R289" i="1" s="1"/>
  <c r="P288" i="1"/>
  <c r="R288" i="1" s="1"/>
  <c r="O288" i="1"/>
  <c r="L288" i="1"/>
  <c r="J288" i="1"/>
  <c r="Q288" i="1" s="1"/>
  <c r="T287" i="1"/>
  <c r="P287" i="1"/>
  <c r="O287" i="1"/>
  <c r="Q287" i="1" s="1"/>
  <c r="L287" i="1"/>
  <c r="K287" i="1"/>
  <c r="J287" i="1"/>
  <c r="T286" i="1"/>
  <c r="P286" i="1"/>
  <c r="O286" i="1"/>
  <c r="Q286" i="1" s="1"/>
  <c r="L286" i="1"/>
  <c r="K286" i="1"/>
  <c r="J286" i="1"/>
  <c r="T285" i="1"/>
  <c r="P285" i="1"/>
  <c r="O285" i="1"/>
  <c r="Q285" i="1" s="1"/>
  <c r="L285" i="1"/>
  <c r="K285" i="1"/>
  <c r="J285" i="1"/>
  <c r="T284" i="1"/>
  <c r="P284" i="1"/>
  <c r="O284" i="1"/>
  <c r="Q284" i="1" s="1"/>
  <c r="L284" i="1"/>
  <c r="K284" i="1"/>
  <c r="J284" i="1"/>
  <c r="T283" i="1"/>
  <c r="P283" i="1"/>
  <c r="R283" i="1" s="1"/>
  <c r="O283" i="1"/>
  <c r="Q283" i="1" s="1"/>
  <c r="L283" i="1"/>
  <c r="J283" i="1"/>
  <c r="P282" i="1"/>
  <c r="O282" i="1"/>
  <c r="L282" i="1"/>
  <c r="R282" i="1" s="1"/>
  <c r="J282" i="1"/>
  <c r="T281" i="1"/>
  <c r="Q281" i="1"/>
  <c r="P281" i="1"/>
  <c r="R281" i="1" s="1"/>
  <c r="O281" i="1"/>
  <c r="K281" i="1"/>
  <c r="L281" i="1" s="1"/>
  <c r="J281" i="1"/>
  <c r="T280" i="1"/>
  <c r="P280" i="1"/>
  <c r="O280" i="1"/>
  <c r="K280" i="1"/>
  <c r="L280" i="1" s="1"/>
  <c r="Q280" i="1" s="1"/>
  <c r="J280" i="1"/>
  <c r="T279" i="1"/>
  <c r="Q279" i="1"/>
  <c r="P279" i="1"/>
  <c r="R279" i="1" s="1"/>
  <c r="O279" i="1"/>
  <c r="K279" i="1"/>
  <c r="L279" i="1" s="1"/>
  <c r="J279" i="1"/>
  <c r="P278" i="1"/>
  <c r="R278" i="1" s="1"/>
  <c r="O278" i="1"/>
  <c r="Q278" i="1" s="1"/>
  <c r="L278" i="1"/>
  <c r="J278" i="1"/>
  <c r="R277" i="1"/>
  <c r="P277" i="1"/>
  <c r="O277" i="1"/>
  <c r="L277" i="1"/>
  <c r="J277" i="1"/>
  <c r="Q277" i="1" s="1"/>
  <c r="P276" i="1"/>
  <c r="R276" i="1" s="1"/>
  <c r="O276" i="1"/>
  <c r="Q276" i="1" s="1"/>
  <c r="L276" i="1"/>
  <c r="J276" i="1"/>
  <c r="P275" i="1"/>
  <c r="O275" i="1"/>
  <c r="L275" i="1"/>
  <c r="R275" i="1" s="1"/>
  <c r="J275" i="1"/>
  <c r="P274" i="1"/>
  <c r="R274" i="1" s="1"/>
  <c r="O274" i="1"/>
  <c r="Q274" i="1" s="1"/>
  <c r="L274" i="1"/>
  <c r="J274" i="1"/>
  <c r="R273" i="1"/>
  <c r="P273" i="1"/>
  <c r="O273" i="1"/>
  <c r="L273" i="1"/>
  <c r="J273" i="1"/>
  <c r="Q273" i="1" s="1"/>
  <c r="P272" i="1"/>
  <c r="R272" i="1" s="1"/>
  <c r="O272" i="1"/>
  <c r="Q272" i="1" s="1"/>
  <c r="L272" i="1"/>
  <c r="J272" i="1"/>
  <c r="T271" i="1"/>
  <c r="P271" i="1"/>
  <c r="O271" i="1"/>
  <c r="Q271" i="1" s="1"/>
  <c r="L271" i="1"/>
  <c r="R271" i="1" s="1"/>
  <c r="J271" i="1"/>
  <c r="T270" i="1"/>
  <c r="P270" i="1"/>
  <c r="O270" i="1"/>
  <c r="L270" i="1"/>
  <c r="K270" i="1"/>
  <c r="J270" i="1"/>
  <c r="T269" i="1"/>
  <c r="R269" i="1"/>
  <c r="P269" i="1"/>
  <c r="O269" i="1"/>
  <c r="L269" i="1"/>
  <c r="Q269" i="1" s="1"/>
  <c r="K269" i="1"/>
  <c r="J269" i="1"/>
  <c r="P268" i="1"/>
  <c r="R268" i="1" s="1"/>
  <c r="O268" i="1"/>
  <c r="L268" i="1"/>
  <c r="J268" i="1"/>
  <c r="Q268" i="1" s="1"/>
  <c r="P267" i="1"/>
  <c r="O267" i="1"/>
  <c r="Q267" i="1" s="1"/>
  <c r="L267" i="1"/>
  <c r="R267" i="1" s="1"/>
  <c r="J267" i="1"/>
  <c r="T266" i="1"/>
  <c r="P266" i="1"/>
  <c r="O266" i="1"/>
  <c r="L266" i="1"/>
  <c r="Q266" i="1" s="1"/>
  <c r="K266" i="1"/>
  <c r="J266" i="1"/>
  <c r="T265" i="1"/>
  <c r="R265" i="1"/>
  <c r="P265" i="1"/>
  <c r="O265" i="1"/>
  <c r="L265" i="1"/>
  <c r="K265" i="1"/>
  <c r="J265" i="1"/>
  <c r="Q265" i="1" s="1"/>
  <c r="P264" i="1"/>
  <c r="R264" i="1" s="1"/>
  <c r="O264" i="1"/>
  <c r="L264" i="1"/>
  <c r="J264" i="1"/>
  <c r="Q264" i="1" s="1"/>
  <c r="R263" i="1"/>
  <c r="P263" i="1"/>
  <c r="O263" i="1"/>
  <c r="Q263" i="1" s="1"/>
  <c r="L263" i="1"/>
  <c r="J263" i="1"/>
  <c r="P262" i="1"/>
  <c r="R262" i="1" s="1"/>
  <c r="O262" i="1"/>
  <c r="Q262" i="1" s="1"/>
  <c r="L262" i="1"/>
  <c r="J262" i="1"/>
  <c r="P261" i="1"/>
  <c r="O261" i="1"/>
  <c r="L261" i="1"/>
  <c r="J261" i="1"/>
  <c r="R261" i="1" s="1"/>
  <c r="P260" i="1"/>
  <c r="R260" i="1" s="1"/>
  <c r="O260" i="1"/>
  <c r="Q260" i="1" s="1"/>
  <c r="L260" i="1"/>
  <c r="J260" i="1"/>
  <c r="P259" i="1"/>
  <c r="O259" i="1"/>
  <c r="L259" i="1"/>
  <c r="J259" i="1"/>
  <c r="R259" i="1" s="1"/>
  <c r="P258" i="1"/>
  <c r="O258" i="1"/>
  <c r="L258" i="1"/>
  <c r="J258" i="1"/>
  <c r="Q258" i="1" s="1"/>
  <c r="T257" i="1"/>
  <c r="P257" i="1"/>
  <c r="R257" i="1" s="1"/>
  <c r="O257" i="1"/>
  <c r="L257" i="1"/>
  <c r="J257" i="1"/>
  <c r="Q257" i="1" s="1"/>
  <c r="R256" i="1"/>
  <c r="P256" i="1"/>
  <c r="O256" i="1"/>
  <c r="Q256" i="1" s="1"/>
  <c r="L256" i="1"/>
  <c r="J256" i="1"/>
  <c r="P255" i="1"/>
  <c r="R255" i="1" s="1"/>
  <c r="O255" i="1"/>
  <c r="L255" i="1"/>
  <c r="J255" i="1"/>
  <c r="Q255" i="1" s="1"/>
  <c r="P254" i="1"/>
  <c r="O254" i="1"/>
  <c r="L254" i="1"/>
  <c r="R254" i="1" s="1"/>
  <c r="J254" i="1"/>
  <c r="P253" i="1"/>
  <c r="R253" i="1" s="1"/>
  <c r="O253" i="1"/>
  <c r="L253" i="1"/>
  <c r="J253" i="1"/>
  <c r="Q253" i="1" s="1"/>
  <c r="R252" i="1"/>
  <c r="P252" i="1"/>
  <c r="O252" i="1"/>
  <c r="Q252" i="1" s="1"/>
  <c r="L252" i="1"/>
  <c r="J252" i="1"/>
  <c r="T251" i="1"/>
  <c r="P251" i="1"/>
  <c r="O251" i="1"/>
  <c r="L251" i="1"/>
  <c r="J251" i="1"/>
  <c r="R251" i="1" s="1"/>
  <c r="T250" i="1"/>
  <c r="P250" i="1"/>
  <c r="R250" i="1" s="1"/>
  <c r="O250" i="1"/>
  <c r="K250" i="1"/>
  <c r="L250" i="1" s="1"/>
  <c r="J250" i="1"/>
  <c r="P249" i="1"/>
  <c r="R249" i="1" s="1"/>
  <c r="O249" i="1"/>
  <c r="Q249" i="1" s="1"/>
  <c r="L249" i="1"/>
  <c r="J249" i="1"/>
  <c r="P248" i="1"/>
  <c r="O248" i="1"/>
  <c r="L248" i="1"/>
  <c r="J248" i="1"/>
  <c r="R248" i="1" s="1"/>
  <c r="P247" i="1"/>
  <c r="R247" i="1" s="1"/>
  <c r="O247" i="1"/>
  <c r="Q247" i="1" s="1"/>
  <c r="L247" i="1"/>
  <c r="J247" i="1"/>
  <c r="P246" i="1"/>
  <c r="O246" i="1"/>
  <c r="L246" i="1"/>
  <c r="J246" i="1"/>
  <c r="R246" i="1" s="1"/>
  <c r="P245" i="1"/>
  <c r="R245" i="1" s="1"/>
  <c r="O245" i="1"/>
  <c r="Q245" i="1" s="1"/>
  <c r="L245" i="1"/>
  <c r="J245" i="1"/>
  <c r="P244" i="1"/>
  <c r="O244" i="1"/>
  <c r="L244" i="1"/>
  <c r="J244" i="1"/>
  <c r="R244" i="1" s="1"/>
  <c r="P243" i="1"/>
  <c r="R243" i="1" s="1"/>
  <c r="O243" i="1"/>
  <c r="Q243" i="1" s="1"/>
  <c r="L243" i="1"/>
  <c r="J243" i="1"/>
  <c r="P242" i="1"/>
  <c r="O242" i="1"/>
  <c r="L242" i="1"/>
  <c r="J242" i="1"/>
  <c r="R242" i="1" s="1"/>
  <c r="P241" i="1"/>
  <c r="R241" i="1" s="1"/>
  <c r="O241" i="1"/>
  <c r="Q241" i="1" s="1"/>
  <c r="L241" i="1"/>
  <c r="J241" i="1"/>
  <c r="P240" i="1"/>
  <c r="O240" i="1"/>
  <c r="L240" i="1"/>
  <c r="J240" i="1"/>
  <c r="R240" i="1" s="1"/>
  <c r="P239" i="1"/>
  <c r="R239" i="1" s="1"/>
  <c r="O239" i="1"/>
  <c r="Q239" i="1" s="1"/>
  <c r="L239" i="1"/>
  <c r="J239" i="1"/>
  <c r="T238" i="1"/>
  <c r="R238" i="1"/>
  <c r="P238" i="1"/>
  <c r="O238" i="1"/>
  <c r="Q238" i="1" s="1"/>
  <c r="L238" i="1"/>
  <c r="K238" i="1"/>
  <c r="J238" i="1"/>
  <c r="P237" i="1"/>
  <c r="O237" i="1"/>
  <c r="L237" i="1"/>
  <c r="J237" i="1"/>
  <c r="R237" i="1" s="1"/>
  <c r="T236" i="1"/>
  <c r="P236" i="1"/>
  <c r="R236" i="1" s="1"/>
  <c r="O236" i="1"/>
  <c r="L236" i="1"/>
  <c r="J236" i="1"/>
  <c r="Q236" i="1" s="1"/>
  <c r="R235" i="1"/>
  <c r="P235" i="1"/>
  <c r="O235" i="1"/>
  <c r="Q235" i="1" s="1"/>
  <c r="L235" i="1"/>
  <c r="J235" i="1"/>
  <c r="P234" i="1"/>
  <c r="R234" i="1" s="1"/>
  <c r="O234" i="1"/>
  <c r="L234" i="1"/>
  <c r="J234" i="1"/>
  <c r="Q234" i="1" s="1"/>
  <c r="P233" i="1"/>
  <c r="O233" i="1"/>
  <c r="L233" i="1"/>
  <c r="R233" i="1" s="1"/>
  <c r="J233" i="1"/>
  <c r="T232" i="1"/>
  <c r="P232" i="1"/>
  <c r="O232" i="1"/>
  <c r="L232" i="1"/>
  <c r="J232" i="1"/>
  <c r="R232" i="1" s="1"/>
  <c r="T231" i="1"/>
  <c r="P231" i="1"/>
  <c r="R231" i="1" s="1"/>
  <c r="O231" i="1"/>
  <c r="L231" i="1"/>
  <c r="J231" i="1"/>
  <c r="Q231" i="1" s="1"/>
  <c r="P230" i="1"/>
  <c r="O230" i="1"/>
  <c r="L230" i="1"/>
  <c r="R230" i="1" s="1"/>
  <c r="J230" i="1"/>
  <c r="P229" i="1"/>
  <c r="R229" i="1" s="1"/>
  <c r="O229" i="1"/>
  <c r="L229" i="1"/>
  <c r="J229" i="1"/>
  <c r="Q229" i="1" s="1"/>
  <c r="R228" i="1"/>
  <c r="P228" i="1"/>
  <c r="O228" i="1"/>
  <c r="Q228" i="1" s="1"/>
  <c r="L228" i="1"/>
  <c r="J228" i="1"/>
  <c r="P227" i="1"/>
  <c r="R227" i="1" s="1"/>
  <c r="O227" i="1"/>
  <c r="L227" i="1"/>
  <c r="J227" i="1"/>
  <c r="Q227" i="1" s="1"/>
  <c r="P226" i="1"/>
  <c r="O226" i="1"/>
  <c r="L226" i="1"/>
  <c r="R226" i="1" s="1"/>
  <c r="J226" i="1"/>
  <c r="P225" i="1"/>
  <c r="R225" i="1" s="1"/>
  <c r="O225" i="1"/>
  <c r="L225" i="1"/>
  <c r="J225" i="1"/>
  <c r="Q225" i="1" s="1"/>
  <c r="T224" i="1"/>
  <c r="P224" i="1"/>
  <c r="O224" i="1"/>
  <c r="Q224" i="1" s="1"/>
  <c r="K224" i="1"/>
  <c r="L224" i="1" s="1"/>
  <c r="J224" i="1"/>
  <c r="P223" i="1"/>
  <c r="O223" i="1"/>
  <c r="L223" i="1"/>
  <c r="R223" i="1" s="1"/>
  <c r="J223" i="1"/>
  <c r="P222" i="1"/>
  <c r="R222" i="1" s="1"/>
  <c r="O222" i="1"/>
  <c r="L222" i="1"/>
  <c r="J222" i="1"/>
  <c r="Q222" i="1" s="1"/>
  <c r="R221" i="1"/>
  <c r="P221" i="1"/>
  <c r="O221" i="1"/>
  <c r="Q221" i="1" s="1"/>
  <c r="L221" i="1"/>
  <c r="J221" i="1"/>
  <c r="P220" i="1"/>
  <c r="R220" i="1" s="1"/>
  <c r="O220" i="1"/>
  <c r="L220" i="1"/>
  <c r="J220" i="1"/>
  <c r="Q220" i="1" s="1"/>
  <c r="P219" i="1"/>
  <c r="O219" i="1"/>
  <c r="L219" i="1"/>
  <c r="R219" i="1" s="1"/>
  <c r="J219" i="1"/>
  <c r="P218" i="1"/>
  <c r="R218" i="1" s="1"/>
  <c r="O218" i="1"/>
  <c r="L218" i="1"/>
  <c r="J218" i="1"/>
  <c r="Q218" i="1" s="1"/>
  <c r="R217" i="1"/>
  <c r="P217" i="1"/>
  <c r="O217" i="1"/>
  <c r="Q217" i="1" s="1"/>
  <c r="L217" i="1"/>
  <c r="J217" i="1"/>
  <c r="T216" i="1"/>
  <c r="Q216" i="1"/>
  <c r="P216" i="1"/>
  <c r="O216" i="1"/>
  <c r="K216" i="1"/>
  <c r="L216" i="1" s="1"/>
  <c r="R216" i="1" s="1"/>
  <c r="J216" i="1"/>
  <c r="P215" i="1"/>
  <c r="R215" i="1" s="1"/>
  <c r="O215" i="1"/>
  <c r="L215" i="1"/>
  <c r="J215" i="1"/>
  <c r="Q215" i="1" s="1"/>
  <c r="P214" i="1"/>
  <c r="O214" i="1"/>
  <c r="L214" i="1"/>
  <c r="R214" i="1" s="1"/>
  <c r="J214" i="1"/>
  <c r="T213" i="1"/>
  <c r="P213" i="1"/>
  <c r="O213" i="1"/>
  <c r="L213" i="1"/>
  <c r="J213" i="1"/>
  <c r="R213" i="1" s="1"/>
  <c r="P212" i="1"/>
  <c r="R212" i="1" s="1"/>
  <c r="O212" i="1"/>
  <c r="Q212" i="1" s="1"/>
  <c r="L212" i="1"/>
  <c r="J212" i="1"/>
  <c r="P211" i="1"/>
  <c r="O211" i="1"/>
  <c r="L211" i="1"/>
  <c r="J211" i="1"/>
  <c r="R211" i="1" s="1"/>
  <c r="P210" i="1"/>
  <c r="R210" i="1" s="1"/>
  <c r="O210" i="1"/>
  <c r="Q210" i="1" s="1"/>
  <c r="L210" i="1"/>
  <c r="J210" i="1"/>
  <c r="P209" i="1"/>
  <c r="O209" i="1"/>
  <c r="L209" i="1"/>
  <c r="J209" i="1"/>
  <c r="R209" i="1" s="1"/>
  <c r="P208" i="1"/>
  <c r="R208" i="1" s="1"/>
  <c r="O208" i="1"/>
  <c r="Q208" i="1" s="1"/>
  <c r="L208" i="1"/>
  <c r="J208" i="1"/>
  <c r="P207" i="1"/>
  <c r="O207" i="1"/>
  <c r="L207" i="1"/>
  <c r="J207" i="1"/>
  <c r="R207" i="1" s="1"/>
  <c r="P206" i="1"/>
  <c r="R206" i="1" s="1"/>
  <c r="O206" i="1"/>
  <c r="Q206" i="1" s="1"/>
  <c r="L206" i="1"/>
  <c r="J206" i="1"/>
  <c r="P205" i="1"/>
  <c r="O205" i="1"/>
  <c r="L205" i="1"/>
  <c r="J205" i="1"/>
  <c r="R205" i="1" s="1"/>
  <c r="P204" i="1"/>
  <c r="R204" i="1" s="1"/>
  <c r="O204" i="1"/>
  <c r="Q204" i="1" s="1"/>
  <c r="L204" i="1"/>
  <c r="J204" i="1"/>
  <c r="P203" i="1"/>
  <c r="O203" i="1"/>
  <c r="L203" i="1"/>
  <c r="J203" i="1"/>
  <c r="R203" i="1" s="1"/>
  <c r="P202" i="1"/>
  <c r="R202" i="1" s="1"/>
  <c r="O202" i="1"/>
  <c r="Q202" i="1" s="1"/>
  <c r="L202" i="1"/>
  <c r="J202" i="1"/>
  <c r="P201" i="1"/>
  <c r="O201" i="1"/>
  <c r="L201" i="1"/>
  <c r="J201" i="1"/>
  <c r="R201" i="1" s="1"/>
  <c r="P200" i="1"/>
  <c r="R200" i="1" s="1"/>
  <c r="O200" i="1"/>
  <c r="Q200" i="1" s="1"/>
  <c r="L200" i="1"/>
  <c r="J200" i="1"/>
  <c r="P199" i="1"/>
  <c r="O199" i="1"/>
  <c r="L199" i="1"/>
  <c r="J199" i="1"/>
  <c r="R199" i="1" s="1"/>
  <c r="P198" i="1"/>
  <c r="R198" i="1" s="1"/>
  <c r="O198" i="1"/>
  <c r="Q198" i="1" s="1"/>
  <c r="L198" i="1"/>
  <c r="J198" i="1"/>
  <c r="P197" i="1"/>
  <c r="O197" i="1"/>
  <c r="L197" i="1"/>
  <c r="J197" i="1"/>
  <c r="R197" i="1" s="1"/>
  <c r="P196" i="1"/>
  <c r="R196" i="1" s="1"/>
  <c r="O196" i="1"/>
  <c r="Q196" i="1" s="1"/>
  <c r="L196" i="1"/>
  <c r="J196" i="1"/>
  <c r="P195" i="1"/>
  <c r="O195" i="1"/>
  <c r="L195" i="1"/>
  <c r="J195" i="1"/>
  <c r="R195" i="1" s="1"/>
  <c r="T194" i="1"/>
  <c r="P194" i="1"/>
  <c r="R194" i="1" s="1"/>
  <c r="O194" i="1"/>
  <c r="L194" i="1"/>
  <c r="J194" i="1"/>
  <c r="Q194" i="1" s="1"/>
  <c r="R193" i="1"/>
  <c r="P193" i="1"/>
  <c r="O193" i="1"/>
  <c r="Q193" i="1" s="1"/>
  <c r="L193" i="1"/>
  <c r="J193" i="1"/>
  <c r="P192" i="1"/>
  <c r="R192" i="1" s="1"/>
  <c r="O192" i="1"/>
  <c r="L192" i="1"/>
  <c r="J192" i="1"/>
  <c r="Q192" i="1" s="1"/>
  <c r="P191" i="1"/>
  <c r="O191" i="1"/>
  <c r="L191" i="1"/>
  <c r="R191" i="1" s="1"/>
  <c r="J191" i="1"/>
  <c r="P190" i="1"/>
  <c r="R190" i="1" s="1"/>
  <c r="O190" i="1"/>
  <c r="L190" i="1"/>
  <c r="J190" i="1"/>
  <c r="Q190" i="1" s="1"/>
  <c r="R189" i="1"/>
  <c r="P189" i="1"/>
  <c r="O189" i="1"/>
  <c r="Q189" i="1" s="1"/>
  <c r="L189" i="1"/>
  <c r="J189" i="1"/>
  <c r="P188" i="1"/>
  <c r="R188" i="1" s="1"/>
  <c r="O188" i="1"/>
  <c r="L188" i="1"/>
  <c r="J188" i="1"/>
  <c r="Q188" i="1" s="1"/>
  <c r="P187" i="1"/>
  <c r="O187" i="1"/>
  <c r="L187" i="1"/>
  <c r="R187" i="1" s="1"/>
  <c r="J187" i="1"/>
  <c r="T186" i="1"/>
  <c r="P186" i="1"/>
  <c r="O186" i="1"/>
  <c r="L186" i="1"/>
  <c r="J186" i="1"/>
  <c r="R186" i="1" s="1"/>
  <c r="T185" i="1"/>
  <c r="P185" i="1"/>
  <c r="R185" i="1" s="1"/>
  <c r="O185" i="1"/>
  <c r="L185" i="1"/>
  <c r="J185" i="1"/>
  <c r="Q185" i="1" s="1"/>
  <c r="P184" i="1"/>
  <c r="O184" i="1"/>
  <c r="L184" i="1"/>
  <c r="R184" i="1" s="1"/>
  <c r="J184" i="1"/>
  <c r="P183" i="1"/>
  <c r="R183" i="1" s="1"/>
  <c r="O183" i="1"/>
  <c r="L183" i="1"/>
  <c r="J183" i="1"/>
  <c r="Q183" i="1" s="1"/>
  <c r="R182" i="1"/>
  <c r="P182" i="1"/>
  <c r="O182" i="1"/>
  <c r="Q182" i="1" s="1"/>
  <c r="L182" i="1"/>
  <c r="J182" i="1"/>
  <c r="P181" i="1"/>
  <c r="R181" i="1" s="1"/>
  <c r="O181" i="1"/>
  <c r="L181" i="1"/>
  <c r="J181" i="1"/>
  <c r="Q181" i="1" s="1"/>
  <c r="P180" i="1"/>
  <c r="O180" i="1"/>
  <c r="L180" i="1"/>
  <c r="R180" i="1" s="1"/>
  <c r="J180" i="1"/>
  <c r="T179" i="1"/>
  <c r="P179" i="1"/>
  <c r="O179" i="1"/>
  <c r="L179" i="1"/>
  <c r="J179" i="1"/>
  <c r="R179" i="1" s="1"/>
  <c r="T178" i="1"/>
  <c r="P178" i="1"/>
  <c r="R178" i="1" s="1"/>
  <c r="O178" i="1"/>
  <c r="L178" i="1"/>
  <c r="J178" i="1"/>
  <c r="Q178" i="1" s="1"/>
  <c r="P177" i="1"/>
  <c r="O177" i="1"/>
  <c r="L177" i="1"/>
  <c r="R177" i="1" s="1"/>
  <c r="J177" i="1"/>
  <c r="P176" i="1"/>
  <c r="R176" i="1" s="1"/>
  <c r="O176" i="1"/>
  <c r="L176" i="1"/>
  <c r="J176" i="1"/>
  <c r="Q176" i="1" s="1"/>
  <c r="R175" i="1"/>
  <c r="P175" i="1"/>
  <c r="O175" i="1"/>
  <c r="Q175" i="1" s="1"/>
  <c r="L175" i="1"/>
  <c r="J175" i="1"/>
  <c r="P174" i="1"/>
  <c r="R174" i="1" s="1"/>
  <c r="O174" i="1"/>
  <c r="L174" i="1"/>
  <c r="J174" i="1"/>
  <c r="Q174" i="1" s="1"/>
  <c r="P173" i="1"/>
  <c r="O173" i="1"/>
  <c r="L173" i="1"/>
  <c r="R173" i="1" s="1"/>
  <c r="J173" i="1"/>
  <c r="P172" i="1"/>
  <c r="R172" i="1" s="1"/>
  <c r="O172" i="1"/>
  <c r="L172" i="1"/>
  <c r="J172" i="1"/>
  <c r="Q172" i="1" s="1"/>
  <c r="T171" i="1"/>
  <c r="P171" i="1"/>
  <c r="O171" i="1"/>
  <c r="Q171" i="1" s="1"/>
  <c r="K171" i="1"/>
  <c r="L171" i="1" s="1"/>
  <c r="J171" i="1"/>
  <c r="P170" i="1"/>
  <c r="O170" i="1"/>
  <c r="L170" i="1"/>
  <c r="R170" i="1" s="1"/>
  <c r="J170" i="1"/>
  <c r="P169" i="1"/>
  <c r="R169" i="1" s="1"/>
  <c r="O169" i="1"/>
  <c r="L169" i="1"/>
  <c r="J169" i="1"/>
  <c r="Q169" i="1" s="1"/>
  <c r="R168" i="1"/>
  <c r="P168" i="1"/>
  <c r="O168" i="1"/>
  <c r="Q168" i="1" s="1"/>
  <c r="L168" i="1"/>
  <c r="J168" i="1"/>
  <c r="P167" i="1"/>
  <c r="R167" i="1" s="1"/>
  <c r="O167" i="1"/>
  <c r="L167" i="1"/>
  <c r="J167" i="1"/>
  <c r="Q167" i="1" s="1"/>
  <c r="P166" i="1"/>
  <c r="O166" i="1"/>
  <c r="L166" i="1"/>
  <c r="R166" i="1" s="1"/>
  <c r="J166" i="1"/>
  <c r="P165" i="1"/>
  <c r="R165" i="1" s="1"/>
  <c r="O165" i="1"/>
  <c r="L165" i="1"/>
  <c r="J165" i="1"/>
  <c r="Q165" i="1" s="1"/>
  <c r="T164" i="1"/>
  <c r="P164" i="1"/>
  <c r="R164" i="1" s="1"/>
  <c r="O164" i="1"/>
  <c r="Q164" i="1" s="1"/>
  <c r="L164" i="1"/>
  <c r="J164" i="1"/>
  <c r="T163" i="1"/>
  <c r="R163" i="1"/>
  <c r="P163" i="1"/>
  <c r="O163" i="1"/>
  <c r="Q163" i="1" s="1"/>
  <c r="L163" i="1"/>
  <c r="J163" i="1"/>
  <c r="P162" i="1"/>
  <c r="R162" i="1" s="1"/>
  <c r="O162" i="1"/>
  <c r="L162" i="1"/>
  <c r="J162" i="1"/>
  <c r="Q162" i="1" s="1"/>
  <c r="T161" i="1"/>
  <c r="P161" i="1"/>
  <c r="O161" i="1"/>
  <c r="Q161" i="1" s="1"/>
  <c r="K161" i="1"/>
  <c r="L161" i="1" s="1"/>
  <c r="J161" i="1"/>
  <c r="P160" i="1"/>
  <c r="O160" i="1"/>
  <c r="L160" i="1"/>
  <c r="R160" i="1" s="1"/>
  <c r="J160" i="1"/>
  <c r="P159" i="1"/>
  <c r="O159" i="1"/>
  <c r="L159" i="1"/>
  <c r="R159" i="1" s="1"/>
  <c r="J159" i="1"/>
  <c r="T158" i="1"/>
  <c r="P158" i="1"/>
  <c r="R158" i="1" s="1"/>
  <c r="O158" i="1"/>
  <c r="Q158" i="1" s="1"/>
  <c r="L158" i="1"/>
  <c r="J158" i="1"/>
  <c r="P157" i="1"/>
  <c r="O157" i="1"/>
  <c r="L157" i="1"/>
  <c r="R157" i="1" s="1"/>
  <c r="J157" i="1"/>
  <c r="P156" i="1"/>
  <c r="R156" i="1" s="1"/>
  <c r="O156" i="1"/>
  <c r="Q156" i="1" s="1"/>
  <c r="L156" i="1"/>
  <c r="J156" i="1"/>
  <c r="P155" i="1"/>
  <c r="O155" i="1"/>
  <c r="L155" i="1"/>
  <c r="R155" i="1" s="1"/>
  <c r="J155" i="1"/>
  <c r="P154" i="1"/>
  <c r="R154" i="1" s="1"/>
  <c r="O154" i="1"/>
  <c r="Q154" i="1" s="1"/>
  <c r="L154" i="1"/>
  <c r="J154" i="1"/>
  <c r="P153" i="1"/>
  <c r="O153" i="1"/>
  <c r="L153" i="1"/>
  <c r="R153" i="1" s="1"/>
  <c r="J153" i="1"/>
  <c r="P152" i="1"/>
  <c r="R152" i="1" s="1"/>
  <c r="O152" i="1"/>
  <c r="Q152" i="1" s="1"/>
  <c r="L152" i="1"/>
  <c r="J152" i="1"/>
  <c r="R151" i="1"/>
  <c r="P151" i="1"/>
  <c r="O151" i="1"/>
  <c r="L151" i="1"/>
  <c r="J151" i="1"/>
  <c r="Q151" i="1" s="1"/>
  <c r="P150" i="1"/>
  <c r="R150" i="1" s="1"/>
  <c r="O150" i="1"/>
  <c r="Q150" i="1" s="1"/>
  <c r="L150" i="1"/>
  <c r="J150" i="1"/>
  <c r="T149" i="1"/>
  <c r="P149" i="1"/>
  <c r="O149" i="1"/>
  <c r="Q149" i="1" s="1"/>
  <c r="L149" i="1"/>
  <c r="J149" i="1"/>
  <c r="R149" i="1" s="1"/>
  <c r="P148" i="1"/>
  <c r="O148" i="1"/>
  <c r="L148" i="1"/>
  <c r="J148" i="1"/>
  <c r="Q148" i="1" s="1"/>
  <c r="P147" i="1"/>
  <c r="O147" i="1"/>
  <c r="Q147" i="1" s="1"/>
  <c r="L147" i="1"/>
  <c r="J147" i="1"/>
  <c r="R147" i="1" s="1"/>
  <c r="P146" i="1"/>
  <c r="R146" i="1" s="1"/>
  <c r="O146" i="1"/>
  <c r="L146" i="1"/>
  <c r="J146" i="1"/>
  <c r="Q146" i="1" s="1"/>
  <c r="T145" i="1"/>
  <c r="P145" i="1"/>
  <c r="O145" i="1"/>
  <c r="L145" i="1"/>
  <c r="K145" i="1"/>
  <c r="J145" i="1"/>
  <c r="P144" i="1"/>
  <c r="O144" i="1"/>
  <c r="Q144" i="1" s="1"/>
  <c r="L144" i="1"/>
  <c r="J144" i="1"/>
  <c r="R144" i="1" s="1"/>
  <c r="P143" i="1"/>
  <c r="O143" i="1"/>
  <c r="L143" i="1"/>
  <c r="J143" i="1"/>
  <c r="Q143" i="1" s="1"/>
  <c r="P142" i="1"/>
  <c r="O142" i="1"/>
  <c r="Q142" i="1" s="1"/>
  <c r="L142" i="1"/>
  <c r="J142" i="1"/>
  <c r="R142" i="1" s="1"/>
  <c r="T141" i="1"/>
  <c r="R141" i="1"/>
  <c r="P141" i="1"/>
  <c r="O141" i="1"/>
  <c r="L141" i="1"/>
  <c r="J141" i="1"/>
  <c r="Q141" i="1" s="1"/>
  <c r="P140" i="1"/>
  <c r="R140" i="1" s="1"/>
  <c r="O140" i="1"/>
  <c r="Q140" i="1" s="1"/>
  <c r="L140" i="1"/>
  <c r="J140" i="1"/>
  <c r="P139" i="1"/>
  <c r="O139" i="1"/>
  <c r="L139" i="1"/>
  <c r="R139" i="1" s="1"/>
  <c r="J139" i="1"/>
  <c r="P138" i="1"/>
  <c r="R138" i="1" s="1"/>
  <c r="O138" i="1"/>
  <c r="Q138" i="1" s="1"/>
  <c r="L138" i="1"/>
  <c r="J138" i="1"/>
  <c r="P137" i="1"/>
  <c r="O137" i="1"/>
  <c r="L137" i="1"/>
  <c r="R137" i="1" s="1"/>
  <c r="J137" i="1"/>
  <c r="T136" i="1"/>
  <c r="P136" i="1"/>
  <c r="O136" i="1"/>
  <c r="L136" i="1"/>
  <c r="J136" i="1"/>
  <c r="Q136" i="1" s="1"/>
  <c r="P135" i="1"/>
  <c r="O135" i="1"/>
  <c r="Q135" i="1" s="1"/>
  <c r="L135" i="1"/>
  <c r="J135" i="1"/>
  <c r="R135" i="1" s="1"/>
  <c r="P134" i="1"/>
  <c r="O134" i="1"/>
  <c r="L134" i="1"/>
  <c r="J134" i="1"/>
  <c r="Q134" i="1" s="1"/>
  <c r="P133" i="1"/>
  <c r="O133" i="1"/>
  <c r="Q133" i="1" s="1"/>
  <c r="L133" i="1"/>
  <c r="J133" i="1"/>
  <c r="R133" i="1" s="1"/>
  <c r="P132" i="1"/>
  <c r="O132" i="1"/>
  <c r="L132" i="1"/>
  <c r="J132" i="1"/>
  <c r="Q132" i="1" s="1"/>
  <c r="T131" i="1"/>
  <c r="P131" i="1"/>
  <c r="R131" i="1" s="1"/>
  <c r="O131" i="1"/>
  <c r="Q131" i="1" s="1"/>
  <c r="L131" i="1"/>
  <c r="J131" i="1"/>
  <c r="R130" i="1"/>
  <c r="P130" i="1"/>
  <c r="O130" i="1"/>
  <c r="L130" i="1"/>
  <c r="J130" i="1"/>
  <c r="Q130" i="1" s="1"/>
  <c r="P129" i="1"/>
  <c r="R129" i="1" s="1"/>
  <c r="O129" i="1"/>
  <c r="Q129" i="1" s="1"/>
  <c r="L129" i="1"/>
  <c r="J129" i="1"/>
  <c r="P128" i="1"/>
  <c r="O128" i="1"/>
  <c r="L128" i="1"/>
  <c r="R128" i="1" s="1"/>
  <c r="J128" i="1"/>
  <c r="P127" i="1"/>
  <c r="R127" i="1" s="1"/>
  <c r="O127" i="1"/>
  <c r="Q127" i="1" s="1"/>
  <c r="L127" i="1"/>
  <c r="J127" i="1"/>
  <c r="P126" i="1"/>
  <c r="O126" i="1"/>
  <c r="L126" i="1"/>
  <c r="R126" i="1" s="1"/>
  <c r="J126" i="1"/>
  <c r="T125" i="1"/>
  <c r="P125" i="1"/>
  <c r="O125" i="1"/>
  <c r="L125" i="1"/>
  <c r="J125" i="1"/>
  <c r="Q125" i="1" s="1"/>
  <c r="T124" i="1"/>
  <c r="P124" i="1"/>
  <c r="R124" i="1" s="1"/>
  <c r="O124" i="1"/>
  <c r="Q124" i="1" s="1"/>
  <c r="L124" i="1"/>
  <c r="J124" i="1"/>
  <c r="P123" i="1"/>
  <c r="O123" i="1"/>
  <c r="L123" i="1"/>
  <c r="R123" i="1" s="1"/>
  <c r="J123" i="1"/>
  <c r="T122" i="1"/>
  <c r="P122" i="1"/>
  <c r="O122" i="1"/>
  <c r="L122" i="1"/>
  <c r="J122" i="1"/>
  <c r="Q122" i="1" s="1"/>
  <c r="P121" i="1"/>
  <c r="O121" i="1"/>
  <c r="Q121" i="1" s="1"/>
  <c r="L121" i="1"/>
  <c r="J121" i="1"/>
  <c r="R121" i="1" s="1"/>
  <c r="P120" i="1"/>
  <c r="O120" i="1"/>
  <c r="L120" i="1"/>
  <c r="J120" i="1"/>
  <c r="Q120" i="1" s="1"/>
  <c r="T119" i="1"/>
  <c r="P119" i="1"/>
  <c r="R119" i="1" s="1"/>
  <c r="O119" i="1"/>
  <c r="Q119" i="1" s="1"/>
  <c r="L119" i="1"/>
  <c r="J119" i="1"/>
  <c r="P118" i="1"/>
  <c r="O118" i="1"/>
  <c r="L118" i="1"/>
  <c r="R118" i="1" s="1"/>
  <c r="J118" i="1"/>
  <c r="P117" i="1"/>
  <c r="R117" i="1" s="1"/>
  <c r="O117" i="1"/>
  <c r="Q117" i="1" s="1"/>
  <c r="L117" i="1"/>
  <c r="J117" i="1"/>
  <c r="R116" i="1"/>
  <c r="P116" i="1"/>
  <c r="O116" i="1"/>
  <c r="L116" i="1"/>
  <c r="J116" i="1"/>
  <c r="Q116" i="1" s="1"/>
  <c r="P115" i="1"/>
  <c r="R115" i="1" s="1"/>
  <c r="O115" i="1"/>
  <c r="Q115" i="1" s="1"/>
  <c r="L115" i="1"/>
  <c r="J115" i="1"/>
  <c r="P114" i="1"/>
  <c r="O114" i="1"/>
  <c r="L114" i="1"/>
  <c r="R114" i="1" s="1"/>
  <c r="J114" i="1"/>
  <c r="P113" i="1"/>
  <c r="R113" i="1" s="1"/>
  <c r="O113" i="1"/>
  <c r="Q113" i="1" s="1"/>
  <c r="L113" i="1"/>
  <c r="J113" i="1"/>
  <c r="P112" i="1"/>
  <c r="O112" i="1"/>
  <c r="L112" i="1"/>
  <c r="R112" i="1" s="1"/>
  <c r="J112" i="1"/>
  <c r="P111" i="1"/>
  <c r="R111" i="1" s="1"/>
  <c r="O111" i="1"/>
  <c r="Q111" i="1" s="1"/>
  <c r="L111" i="1"/>
  <c r="J111" i="1"/>
  <c r="P110" i="1"/>
  <c r="O110" i="1"/>
  <c r="L110" i="1"/>
  <c r="R110" i="1" s="1"/>
  <c r="J110" i="1"/>
  <c r="T109" i="1"/>
  <c r="P109" i="1"/>
  <c r="O109" i="1"/>
  <c r="L109" i="1"/>
  <c r="J109" i="1"/>
  <c r="Q109" i="1" s="1"/>
  <c r="P108" i="1"/>
  <c r="O108" i="1"/>
  <c r="Q108" i="1" s="1"/>
  <c r="L108" i="1"/>
  <c r="J108" i="1"/>
  <c r="R108" i="1" s="1"/>
  <c r="P107" i="1"/>
  <c r="O107" i="1"/>
  <c r="L107" i="1"/>
  <c r="J107" i="1"/>
  <c r="Q107" i="1" s="1"/>
  <c r="T106" i="1"/>
  <c r="P106" i="1"/>
  <c r="R106" i="1" s="1"/>
  <c r="O106" i="1"/>
  <c r="Q106" i="1" s="1"/>
  <c r="L106" i="1"/>
  <c r="J106" i="1"/>
  <c r="T105" i="1"/>
  <c r="P105" i="1"/>
  <c r="O105" i="1"/>
  <c r="Q105" i="1" s="1"/>
  <c r="L105" i="1"/>
  <c r="J105" i="1"/>
  <c r="R105" i="1" s="1"/>
  <c r="P104" i="1"/>
  <c r="O104" i="1"/>
  <c r="L104" i="1"/>
  <c r="J104" i="1"/>
  <c r="Q104" i="1" s="1"/>
  <c r="P103" i="1"/>
  <c r="O103" i="1"/>
  <c r="Q103" i="1" s="1"/>
  <c r="L103" i="1"/>
  <c r="J103" i="1"/>
  <c r="R103" i="1" s="1"/>
  <c r="P102" i="1"/>
  <c r="O102" i="1"/>
  <c r="L102" i="1"/>
  <c r="J102" i="1"/>
  <c r="Q102" i="1" s="1"/>
  <c r="T101" i="1"/>
  <c r="P101" i="1"/>
  <c r="R101" i="1" s="1"/>
  <c r="O101" i="1"/>
  <c r="Q101" i="1" s="1"/>
  <c r="L101" i="1"/>
  <c r="J101" i="1"/>
  <c r="R100" i="1"/>
  <c r="P100" i="1"/>
  <c r="O100" i="1"/>
  <c r="L100" i="1"/>
  <c r="J100" i="1"/>
  <c r="Q100" i="1" s="1"/>
  <c r="P99" i="1"/>
  <c r="R99" i="1" s="1"/>
  <c r="O99" i="1"/>
  <c r="Q99" i="1" s="1"/>
  <c r="L99" i="1"/>
  <c r="J99" i="1"/>
  <c r="P98" i="1"/>
  <c r="O98" i="1"/>
  <c r="L98" i="1"/>
  <c r="R98" i="1" s="1"/>
  <c r="J98" i="1"/>
  <c r="T97" i="1"/>
  <c r="P97" i="1"/>
  <c r="R97" i="1" s="1"/>
  <c r="O97" i="1"/>
  <c r="L97" i="1"/>
  <c r="J97" i="1"/>
  <c r="Q97" i="1" s="1"/>
  <c r="P96" i="1"/>
  <c r="O96" i="1"/>
  <c r="Q96" i="1" s="1"/>
  <c r="L96" i="1"/>
  <c r="J96" i="1"/>
  <c r="R96" i="1" s="1"/>
  <c r="P95" i="1"/>
  <c r="O95" i="1"/>
  <c r="L95" i="1"/>
  <c r="J95" i="1"/>
  <c r="Q95" i="1" s="1"/>
  <c r="P94" i="1"/>
  <c r="O94" i="1"/>
  <c r="Q94" i="1" s="1"/>
  <c r="L94" i="1"/>
  <c r="J94" i="1"/>
  <c r="R94" i="1" s="1"/>
  <c r="P93" i="1"/>
  <c r="O93" i="1"/>
  <c r="L93" i="1"/>
  <c r="J93" i="1"/>
  <c r="Q93" i="1" s="1"/>
  <c r="P92" i="1"/>
  <c r="O92" i="1"/>
  <c r="Q92" i="1" s="1"/>
  <c r="L92" i="1"/>
  <c r="J92" i="1"/>
  <c r="R92" i="1" s="1"/>
  <c r="T91" i="1"/>
  <c r="P91" i="1"/>
  <c r="O91" i="1"/>
  <c r="L91" i="1"/>
  <c r="R91" i="1" s="1"/>
  <c r="J91" i="1"/>
  <c r="T90" i="1"/>
  <c r="P90" i="1"/>
  <c r="O90" i="1"/>
  <c r="L90" i="1"/>
  <c r="J90" i="1"/>
  <c r="Q90" i="1" s="1"/>
  <c r="T89" i="1"/>
  <c r="P89" i="1"/>
  <c r="R89" i="1" s="1"/>
  <c r="O89" i="1"/>
  <c r="Q89" i="1" s="1"/>
  <c r="L89" i="1"/>
  <c r="J89" i="1"/>
  <c r="T88" i="1"/>
  <c r="P88" i="1"/>
  <c r="O88" i="1"/>
  <c r="Q88" i="1" s="1"/>
  <c r="L88" i="1"/>
  <c r="J88" i="1"/>
  <c r="R88" i="1" s="1"/>
  <c r="P87" i="1"/>
  <c r="O87" i="1"/>
  <c r="L87" i="1"/>
  <c r="J87" i="1"/>
  <c r="Q87" i="1" s="1"/>
  <c r="P86" i="1"/>
  <c r="O86" i="1"/>
  <c r="Q86" i="1" s="1"/>
  <c r="L86" i="1"/>
  <c r="J86" i="1"/>
  <c r="R86" i="1" s="1"/>
  <c r="P85" i="1"/>
  <c r="O85" i="1"/>
  <c r="L85" i="1"/>
  <c r="J85" i="1"/>
  <c r="Q85" i="1" s="1"/>
  <c r="P84" i="1"/>
  <c r="O84" i="1"/>
  <c r="Q84" i="1" s="1"/>
  <c r="L84" i="1"/>
  <c r="J84" i="1"/>
  <c r="R84" i="1" s="1"/>
  <c r="P83" i="1"/>
  <c r="O83" i="1"/>
  <c r="L83" i="1"/>
  <c r="J83" i="1"/>
  <c r="Q83" i="1" s="1"/>
  <c r="P82" i="1"/>
  <c r="O82" i="1"/>
  <c r="Q82" i="1" s="1"/>
  <c r="L82" i="1"/>
  <c r="J82" i="1"/>
  <c r="R82" i="1" s="1"/>
  <c r="T81" i="1"/>
  <c r="R81" i="1"/>
  <c r="P81" i="1"/>
  <c r="O81" i="1"/>
  <c r="L81" i="1"/>
  <c r="J81" i="1"/>
  <c r="Q81" i="1" s="1"/>
  <c r="P80" i="1"/>
  <c r="R80" i="1" s="1"/>
  <c r="O80" i="1"/>
  <c r="Q80" i="1" s="1"/>
  <c r="L80" i="1"/>
  <c r="J80" i="1"/>
  <c r="P79" i="1"/>
  <c r="O79" i="1"/>
  <c r="L79" i="1"/>
  <c r="R79" i="1" s="1"/>
  <c r="J79" i="1"/>
  <c r="P78" i="1"/>
  <c r="R78" i="1" s="1"/>
  <c r="O78" i="1"/>
  <c r="Q78" i="1" s="1"/>
  <c r="L78" i="1"/>
  <c r="J78" i="1"/>
  <c r="T77" i="1"/>
  <c r="P77" i="1"/>
  <c r="O77" i="1"/>
  <c r="Q77" i="1" s="1"/>
  <c r="L77" i="1"/>
  <c r="J77" i="1"/>
  <c r="R77" i="1" s="1"/>
  <c r="P76" i="1"/>
  <c r="R76" i="1" s="1"/>
  <c r="O76" i="1"/>
  <c r="L76" i="1"/>
  <c r="J76" i="1"/>
  <c r="Q76" i="1" s="1"/>
  <c r="P75" i="1"/>
  <c r="O75" i="1"/>
  <c r="Q75" i="1" s="1"/>
  <c r="L75" i="1"/>
  <c r="J75" i="1"/>
  <c r="R75" i="1" s="1"/>
  <c r="P74" i="1"/>
  <c r="O74" i="1"/>
  <c r="L74" i="1"/>
  <c r="J74" i="1"/>
  <c r="Q74" i="1" s="1"/>
  <c r="P73" i="1"/>
  <c r="O73" i="1"/>
  <c r="Q73" i="1" s="1"/>
  <c r="L73" i="1"/>
  <c r="J73" i="1"/>
  <c r="R73" i="1" s="1"/>
  <c r="P72" i="1"/>
  <c r="O72" i="1"/>
  <c r="L72" i="1"/>
  <c r="J72" i="1"/>
  <c r="Q72" i="1" s="1"/>
  <c r="T71" i="1"/>
  <c r="P71" i="1"/>
  <c r="R71" i="1" s="1"/>
  <c r="O71" i="1"/>
  <c r="Q71" i="1" s="1"/>
  <c r="L71" i="1"/>
  <c r="J71" i="1"/>
  <c r="T70" i="1"/>
  <c r="P70" i="1"/>
  <c r="O70" i="1"/>
  <c r="Q70" i="1" s="1"/>
  <c r="L70" i="1"/>
  <c r="J70" i="1"/>
  <c r="R70" i="1" s="1"/>
  <c r="P69" i="1"/>
  <c r="O69" i="1"/>
  <c r="L69" i="1"/>
  <c r="J69" i="1"/>
  <c r="Q69" i="1" s="1"/>
  <c r="P68" i="1"/>
  <c r="O68" i="1"/>
  <c r="Q68" i="1" s="1"/>
  <c r="L68" i="1"/>
  <c r="J68" i="1"/>
  <c r="R68" i="1" s="1"/>
  <c r="P67" i="1"/>
  <c r="O67" i="1"/>
  <c r="L67" i="1"/>
  <c r="J67" i="1"/>
  <c r="Q67" i="1" s="1"/>
  <c r="P66" i="1"/>
  <c r="O66" i="1"/>
  <c r="Q66" i="1" s="1"/>
  <c r="L66" i="1"/>
  <c r="J66" i="1"/>
  <c r="R66" i="1" s="1"/>
  <c r="T65" i="1"/>
  <c r="P65" i="1"/>
  <c r="O65" i="1"/>
  <c r="L65" i="1"/>
  <c r="R65" i="1" s="1"/>
  <c r="J65" i="1"/>
  <c r="P64" i="1"/>
  <c r="R64" i="1" s="1"/>
  <c r="O64" i="1"/>
  <c r="Q64" i="1" s="1"/>
  <c r="L64" i="1"/>
  <c r="J64" i="1"/>
  <c r="R63" i="1"/>
  <c r="P63" i="1"/>
  <c r="O63" i="1"/>
  <c r="L63" i="1"/>
  <c r="J63" i="1"/>
  <c r="Q63" i="1" s="1"/>
  <c r="P62" i="1"/>
  <c r="R62" i="1" s="1"/>
  <c r="O62" i="1"/>
  <c r="Q62" i="1" s="1"/>
  <c r="L62" i="1"/>
  <c r="J62" i="1"/>
  <c r="T61" i="1"/>
  <c r="P61" i="1"/>
  <c r="O61" i="1"/>
  <c r="K61" i="1"/>
  <c r="L61" i="1" s="1"/>
  <c r="R61" i="1" s="1"/>
  <c r="J61" i="1"/>
  <c r="P60" i="1"/>
  <c r="O60" i="1"/>
  <c r="L60" i="1"/>
  <c r="R60" i="1" s="1"/>
  <c r="J60" i="1"/>
  <c r="T59" i="1"/>
  <c r="Q59" i="1"/>
  <c r="P59" i="1"/>
  <c r="R59" i="1" s="1"/>
  <c r="O59" i="1"/>
  <c r="K59" i="1"/>
  <c r="L59" i="1" s="1"/>
  <c r="J59" i="1"/>
  <c r="P58" i="1"/>
  <c r="R58" i="1" s="1"/>
  <c r="O58" i="1"/>
  <c r="Q58" i="1" s="1"/>
  <c r="L58" i="1"/>
  <c r="J58" i="1"/>
  <c r="P57" i="1"/>
  <c r="O57" i="1"/>
  <c r="L57" i="1"/>
  <c r="R57" i="1" s="1"/>
  <c r="J57" i="1"/>
  <c r="P56" i="1"/>
  <c r="R56" i="1" s="1"/>
  <c r="O56" i="1"/>
  <c r="Q56" i="1" s="1"/>
  <c r="L56" i="1"/>
  <c r="J56" i="1"/>
  <c r="T55" i="1"/>
  <c r="P55" i="1"/>
  <c r="O55" i="1"/>
  <c r="Q55" i="1" s="1"/>
  <c r="K55" i="1"/>
  <c r="L55" i="1" s="1"/>
  <c r="R55" i="1" s="1"/>
  <c r="J55" i="1"/>
  <c r="T54" i="1"/>
  <c r="P54" i="1"/>
  <c r="O54" i="1"/>
  <c r="Q54" i="1" s="1"/>
  <c r="K54" i="1"/>
  <c r="L54" i="1" s="1"/>
  <c r="R54" i="1" s="1"/>
  <c r="J54" i="1"/>
  <c r="R53" i="1"/>
  <c r="P53" i="1"/>
  <c r="O53" i="1"/>
  <c r="L53" i="1"/>
  <c r="J53" i="1"/>
  <c r="Q53" i="1" s="1"/>
  <c r="P52" i="1"/>
  <c r="R52" i="1" s="1"/>
  <c r="O52" i="1"/>
  <c r="Q52" i="1" s="1"/>
  <c r="L52" i="1"/>
  <c r="J52" i="1"/>
  <c r="P51" i="1"/>
  <c r="O51" i="1"/>
  <c r="L51" i="1"/>
  <c r="R51" i="1" s="1"/>
  <c r="J51" i="1"/>
  <c r="P50" i="1"/>
  <c r="R50" i="1" s="1"/>
  <c r="O50" i="1"/>
  <c r="Q50" i="1" s="1"/>
  <c r="L50" i="1"/>
  <c r="J50" i="1"/>
  <c r="P49" i="1"/>
  <c r="O49" i="1"/>
  <c r="L49" i="1"/>
  <c r="R49" i="1" s="1"/>
  <c r="J49" i="1"/>
  <c r="P48" i="1"/>
  <c r="R48" i="1" s="1"/>
  <c r="O48" i="1"/>
  <c r="Q48" i="1" s="1"/>
  <c r="L48" i="1"/>
  <c r="J48" i="1"/>
  <c r="T47" i="1"/>
  <c r="P47" i="1"/>
  <c r="O47" i="1"/>
  <c r="Q47" i="1" s="1"/>
  <c r="K47" i="1"/>
  <c r="L47" i="1" s="1"/>
  <c r="R47" i="1" s="1"/>
  <c r="J47" i="1"/>
  <c r="T46" i="1"/>
  <c r="P46" i="1"/>
  <c r="O46" i="1"/>
  <c r="Q46" i="1" s="1"/>
  <c r="K46" i="1"/>
  <c r="L46" i="1" s="1"/>
  <c r="R46" i="1" s="1"/>
  <c r="J46" i="1"/>
  <c r="P45" i="1"/>
  <c r="O45" i="1"/>
  <c r="L45" i="1"/>
  <c r="R45" i="1" s="1"/>
  <c r="J45" i="1"/>
  <c r="P44" i="1"/>
  <c r="R44" i="1" s="1"/>
  <c r="O44" i="1"/>
  <c r="Q44" i="1" s="1"/>
  <c r="L44" i="1"/>
  <c r="J44" i="1"/>
  <c r="P43" i="1"/>
  <c r="O43" i="1"/>
  <c r="L43" i="1"/>
  <c r="R43" i="1" s="1"/>
  <c r="J43" i="1"/>
  <c r="P42" i="1"/>
  <c r="R42" i="1" s="1"/>
  <c r="O42" i="1"/>
  <c r="Q42" i="1" s="1"/>
  <c r="L42" i="1"/>
  <c r="J42" i="1"/>
  <c r="P41" i="1"/>
  <c r="O41" i="1"/>
  <c r="L41" i="1"/>
  <c r="R41" i="1" s="1"/>
  <c r="J41" i="1"/>
  <c r="P40" i="1"/>
  <c r="R40" i="1" s="1"/>
  <c r="O40" i="1"/>
  <c r="Q40" i="1" s="1"/>
  <c r="L40" i="1"/>
  <c r="J40" i="1"/>
  <c r="R39" i="1"/>
  <c r="P39" i="1"/>
  <c r="O39" i="1"/>
  <c r="L39" i="1"/>
  <c r="J39" i="1"/>
  <c r="Q39" i="1" s="1"/>
  <c r="T38" i="1"/>
  <c r="P38" i="1"/>
  <c r="O38" i="1"/>
  <c r="K38" i="1"/>
  <c r="L38" i="1" s="1"/>
  <c r="Q38" i="1" s="1"/>
  <c r="J38" i="1"/>
  <c r="T37" i="1"/>
  <c r="P37" i="1"/>
  <c r="O37" i="1"/>
  <c r="L37" i="1"/>
  <c r="J37" i="1"/>
  <c r="Q37" i="1" s="1"/>
  <c r="T36" i="1"/>
  <c r="P36" i="1"/>
  <c r="R36" i="1" s="1"/>
  <c r="O36" i="1"/>
  <c r="Q36" i="1" s="1"/>
  <c r="L36" i="1"/>
  <c r="J36" i="1"/>
  <c r="P35" i="1"/>
  <c r="O35" i="1"/>
  <c r="L35" i="1"/>
  <c r="R35" i="1" s="1"/>
  <c r="J35" i="1"/>
  <c r="P34" i="1"/>
  <c r="R34" i="1" s="1"/>
  <c r="O34" i="1"/>
  <c r="Q34" i="1" s="1"/>
  <c r="L34" i="1"/>
  <c r="J34" i="1"/>
  <c r="P33" i="1"/>
  <c r="O33" i="1"/>
  <c r="L33" i="1"/>
  <c r="R33" i="1" s="1"/>
  <c r="J33" i="1"/>
  <c r="P32" i="1"/>
  <c r="R32" i="1" s="1"/>
  <c r="O32" i="1"/>
  <c r="Q32" i="1" s="1"/>
  <c r="L32" i="1"/>
  <c r="J32" i="1"/>
  <c r="R31" i="1"/>
  <c r="P31" i="1"/>
  <c r="O31" i="1"/>
  <c r="L31" i="1"/>
  <c r="J31" i="1"/>
  <c r="Q31" i="1" s="1"/>
  <c r="P30" i="1"/>
  <c r="R30" i="1" s="1"/>
  <c r="O30" i="1"/>
  <c r="Q30" i="1" s="1"/>
  <c r="L30" i="1"/>
  <c r="J30" i="1"/>
  <c r="T29" i="1"/>
  <c r="P29" i="1"/>
  <c r="O29" i="1"/>
  <c r="K29" i="1"/>
  <c r="L29" i="1" s="1"/>
  <c r="R29" i="1" s="1"/>
  <c r="J29" i="1"/>
  <c r="P28" i="1"/>
  <c r="O28" i="1"/>
  <c r="L28" i="1"/>
  <c r="R28" i="1" s="1"/>
  <c r="J28" i="1"/>
  <c r="T27" i="1"/>
  <c r="Q27" i="1"/>
  <c r="P27" i="1"/>
  <c r="R27" i="1" s="1"/>
  <c r="O27" i="1"/>
  <c r="K27" i="1"/>
  <c r="L27" i="1" s="1"/>
  <c r="J27" i="1"/>
  <c r="T26" i="1"/>
  <c r="P26" i="1"/>
  <c r="O26" i="1"/>
  <c r="K26" i="1"/>
  <c r="L26" i="1" s="1"/>
  <c r="Q26" i="1" s="1"/>
  <c r="J26" i="1"/>
  <c r="P25" i="1"/>
  <c r="R25" i="1" s="1"/>
  <c r="O25" i="1"/>
  <c r="Q25" i="1" s="1"/>
  <c r="L25" i="1"/>
  <c r="J25" i="1"/>
  <c r="P24" i="1"/>
  <c r="O24" i="1"/>
  <c r="L24" i="1"/>
  <c r="R24" i="1" s="1"/>
  <c r="J24" i="1"/>
  <c r="P23" i="1"/>
  <c r="R23" i="1" s="1"/>
  <c r="O23" i="1"/>
  <c r="Q23" i="1" s="1"/>
  <c r="L23" i="1"/>
  <c r="J23" i="1"/>
  <c r="R22" i="1"/>
  <c r="P22" i="1"/>
  <c r="O22" i="1"/>
  <c r="L22" i="1"/>
  <c r="J22" i="1"/>
  <c r="Q22" i="1" s="1"/>
  <c r="P21" i="1"/>
  <c r="R21" i="1" s="1"/>
  <c r="O21" i="1"/>
  <c r="Q21" i="1" s="1"/>
  <c r="L21" i="1"/>
  <c r="J21" i="1"/>
  <c r="T20" i="1"/>
  <c r="P20" i="1"/>
  <c r="O20" i="1"/>
  <c r="K20" i="1"/>
  <c r="L20" i="1" s="1"/>
  <c r="R20" i="1" s="1"/>
  <c r="J20" i="1"/>
  <c r="T19" i="1"/>
  <c r="P19" i="1"/>
  <c r="O19" i="1"/>
  <c r="Q19" i="1" s="1"/>
  <c r="K19" i="1"/>
  <c r="L19" i="1" s="1"/>
  <c r="R19" i="1" s="1"/>
  <c r="J19" i="1"/>
  <c r="P18" i="1"/>
  <c r="O18" i="1"/>
  <c r="L18" i="1"/>
  <c r="R18" i="1" s="1"/>
  <c r="J18" i="1"/>
  <c r="P17" i="1"/>
  <c r="R17" i="1" s="1"/>
  <c r="O17" i="1"/>
  <c r="Q17" i="1" s="1"/>
  <c r="L17" i="1"/>
  <c r="J17" i="1"/>
  <c r="R16" i="1"/>
  <c r="P16" i="1"/>
  <c r="O16" i="1"/>
  <c r="L16" i="1"/>
  <c r="J16" i="1"/>
  <c r="Q16" i="1" s="1"/>
  <c r="P15" i="1"/>
  <c r="R15" i="1" s="1"/>
  <c r="O15" i="1"/>
  <c r="Q15" i="1" s="1"/>
  <c r="L15" i="1"/>
  <c r="J15" i="1"/>
  <c r="P14" i="1"/>
  <c r="O14" i="1"/>
  <c r="L14" i="1"/>
  <c r="R14" i="1" s="1"/>
  <c r="J14" i="1"/>
  <c r="P13" i="1"/>
  <c r="R13" i="1" s="1"/>
  <c r="O13" i="1"/>
  <c r="Q13" i="1" s="1"/>
  <c r="L13" i="1"/>
  <c r="J13" i="1"/>
  <c r="P12" i="1"/>
  <c r="O12" i="1"/>
  <c r="L12" i="1"/>
  <c r="R12" i="1" s="1"/>
  <c r="J12" i="1"/>
  <c r="P11" i="1"/>
  <c r="R11" i="1" s="1"/>
  <c r="O11" i="1"/>
  <c r="Q11" i="1" s="1"/>
  <c r="L11" i="1"/>
  <c r="J11" i="1"/>
  <c r="T10" i="1"/>
  <c r="P10" i="1"/>
  <c r="O10" i="1"/>
  <c r="Q10" i="1" s="1"/>
  <c r="K10" i="1"/>
  <c r="L10" i="1" s="1"/>
  <c r="R10" i="1" s="1"/>
  <c r="J10" i="1"/>
  <c r="R9" i="1"/>
  <c r="P9" i="1"/>
  <c r="O9" i="1"/>
  <c r="L9" i="1"/>
  <c r="J9" i="1"/>
  <c r="Q9" i="1" s="1"/>
  <c r="T8" i="1"/>
  <c r="P8" i="1"/>
  <c r="O8" i="1"/>
  <c r="K8" i="1"/>
  <c r="L8" i="1" s="1"/>
  <c r="Q8" i="1" s="1"/>
  <c r="J8" i="1"/>
  <c r="T7" i="1"/>
  <c r="Q7" i="1"/>
  <c r="P7" i="1"/>
  <c r="R7" i="1" s="1"/>
  <c r="O7" i="1"/>
  <c r="K7" i="1"/>
  <c r="L7" i="1" s="1"/>
  <c r="J7" i="1"/>
  <c r="P6" i="1"/>
  <c r="R6" i="1" s="1"/>
  <c r="O6" i="1"/>
  <c r="Q6" i="1" s="1"/>
  <c r="L6" i="1"/>
  <c r="J6" i="1"/>
  <c r="P5" i="1"/>
  <c r="O5" i="1"/>
  <c r="L5" i="1"/>
  <c r="R5" i="1" s="1"/>
  <c r="J5" i="1"/>
  <c r="P4" i="1"/>
  <c r="R4" i="1" s="1"/>
  <c r="O4" i="1"/>
  <c r="Q4" i="1" s="1"/>
  <c r="L4" i="1"/>
  <c r="J4" i="1"/>
  <c r="P3" i="1"/>
  <c r="O3" i="1"/>
  <c r="L3" i="1"/>
  <c r="R3" i="1" s="1"/>
  <c r="J3" i="1"/>
  <c r="T2" i="1"/>
  <c r="Q2" i="1"/>
  <c r="P2" i="1"/>
  <c r="R2" i="1" s="1"/>
  <c r="O2" i="1"/>
  <c r="K2" i="1"/>
  <c r="L2" i="1" s="1"/>
  <c r="J2" i="1"/>
  <c r="R8" i="1" l="1"/>
  <c r="Q18" i="1"/>
  <c r="Q20" i="1"/>
  <c r="Q24" i="1"/>
  <c r="R26" i="1"/>
  <c r="Q29" i="1"/>
  <c r="Q33" i="1"/>
  <c r="R38" i="1"/>
  <c r="Q41" i="1"/>
  <c r="Q61" i="1"/>
  <c r="Q65" i="1"/>
  <c r="R83" i="1"/>
  <c r="Q91" i="1"/>
  <c r="R102" i="1"/>
  <c r="R107" i="1"/>
  <c r="Q110" i="1"/>
  <c r="Q118" i="1"/>
  <c r="R132" i="1"/>
  <c r="R143" i="1"/>
  <c r="R148" i="1"/>
  <c r="Q153" i="1"/>
  <c r="Q159" i="1"/>
  <c r="Q195" i="1"/>
  <c r="Q3" i="1"/>
  <c r="Q12" i="1"/>
  <c r="Q28" i="1"/>
  <c r="Q35" i="1"/>
  <c r="Q43" i="1"/>
  <c r="Q49" i="1"/>
  <c r="Q60" i="1"/>
  <c r="R67" i="1"/>
  <c r="R72" i="1"/>
  <c r="R85" i="1"/>
  <c r="R90" i="1"/>
  <c r="R93" i="1"/>
  <c r="R104" i="1"/>
  <c r="R109" i="1"/>
  <c r="Q112" i="1"/>
  <c r="R120" i="1"/>
  <c r="Q123" i="1"/>
  <c r="Q126" i="1"/>
  <c r="R134" i="1"/>
  <c r="Q137" i="1"/>
  <c r="Q145" i="1"/>
  <c r="Q155" i="1"/>
  <c r="Q203" i="1"/>
  <c r="Q5" i="1"/>
  <c r="Q14" i="1"/>
  <c r="R37" i="1"/>
  <c r="Q45" i="1"/>
  <c r="Q51" i="1"/>
  <c r="Q57" i="1"/>
  <c r="R69" i="1"/>
  <c r="R74" i="1"/>
  <c r="Q79" i="1"/>
  <c r="R87" i="1"/>
  <c r="R95" i="1"/>
  <c r="Q98" i="1"/>
  <c r="Q114" i="1"/>
  <c r="R122" i="1"/>
  <c r="R125" i="1"/>
  <c r="Q128" i="1"/>
  <c r="R136" i="1"/>
  <c r="Q139" i="1"/>
  <c r="R145" i="1"/>
  <c r="Q157" i="1"/>
  <c r="Q211" i="1"/>
  <c r="Q237" i="1"/>
  <c r="R161" i="1"/>
  <c r="Q166" i="1"/>
  <c r="R171" i="1"/>
  <c r="Q173" i="1"/>
  <c r="Q184" i="1"/>
  <c r="Q186" i="1"/>
  <c r="Q187" i="1"/>
  <c r="Q197" i="1"/>
  <c r="Q205" i="1"/>
  <c r="Q213" i="1"/>
  <c r="Q214" i="1"/>
  <c r="Q219" i="1"/>
  <c r="R224" i="1"/>
  <c r="Q226" i="1"/>
  <c r="Q242" i="1"/>
  <c r="Q250" i="1"/>
  <c r="Q261" i="1"/>
  <c r="Q240" i="1"/>
  <c r="Q248" i="1"/>
  <c r="Q199" i="1"/>
  <c r="Q207" i="1"/>
  <c r="Q244" i="1"/>
  <c r="Q251" i="1"/>
  <c r="Q270" i="1"/>
  <c r="R270" i="1"/>
  <c r="Q160" i="1"/>
  <c r="Q170" i="1"/>
  <c r="Q177" i="1"/>
  <c r="Q179" i="1"/>
  <c r="Q180" i="1"/>
  <c r="Q191" i="1"/>
  <c r="Q201" i="1"/>
  <c r="Q209" i="1"/>
  <c r="Q223" i="1"/>
  <c r="Q230" i="1"/>
  <c r="Q232" i="1"/>
  <c r="Q233" i="1"/>
  <c r="Q246" i="1"/>
  <c r="Q254" i="1"/>
  <c r="R266" i="1"/>
  <c r="Q259" i="1"/>
  <c r="R284" i="1"/>
  <c r="R286" i="1"/>
  <c r="Q322" i="1"/>
  <c r="Q380" i="1"/>
  <c r="R280" i="1"/>
  <c r="Q323" i="1"/>
  <c r="R331" i="1"/>
  <c r="R333" i="1"/>
  <c r="R335" i="1"/>
  <c r="R340" i="1"/>
  <c r="Q346" i="1"/>
  <c r="Q354" i="1"/>
  <c r="Q372" i="1"/>
  <c r="Q377" i="1"/>
  <c r="R380" i="1"/>
  <c r="R258" i="1"/>
  <c r="Q275" i="1"/>
  <c r="Q282" i="1"/>
  <c r="R285" i="1"/>
  <c r="R287" i="1"/>
  <c r="R294" i="1"/>
  <c r="R299" i="1"/>
  <c r="R310" i="1"/>
  <c r="R320" i="1"/>
  <c r="R345" i="1"/>
  <c r="Q348" i="1"/>
  <c r="Q356" i="1"/>
  <c r="R358" i="1"/>
  <c r="R374" i="1"/>
  <c r="R377" i="1"/>
</calcChain>
</file>

<file path=xl/sharedStrings.xml><?xml version="1.0" encoding="utf-8"?>
<sst xmlns="http://schemas.openxmlformats.org/spreadsheetml/2006/main" count="983" uniqueCount="505">
  <si>
    <t>plot</t>
  </si>
  <si>
    <t>density</t>
  </si>
  <si>
    <t>co2.ppm.s</t>
  </si>
  <si>
    <t>h2o.ppt.s</t>
  </si>
  <si>
    <t>co2.stddev</t>
  </si>
  <si>
    <t>h2o.stddev</t>
  </si>
  <si>
    <t>co2.r2</t>
  </si>
  <si>
    <t>h2o.r2</t>
  </si>
  <si>
    <t>pressure.kpa</t>
  </si>
  <si>
    <t>pressure.atm</t>
  </si>
  <si>
    <t>temp.c</t>
  </si>
  <si>
    <t>temp.k</t>
  </si>
  <si>
    <t>vol.L</t>
  </si>
  <si>
    <t>area.m2</t>
  </si>
  <si>
    <t>uL.co2.m2.sec-1</t>
  </si>
  <si>
    <t>uL.h20.m2.sec-1</t>
  </si>
  <si>
    <t>umol.co2.m2.sec-1</t>
  </si>
  <si>
    <t>umol.h2o.m2.sec-1</t>
  </si>
  <si>
    <t>vpd</t>
  </si>
  <si>
    <t>par</t>
  </si>
  <si>
    <t>soil.temp.c</t>
  </si>
  <si>
    <t>soil.moisture</t>
  </si>
  <si>
    <t>thaw.depth</t>
  </si>
  <si>
    <t>time</t>
  </si>
  <si>
    <t>./062615_LBR1_1Flux6.txt</t>
  </si>
  <si>
    <t>l</t>
  </si>
  <si>
    <t>./062615_LBR2_2Flux2.txt</t>
  </si>
  <si>
    <t>./062615_LBR2_2Flux3.txt</t>
  </si>
  <si>
    <t>./062615_LBR2_2Flux4.txt</t>
  </si>
  <si>
    <t>./062615_LBR2_2Flux5.txt</t>
  </si>
  <si>
    <t>./062615_LBR2_2Flux6.txt</t>
  </si>
  <si>
    <t>./062615_LBR2_3Flux2.txt</t>
  </si>
  <si>
    <t>./062615_LBR2_3Flux5.txt</t>
  </si>
  <si>
    <t>./062615_LBRFlux1.txt</t>
  </si>
  <si>
    <t>./062615_LBRFlux2.txt</t>
  </si>
  <si>
    <t>./062615_LDR1_2Flux1.txt</t>
  </si>
  <si>
    <t>./062615_LDR1_2Flux3.txt</t>
  </si>
  <si>
    <t>./062615_LDR1_3Flux3.txt</t>
  </si>
  <si>
    <t>./062615_LDR1_3Flux5.txt</t>
  </si>
  <si>
    <t>./062615_MDF4_1Flux1.txt</t>
  </si>
  <si>
    <t>m</t>
  </si>
  <si>
    <t>./062615_MDF4_1Flux3.txt</t>
  </si>
  <si>
    <t>./062615_MDF4_1Flux4.txt</t>
  </si>
  <si>
    <t>./062615_MDF4_1Flux5.txt</t>
  </si>
  <si>
    <t>./062615_MDF4_1Flux7.txt</t>
  </si>
  <si>
    <t>./062615_MDF4_1Flux8.txt</t>
  </si>
  <si>
    <t>./062715_DAV1Flux1.txt</t>
  </si>
  <si>
    <t>h</t>
  </si>
  <si>
    <t>./062715_DAVFlux10.txt</t>
  </si>
  <si>
    <t>./062715_DAVFlux4.txt</t>
  </si>
  <si>
    <t>./062715_DAVFlux6.txt</t>
  </si>
  <si>
    <t>./062715_DAVFlux7.txt</t>
  </si>
  <si>
    <t>./062715_DAVFlux8.txt</t>
  </si>
  <si>
    <t>./062715_HDF1Flux1.txt</t>
  </si>
  <si>
    <t>./062715_HDF1Flux10.txt</t>
  </si>
  <si>
    <t>./062715_HDF1Flux11.txt</t>
  </si>
  <si>
    <t>./062715_HDF1Flux3.txt</t>
  </si>
  <si>
    <t>./062715_HDF1Flux4.txt</t>
  </si>
  <si>
    <t>./062715_HDF1Flux5.txt</t>
  </si>
  <si>
    <t>./062715_HDF1Flux6.txt</t>
  </si>
  <si>
    <t>./062715_HDF1Flux7.txt</t>
  </si>
  <si>
    <t>./062715_HDF1Flux8.txt</t>
  </si>
  <si>
    <t>./062715_HDF1Flux9.txt</t>
  </si>
  <si>
    <t>./062715_HDRFlux1.txt</t>
  </si>
  <si>
    <t>./062715_HDRFlux11.txt</t>
  </si>
  <si>
    <t>./062715_HDRFlux12.txt</t>
  </si>
  <si>
    <t>./062715_HDRFlux3.txt</t>
  </si>
  <si>
    <t>./062715_HDRFlux4.txt</t>
  </si>
  <si>
    <t>./062715_HDRFlux5.txt</t>
  </si>
  <si>
    <t>./062715_HDRFlux6.txt</t>
  </si>
  <si>
    <t>./062715_HDRFlux7.txt</t>
  </si>
  <si>
    <t>./062715_HDRFlux8.txt</t>
  </si>
  <si>
    <t>./062715_HDRFlux9.txt</t>
  </si>
  <si>
    <t>./062715_MDF1_2Flux1.txt</t>
  </si>
  <si>
    <t>./062715_MDF1_2Flux10.txt</t>
  </si>
  <si>
    <t>./062715_MDF1_2Flux2.txt</t>
  </si>
  <si>
    <t>./062715_MDF1_2Flux3.txt</t>
  </si>
  <si>
    <t>./062715_MDF1_2Flux4.txt</t>
  </si>
  <si>
    <t>./062715_MDF1_2Flux5.txt</t>
  </si>
  <si>
    <t>./062715_MDF1_2Flux6.txt</t>
  </si>
  <si>
    <t>./062715_MDF1_2Flux7.txt</t>
  </si>
  <si>
    <t>./062715_MDF1_2Flux9.txt</t>
  </si>
  <si>
    <t>./062715_MDF1Flux1.txt</t>
  </si>
  <si>
    <t>./062715_MDF2_1Flux2.txt</t>
  </si>
  <si>
    <t>./062715_MDF2_1Flux4.txt</t>
  </si>
  <si>
    <t>./062715_MDF2_1Flux6.txt</t>
  </si>
  <si>
    <t>./062715_MDF2Flux1.txt</t>
  </si>
  <si>
    <t>./062715_MDF2Flux3.txt</t>
  </si>
  <si>
    <t>./062715_MDF2Flux5.txt</t>
  </si>
  <si>
    <t>./070315_HDF1Flux1.txt</t>
  </si>
  <si>
    <t>./070415_LDF2_1Flux1.txt</t>
  </si>
  <si>
    <t>./070415_LDF2_2Flux1.txt</t>
  </si>
  <si>
    <t>./070415_LDF2_2Flux5.txt</t>
  </si>
  <si>
    <t>./070415_LDF2Flux1.txt</t>
  </si>
  <si>
    <t>./070415_LDF3Flux11.txt</t>
  </si>
  <si>
    <t>./070415_LDF3Flux13.txt</t>
  </si>
  <si>
    <t>./070415_LDF3Flux15.txt</t>
  </si>
  <si>
    <t>./070415_LDF3Flux17.txt</t>
  </si>
  <si>
    <t>./070415_LDF3Flux19.txt</t>
  </si>
  <si>
    <t>./070415_LDF3Flux20.txt</t>
  </si>
  <si>
    <t>./070415_LDF3Flux21.txt</t>
  </si>
  <si>
    <t>./070415_LDF3Flux22.txt</t>
  </si>
  <si>
    <t>./070415_LDF3Flux23.txt</t>
  </si>
  <si>
    <t>./070415_LDF3Flux3.txt</t>
  </si>
  <si>
    <t>./070415_LDF3Flux5.txt</t>
  </si>
  <si>
    <t>./070415_LDF3Flux7.txt</t>
  </si>
  <si>
    <t>./070415_LDF3Flux9.txt</t>
  </si>
  <si>
    <t>./070415_MDF1Flux1.txt</t>
  </si>
  <si>
    <t>./070415_MDF1Flux11.txt</t>
  </si>
  <si>
    <t>./070415_MDF1Flux12.txt</t>
  </si>
  <si>
    <t>./070415_MDF1Flux2.txt</t>
  </si>
  <si>
    <t>./070415_MDF1Flux5.txt</t>
  </si>
  <si>
    <t>./070415_MDF1Flux6.txt</t>
  </si>
  <si>
    <t>./070415_MDF1Flux7.txt</t>
  </si>
  <si>
    <t>./070415_MDF1Flux9.txt</t>
  </si>
  <si>
    <t>./070415_MDF4Flux3.txt</t>
  </si>
  <si>
    <t>./070415_MDF4Flux4.txt</t>
  </si>
  <si>
    <t>./070415_MDF4Flux5.txt</t>
  </si>
  <si>
    <t>./070415_MDF4Flux7.txt</t>
  </si>
  <si>
    <t>./070415_MDF4Flux9.txt</t>
  </si>
  <si>
    <t>./070515_MDF2_1Flux1.txt</t>
  </si>
  <si>
    <t>./070515_MDF2_1Flux3.txt</t>
  </si>
  <si>
    <t>./070515_MDF2Flux1.txt</t>
  </si>
  <si>
    <t>./070515_MDF2Flux10.txt</t>
  </si>
  <si>
    <t>./070515_MDF2Flux3.txt</t>
  </si>
  <si>
    <t>./070515_MDF2Flux5.txt</t>
  </si>
  <si>
    <t>./070515_MDF2Flux7.txt</t>
  </si>
  <si>
    <t>./070815_DAV_2Flux1.txt</t>
  </si>
  <si>
    <t>./070815_DAVFlux11.txt</t>
  </si>
  <si>
    <t>./070815_DAVFlux5.txt</t>
  </si>
  <si>
    <t>./070815_DAVFlux7.txt</t>
  </si>
  <si>
    <t>./070815_HDF1Flux5.txt</t>
  </si>
  <si>
    <t>./070815_HDR1Flux1.txt</t>
  </si>
  <si>
    <t>./070815_HDR2Flux1.txt</t>
  </si>
  <si>
    <t>./070815_HDR2Flux3.txt</t>
  </si>
  <si>
    <t>./070815_HDR2Flux7.txt</t>
  </si>
  <si>
    <t>./070815_HDR2Flux9.txt</t>
  </si>
  <si>
    <t>./070815_LBRFlux1.txt</t>
  </si>
  <si>
    <t>./070815_LBRFlux4.txt</t>
  </si>
  <si>
    <t>./070815_LBRFlux6.txt</t>
  </si>
  <si>
    <t>./070815_LDF2_4Flux1.txt</t>
  </si>
  <si>
    <t>./070815_LDF2_5Flux1.txt</t>
  </si>
  <si>
    <t>./070815_LDF3_2Flux1.txt</t>
  </si>
  <si>
    <t>./070815_LDF3_3Flux1.txt</t>
  </si>
  <si>
    <t>./070815_LDF3_4Flux1.txt</t>
  </si>
  <si>
    <t>./070815_LDF3_4Flux3.txt</t>
  </si>
  <si>
    <t>./070815_LDF3Flux1.txt</t>
  </si>
  <si>
    <t>./070815_LDF3Flux3.txt</t>
  </si>
  <si>
    <t>./070815_LDF3Flux5.txt</t>
  </si>
  <si>
    <t>./070815_MDF2_3Flux2.txt</t>
  </si>
  <si>
    <t>./070815_MDF2_3Flux3.txt</t>
  </si>
  <si>
    <t>./070815_MDF2_3Flux5.txt</t>
  </si>
  <si>
    <t>./070815_MDF2_4Flux1.txt</t>
  </si>
  <si>
    <t>./070815_MDF2_4Flux3.txt</t>
  </si>
  <si>
    <t>./071415_DAVFlux10.txt</t>
  </si>
  <si>
    <t>./071415_DAVFlux4.txt</t>
  </si>
  <si>
    <t>./071415_DAVFlux7.txt</t>
  </si>
  <si>
    <t>./071415_DAVFlux8.txt</t>
  </si>
  <si>
    <t>./071415_HDR2Flux11.txt</t>
  </si>
  <si>
    <t>./071415_HDR2Flux3.txt</t>
  </si>
  <si>
    <t>./071415_HDR2Flux5.txt</t>
  </si>
  <si>
    <t>./071415_HDR2Flux7.txt</t>
  </si>
  <si>
    <t>./071415_HDR2Flux9.txt</t>
  </si>
  <si>
    <t>./071415_MDF2_1Flux1.txt</t>
  </si>
  <si>
    <t>./071415_MDF2_1Flux3.txt</t>
  </si>
  <si>
    <t>./071415_MDF2_1Flux5.txt</t>
  </si>
  <si>
    <t>./071415_MDF2Flux1.txt</t>
  </si>
  <si>
    <t>./071415_MDF2Flux5.txt</t>
  </si>
  <si>
    <t>./072215_DAVFlux10.txt</t>
  </si>
  <si>
    <t>./072215_DAVFlux12.txt</t>
  </si>
  <si>
    <t>./072215_DAVFlux5.txt</t>
  </si>
  <si>
    <t>./072215_DAVFlux8.txt</t>
  </si>
  <si>
    <t>./072215_HDF1Flux3.txt</t>
  </si>
  <si>
    <t>./072215_HDF1Flux7.txt</t>
  </si>
  <si>
    <t>./072215_HDF1Flux9.txt</t>
  </si>
  <si>
    <t>./072215_HDRFlux12.txt</t>
  </si>
  <si>
    <t>./072215_HDRFlux3.txt</t>
  </si>
  <si>
    <t>./072215_HDRFlux5.txt</t>
  </si>
  <si>
    <t>./072215_HDRFlux6.txt</t>
  </si>
  <si>
    <t>./072215_HDRFlux8.txt</t>
  </si>
  <si>
    <t>./072215_MDF2Flux1.txt</t>
  </si>
  <si>
    <t>./072215_MDF2Flux11.txt</t>
  </si>
  <si>
    <t>./072215_MDF2Flux9.txt</t>
  </si>
  <si>
    <t>./072215_MDF4Flux3.txt</t>
  </si>
  <si>
    <t>./072215_MDF4Flux6.txt</t>
  </si>
  <si>
    <t>./072215_MDF4Flux7.txt</t>
  </si>
  <si>
    <t>./072315_LBRFlux3.txt</t>
  </si>
  <si>
    <t>./072315_LBRFlux6.txt</t>
  </si>
  <si>
    <t>./072315_LDF2Flux4.txt</t>
  </si>
  <si>
    <t>./072315_LDF2Flux5.txt</t>
  </si>
  <si>
    <t>./072315_LDF2Flux6.txt</t>
  </si>
  <si>
    <t>./072315_LDF3Flux2.txt</t>
  </si>
  <si>
    <t>./072315_LDF3Flux3.txt</t>
  </si>
  <si>
    <t>./072315_LDF3Flux4.txt</t>
  </si>
  <si>
    <t>./072315_MDF1Flux9.txt</t>
  </si>
  <si>
    <t>./072815_LBR_1Flux1.txt</t>
  </si>
  <si>
    <t>./072815_LBR_1Flux6.txt</t>
  </si>
  <si>
    <t>./072815_LDF2Flux7.txt</t>
  </si>
  <si>
    <t>./072815_LDF2Flux9.txt</t>
  </si>
  <si>
    <t>./072815_LDF3Flux11.txt</t>
  </si>
  <si>
    <t>./072815_LDF3Flux3.txt</t>
  </si>
  <si>
    <t>./072815_LDF3Flux4.txt</t>
  </si>
  <si>
    <t>./072815_LDF3Flux5.txt</t>
  </si>
  <si>
    <t>./072815_LDF3Flux9.txt</t>
  </si>
  <si>
    <t>./072815_MDF1Flux11.txt</t>
  </si>
  <si>
    <t>./072815_MDF1Flux5.txt</t>
  </si>
  <si>
    <t>./072815_MDF1Flux7.txt</t>
  </si>
  <si>
    <t>./072815_MDF1Flux9.txt</t>
  </si>
  <si>
    <t>./072915_DAVFlux1.txt</t>
  </si>
  <si>
    <t>./072915_DAVFlux11.txt</t>
  </si>
  <si>
    <t>./072915_DAVFlux3.txt</t>
  </si>
  <si>
    <t>./072915_DAVFlux5.txt</t>
  </si>
  <si>
    <t>./072915_DAVFlux7.txt</t>
  </si>
  <si>
    <t>./072915_DAVFlux9.txt</t>
  </si>
  <si>
    <t>./072915_HDF1Flux11.txt</t>
  </si>
  <si>
    <t>./072915_HDF1Flux4.txt</t>
  </si>
  <si>
    <t>./072915_HDRFlux1.txt</t>
  </si>
  <si>
    <t>./072915_HDRFlux11.txt</t>
  </si>
  <si>
    <t>./072915_HDRFlux3.txt</t>
  </si>
  <si>
    <t>./072915_HDRFlux5.txt</t>
  </si>
  <si>
    <t>./072915_HDRFlux7.txt</t>
  </si>
  <si>
    <t>./072915_HDRFlux9.txt</t>
  </si>
  <si>
    <t>./072915_MDF_2Flux4.txt</t>
  </si>
  <si>
    <t>./072915_MDFFlux1.txt</t>
  </si>
  <si>
    <t>./072915_MDFFlux3.txt</t>
  </si>
  <si>
    <t>./072915_MDFFlux4.txt</t>
  </si>
  <si>
    <t>./072915_MDFFlux6.txt</t>
  </si>
  <si>
    <t>./072915_MDFFlux8.txt</t>
  </si>
  <si>
    <t>./080315_DAVFlux3.txt</t>
  </si>
  <si>
    <t>./080315_DAVFlux5.txt</t>
  </si>
  <si>
    <t>./080315_DAVFlux7.txt</t>
  </si>
  <si>
    <t>./080315_DAVFlux9.txt</t>
  </si>
  <si>
    <t>./080315_HBR_2Flux1.txt</t>
  </si>
  <si>
    <t>./080315_HBR_3Flux1.txt</t>
  </si>
  <si>
    <t>./080315_HBRFlux2.txt</t>
  </si>
  <si>
    <t>./080315_HBRFlux3.txt</t>
  </si>
  <si>
    <t>./080315_HBRFlux5.txt</t>
  </si>
  <si>
    <t>./080515_HDF1Flux1.txt</t>
  </si>
  <si>
    <t>./080515_HDF1Flux3.txt</t>
  </si>
  <si>
    <t>./080515_HDF1Flux7.txt</t>
  </si>
  <si>
    <t>./080515_HDF1Flux9.txt</t>
  </si>
  <si>
    <t>./080515_MDF2Flux10.txt</t>
  </si>
  <si>
    <t>./080515_MDF2Flux3.txt</t>
  </si>
  <si>
    <t>./080515_MDF2Flux5.txt</t>
  </si>
  <si>
    <t>./080515_MDF2Flux7.txt</t>
  </si>
  <si>
    <t>./080515_MDF4Flux10.txt</t>
  </si>
  <si>
    <t>./080515_MDF4Flux11.txt</t>
  </si>
  <si>
    <t>./080515_MDF4Flux3.txt</t>
  </si>
  <si>
    <t>./080515_MDF4Flux5.txt</t>
  </si>
  <si>
    <t>./080515_MDF4Flux7.txt</t>
  </si>
  <si>
    <t>./080615_LBR_2Flux1.txt</t>
  </si>
  <si>
    <t>./080615_LBRFlux1.txt</t>
  </si>
  <si>
    <t>./080615_LBRFlux3.txt</t>
  </si>
  <si>
    <t>./080615_LBRFlux7.txt</t>
  </si>
  <si>
    <t>./080615_LDF2Flux7.txt</t>
  </si>
  <si>
    <t>./080615_LDF2Flux9.txt</t>
  </si>
  <si>
    <t>./080615_LDR3Flux11.txt</t>
  </si>
  <si>
    <t>./080615_LDR3Flux3.txt</t>
  </si>
  <si>
    <t>./080615_LDR3Flux5.txt</t>
  </si>
  <si>
    <t>./080615_LDR3Flux7.txt</t>
  </si>
  <si>
    <t>./080615_LDR3Flux9.txt</t>
  </si>
  <si>
    <t>./080615_MDF1Flux3.txt</t>
  </si>
  <si>
    <t>./080615_MDF1Flux9.txt</t>
  </si>
  <si>
    <t>./081115_LBRFlux12.txt</t>
  </si>
  <si>
    <t>./081115_LBRFlux8.txt</t>
  </si>
  <si>
    <t>./081115_LBRFlux9.txt</t>
  </si>
  <si>
    <t>./081115_LDF2_2Flux3.txt</t>
  </si>
  <si>
    <t>./081115_LDF2Flux3.txt</t>
  </si>
  <si>
    <t>./081315_DAV14.txt</t>
  </si>
  <si>
    <t>./081315_DAV17.txt</t>
  </si>
  <si>
    <t>./081315_DAV24.txt</t>
  </si>
  <si>
    <t>./081315_DAV25.txt</t>
  </si>
  <si>
    <t>./081315_DAV7.txt</t>
  </si>
  <si>
    <t>./081315_DAV8.txt</t>
  </si>
  <si>
    <t>./081315_HDF19.txt</t>
  </si>
  <si>
    <t>./081315_MDF11.txt</t>
  </si>
  <si>
    <t>./081315_MDF111.txt</t>
  </si>
  <si>
    <t>./081315_MDF113.txt</t>
  </si>
  <si>
    <t>./081315_MDF115.txt</t>
  </si>
  <si>
    <t>./081315_MDF117.txt</t>
  </si>
  <si>
    <t>./081315_MDF118.txt</t>
  </si>
  <si>
    <t>./081315_MDF119.txt</t>
  </si>
  <si>
    <t>./081315_MDF121.txt</t>
  </si>
  <si>
    <t>./081315_MDF13.txt</t>
  </si>
  <si>
    <t>./081315_MDF15.txt</t>
  </si>
  <si>
    <t>./081315_MDF17.txt</t>
  </si>
  <si>
    <t>./081315_MDF19.txt</t>
  </si>
  <si>
    <t>./081315_MDF411.txt</t>
  </si>
  <si>
    <t>./081315_MDF412.txt</t>
  </si>
  <si>
    <t>./081315_MDF43.txt</t>
  </si>
  <si>
    <t>./081315_MDF45.txt</t>
  </si>
  <si>
    <t>./081315_MDF47.txt</t>
  </si>
  <si>
    <t>./081915_DAV1.txt</t>
  </si>
  <si>
    <t>./081915_DAV11.txt</t>
  </si>
  <si>
    <t>./081915_DAV3.txt</t>
  </si>
  <si>
    <t>./081915_DAV5.txt</t>
  </si>
  <si>
    <t>./081915_DAV6.txt</t>
  </si>
  <si>
    <t>./081915_DAV7.txt</t>
  </si>
  <si>
    <t>./081915_HDF11.txt</t>
  </si>
  <si>
    <t>./081915_HDF110.txt</t>
  </si>
  <si>
    <t>./081915_HDF111.txt</t>
  </si>
  <si>
    <t>./081915_HDF112.txt</t>
  </si>
  <si>
    <t>./081915_HDF12.txt</t>
  </si>
  <si>
    <t>./081915_HDF15.txt</t>
  </si>
  <si>
    <t>./081915_HDF17.txt</t>
  </si>
  <si>
    <t>./081915_HDF18.txt</t>
  </si>
  <si>
    <t>./081915_HDF19.txt</t>
  </si>
  <si>
    <t>./081915_HDR_23.txt</t>
  </si>
  <si>
    <t>./081915_HDR_25.txt</t>
  </si>
  <si>
    <t>./081915_HDR_31.txt</t>
  </si>
  <si>
    <t>./081915_HDR_32.txt</t>
  </si>
  <si>
    <t>./081915_HDR_33.txt</t>
  </si>
  <si>
    <t>./081915_HDR1.txt</t>
  </si>
  <si>
    <t>./081915_LBR5.txt</t>
  </si>
  <si>
    <t>./081915_LBR7.txt</t>
  </si>
  <si>
    <t>./081915_LBR9.txt</t>
  </si>
  <si>
    <t>./081915_MDF41.txt</t>
  </si>
  <si>
    <t>./081915_MDF410.txt</t>
  </si>
  <si>
    <t>./081915_MDF411.txt</t>
  </si>
  <si>
    <t>./081915_MDF412.txt</t>
  </si>
  <si>
    <t>./081915_MDF43.txt</t>
  </si>
  <si>
    <t>./081915_MDF45.txt</t>
  </si>
  <si>
    <t>./081915_MDF47.txt</t>
  </si>
  <si>
    <t>./081915_MDF49.txt</t>
  </si>
  <si>
    <t>./082415_DAV6.txt</t>
  </si>
  <si>
    <t>./082415_HDF10.txt</t>
  </si>
  <si>
    <t>./082415_HDF11.txt</t>
  </si>
  <si>
    <t>./082415_HDF12.txt</t>
  </si>
  <si>
    <t>./082415_HDF3.txt</t>
  </si>
  <si>
    <t>./082415_HDF4.txt</t>
  </si>
  <si>
    <t>./082415_HDF5.txt</t>
  </si>
  <si>
    <t>./082415_HDF7.txt</t>
  </si>
  <si>
    <t>./082415_HDF8.txt</t>
  </si>
  <si>
    <t>./082415_HDF9.txt</t>
  </si>
  <si>
    <t>./082415_HDR1.txt</t>
  </si>
  <si>
    <t>./082415_HDR5.txt</t>
  </si>
  <si>
    <t>./082415_HDR6.txt</t>
  </si>
  <si>
    <t>./082415_HDR7.txt</t>
  </si>
  <si>
    <t>./082415_HDR9.txt</t>
  </si>
  <si>
    <t>./082415_LBR1.txt</t>
  </si>
  <si>
    <t>./082415_LBR10.txt</t>
  </si>
  <si>
    <t>./082415_LBR11.txt</t>
  </si>
  <si>
    <t>./082415_LBR5.txt</t>
  </si>
  <si>
    <t>./082415_LBR7.txt</t>
  </si>
  <si>
    <t>./082415_LBR9.txt</t>
  </si>
  <si>
    <t>./082415_LDF21.txt</t>
  </si>
  <si>
    <t>./082415_LDF211.txt</t>
  </si>
  <si>
    <t>./082415_LDF23.txt</t>
  </si>
  <si>
    <t>./082415_LDF25.txt</t>
  </si>
  <si>
    <t>./082415_LDF27.txt</t>
  </si>
  <si>
    <t>./082415_LDF29.txt</t>
  </si>
  <si>
    <t>./082415_LDF33.txt</t>
  </si>
  <si>
    <t>./082415_LDF35.txt</t>
  </si>
  <si>
    <t>./082415_LDF37.txt</t>
  </si>
  <si>
    <t>./082415_LDF39.txt</t>
  </si>
  <si>
    <t>./082415_MDF111.txt</t>
  </si>
  <si>
    <t>./082415_MDF112.txt</t>
  </si>
  <si>
    <t>./082415_MDF13.txt</t>
  </si>
  <si>
    <t>./082415_MDF15.txt</t>
  </si>
  <si>
    <t>./082415_MDF19.txt</t>
  </si>
  <si>
    <t>./082415_MDF210.txt</t>
  </si>
  <si>
    <t>./082415_MDF211.txt</t>
  </si>
  <si>
    <t>./082415_MDF23.txt</t>
  </si>
  <si>
    <t>./082415_MDF24.txt</t>
  </si>
  <si>
    <t>./082415_MDF27.txt</t>
  </si>
  <si>
    <t>./082415_MDF29.txt</t>
  </si>
  <si>
    <t>./082415_MDF411.txt</t>
  </si>
  <si>
    <t>./082415_MDF412.txt</t>
  </si>
  <si>
    <t>./082415_MDF45.txt</t>
  </si>
  <si>
    <t>./082415_MDF47.txt</t>
  </si>
  <si>
    <t>./082415_MDF49.txt</t>
  </si>
  <si>
    <t>./082515_LDR33.txt</t>
  </si>
  <si>
    <t>./082515_LDR34.txt</t>
  </si>
  <si>
    <t>./082515_LDR35.txt</t>
  </si>
  <si>
    <t>./082515_LDR37.txt</t>
  </si>
  <si>
    <t>./090215_LDF211.txt</t>
  </si>
  <si>
    <t>./090215_LDF212.txt</t>
  </si>
  <si>
    <t>./090215_LDF23.txt</t>
  </si>
  <si>
    <t>./090215_LDF24.txt</t>
  </si>
  <si>
    <t>./090215_LDF25.txt</t>
  </si>
  <si>
    <t>./090215_LDF27.txt</t>
  </si>
  <si>
    <t>./090215_LDF28.txt</t>
  </si>
  <si>
    <t>./090215_LDF29.txt</t>
  </si>
  <si>
    <t>./090215_LDR35.txt</t>
  </si>
  <si>
    <t>./090215_LDR37.txt</t>
  </si>
  <si>
    <t>./090215_MDF11.txt</t>
  </si>
  <si>
    <t>./090215_MDF110.txt</t>
  </si>
  <si>
    <t>./090215_MDF111.txt</t>
  </si>
  <si>
    <t>./090215_MDF14.txt</t>
  </si>
  <si>
    <t>./090215_MDF15.txt</t>
  </si>
  <si>
    <t>./090215_MDF17.txt</t>
  </si>
  <si>
    <t>./090215_MDF19.txt</t>
  </si>
  <si>
    <t>./090215_MDF210.txt</t>
  </si>
  <si>
    <t>./090215_MDF211.txt</t>
  </si>
  <si>
    <t>./090215_MDF23.txt</t>
  </si>
  <si>
    <t>./090215_MDF26.txt</t>
  </si>
  <si>
    <t>./090215_MDF27.txt</t>
  </si>
  <si>
    <t>./090215_MDF28.txt</t>
  </si>
  <si>
    <t>./090215_MDF29.txt</t>
  </si>
  <si>
    <t>./090315_LBRFlux11.txt</t>
  </si>
  <si>
    <t>./090315_LBRFlux5.txt</t>
  </si>
  <si>
    <t>./090315_LBRFlux9.txt</t>
  </si>
  <si>
    <t>./090315_LDF3Flux11.txt</t>
  </si>
  <si>
    <t>./090315_LDF3Flux3.txt</t>
  </si>
  <si>
    <t>./090315_LDF3Flux5.txt</t>
  </si>
  <si>
    <t>./090315_LDF3Flux9.txt</t>
  </si>
  <si>
    <t>h1L_071516</t>
  </si>
  <si>
    <t>h1D_071516</t>
  </si>
  <si>
    <t>h1L_072016</t>
  </si>
  <si>
    <t>h1D_072016</t>
  </si>
  <si>
    <t>h1L_072316</t>
  </si>
  <si>
    <t>h1D_072316</t>
  </si>
  <si>
    <t>h2L_071516</t>
  </si>
  <si>
    <t>h2D_071516</t>
  </si>
  <si>
    <t>h2L_072016</t>
  </si>
  <si>
    <t>h2D_072016</t>
  </si>
  <si>
    <t>h2L_072316</t>
  </si>
  <si>
    <t>h2D_072316</t>
  </si>
  <si>
    <t>h3L_071516</t>
  </si>
  <si>
    <t>h3D_071516</t>
  </si>
  <si>
    <t>h3L_072016</t>
  </si>
  <si>
    <t>h3D_072016</t>
  </si>
  <si>
    <t>h3L_072316</t>
  </si>
  <si>
    <t>h3D_072316</t>
  </si>
  <si>
    <t>h4L_071516</t>
  </si>
  <si>
    <t>h4D_071516</t>
  </si>
  <si>
    <t>h4L_072016</t>
  </si>
  <si>
    <t>h4D_072016</t>
  </si>
  <si>
    <t>h4L_072016_2</t>
  </si>
  <si>
    <t>h4D_072016_2</t>
  </si>
  <si>
    <t>h4L_072316</t>
  </si>
  <si>
    <t>h4D_072316</t>
  </si>
  <si>
    <t>h5L_071516</t>
  </si>
  <si>
    <t>h5D_071516</t>
  </si>
  <si>
    <t>h5L_072016</t>
  </si>
  <si>
    <t>h5D_072016</t>
  </si>
  <si>
    <t>h5L_072016_2</t>
  </si>
  <si>
    <t>h5D_072016_2</t>
  </si>
  <si>
    <t>h5L_072316</t>
  </si>
  <si>
    <t>h5D_072316</t>
  </si>
  <si>
    <t>h6L_071516</t>
  </si>
  <si>
    <t>h6D_071516</t>
  </si>
  <si>
    <t>h6L_072016</t>
  </si>
  <si>
    <t>h6D_072016</t>
  </si>
  <si>
    <t>h6L_072016_2</t>
  </si>
  <si>
    <t>h6D_072016_2</t>
  </si>
  <si>
    <t>h6L_072316</t>
  </si>
  <si>
    <t>h6D_072316</t>
  </si>
  <si>
    <t>l1L_071616</t>
  </si>
  <si>
    <t>l1D_071616</t>
  </si>
  <si>
    <t>l1L_072216</t>
  </si>
  <si>
    <t>l1D_072216</t>
  </si>
  <si>
    <t>l1L_072316</t>
  </si>
  <si>
    <t>l1D_072316</t>
  </si>
  <si>
    <t>l2L_071616</t>
  </si>
  <si>
    <t>l2D_071616</t>
  </si>
  <si>
    <t>l2L_072216</t>
  </si>
  <si>
    <t>l2D_072216</t>
  </si>
  <si>
    <t>l2L_072316</t>
  </si>
  <si>
    <t>l2D_072316</t>
  </si>
  <si>
    <t>l3L_071616</t>
  </si>
  <si>
    <t>l3D_071616</t>
  </si>
  <si>
    <t>l3L_072216</t>
  </si>
  <si>
    <t>l3D_072216</t>
  </si>
  <si>
    <t>l3L_072316</t>
  </si>
  <si>
    <t>l3D_072316</t>
  </si>
  <si>
    <t>l4L_071616</t>
  </si>
  <si>
    <t>l4D_071616</t>
  </si>
  <si>
    <t>l4L_072316</t>
  </si>
  <si>
    <t>l4D_072316</t>
  </si>
  <si>
    <t>l5L_071616</t>
  </si>
  <si>
    <t>l5D_071616</t>
  </si>
  <si>
    <t>l5L_072316</t>
  </si>
  <si>
    <t>l5D_072316</t>
  </si>
  <si>
    <t>l6L_071616</t>
  </si>
  <si>
    <t>l6D_071616</t>
  </si>
  <si>
    <t>l6L_072316</t>
  </si>
  <si>
    <t>l6D_072316</t>
  </si>
  <si>
    <t>h (high density) or l (low density) +  "plot number" +  "L (light flux) or D (dark flux)" +  "_"   +  "date"</t>
  </si>
  <si>
    <t>slope of co2 flux</t>
  </si>
  <si>
    <t>slope of h2o flux</t>
  </si>
  <si>
    <t>standard deviation of co2 slope</t>
  </si>
  <si>
    <t>standard deviation of h2o slope</t>
  </si>
  <si>
    <t>r squared of co2 slope</t>
  </si>
  <si>
    <t>r squared of h2o slope</t>
  </si>
  <si>
    <t>atmospheric pressure in kPa</t>
  </si>
  <si>
    <t>data from met station</t>
  </si>
  <si>
    <t xml:space="preserve">atmospheric pressure in mb </t>
  </si>
  <si>
    <t>calculated in sheet</t>
  </si>
  <si>
    <t>air temperature in celcius</t>
  </si>
  <si>
    <t>air temperature in kelvin</t>
  </si>
  <si>
    <t>chamber volume</t>
  </si>
  <si>
    <t>chamber area</t>
  </si>
  <si>
    <t>co2 flux in microliters</t>
  </si>
  <si>
    <t>h2o flux in microliters</t>
  </si>
  <si>
    <t>co2 flux in micromoles</t>
  </si>
  <si>
    <t>h2o flux in micromoles</t>
  </si>
  <si>
    <t>rh</t>
  </si>
  <si>
    <t>relative humidity</t>
  </si>
  <si>
    <t xml:space="preserve">photosynethically active radiation </t>
  </si>
  <si>
    <t xml:space="preserve">soil temperature in celcius </t>
  </si>
  <si>
    <t xml:space="preserve">soil moisture </t>
  </si>
  <si>
    <t>thaw depth in centimeters</t>
  </si>
  <si>
    <t>high, medium, or low</t>
  </si>
  <si>
    <t xml:space="preserve">time of flux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</si>
</sst>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177800</xdr:colOff>
      <xdr:row>398</xdr:row>
      <xdr:rowOff>172508</xdr:rowOff>
    </xdr:from>
    <xdr:ext cx="65" cy="172227"/>
    <xdr:sp macro="" textlink="">
      <xdr:nvSpPr>
        <xdr:cNvPr id="2" name="TextBox 1"/>
        <xdr:cNvSpPr txBox="1"/>
      </xdr:nvSpPr>
      <xdr:spPr>
        <a:xfrm>
          <a:off x="14779625" y="379200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2"/>
  <sheetViews>
    <sheetView tabSelected="1" topLeftCell="A364" workbookViewId="0">
      <selection activeCell="A384" sqref="A384"/>
    </sheetView>
  </sheetViews>
  <sheetFormatPr defaultRowHeight="15" x14ac:dyDescent="0.25"/>
  <cols>
    <col min="1" max="1" width="25.7109375" bestFit="1" customWidth="1"/>
    <col min="2" max="2" width="11.5703125" style="1" customWidth="1"/>
    <col min="23" max="23" width="11.28515625" bestFit="1" customWidth="1"/>
    <col min="24" max="24" width="11.5703125" style="1" bestFit="1" customWidth="1"/>
  </cols>
  <sheetData>
    <row r="1" spans="1:24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23</v>
      </c>
    </row>
    <row r="2" spans="1:24" x14ac:dyDescent="0.25">
      <c r="A2" t="s">
        <v>24</v>
      </c>
      <c r="B2" s="1" t="s">
        <v>25</v>
      </c>
      <c r="C2">
        <v>-0.11529922099999999</v>
      </c>
      <c r="D2">
        <v>0.25492102300000002</v>
      </c>
      <c r="E2">
        <v>0.22064445299999999</v>
      </c>
      <c r="F2">
        <v>8.5871351999999998E-2</v>
      </c>
      <c r="G2">
        <v>0.75451758099999999</v>
      </c>
      <c r="H2">
        <v>0.99001962499999996</v>
      </c>
      <c r="I2">
        <v>99.9</v>
      </c>
      <c r="J2">
        <f t="shared" ref="J2:J65" si="0">I2/100</f>
        <v>0.99900000000000011</v>
      </c>
      <c r="K2">
        <f>AVERAGE(18.6,21.6)</f>
        <v>20.100000000000001</v>
      </c>
      <c r="L2">
        <f t="shared" ref="L2:L65" si="1">K2+273.15</f>
        <v>293.25</v>
      </c>
      <c r="M2">
        <v>125</v>
      </c>
      <c r="N2">
        <v>0.25</v>
      </c>
      <c r="O2" s="2">
        <f>C2*M2/N2</f>
        <v>-57.649610499999994</v>
      </c>
      <c r="P2">
        <f>D2*M2/N2</f>
        <v>127.46051150000001</v>
      </c>
      <c r="Q2">
        <f>(O2*J2)/(0.08206*L2)</f>
        <v>-2.3932735010188417</v>
      </c>
      <c r="R2">
        <f>(P2*J2)/(0.08206*L2)*1000</f>
        <v>5291.4124129122674</v>
      </c>
      <c r="S2">
        <v>1.1938849934959999</v>
      </c>
      <c r="T2">
        <f>AVERAGE(928.3,1281.7)</f>
        <v>1105</v>
      </c>
      <c r="X2" s="1">
        <v>0.52885416666666674</v>
      </c>
    </row>
    <row r="3" spans="1:24" x14ac:dyDescent="0.25">
      <c r="A3" t="s">
        <v>26</v>
      </c>
      <c r="B3" s="1" t="s">
        <v>25</v>
      </c>
      <c r="C3">
        <v>0.19357508300000001</v>
      </c>
      <c r="D3">
        <v>3.4440488999999998E-2</v>
      </c>
      <c r="E3">
        <v>0.20321356300000001</v>
      </c>
      <c r="F3">
        <v>2.1838836E-2</v>
      </c>
      <c r="G3">
        <v>0.91082199799999997</v>
      </c>
      <c r="H3">
        <v>0.96550986999999999</v>
      </c>
      <c r="I3">
        <v>99.9</v>
      </c>
      <c r="J3">
        <f t="shared" si="0"/>
        <v>0.99900000000000011</v>
      </c>
      <c r="K3">
        <v>17.3</v>
      </c>
      <c r="L3">
        <f t="shared" si="1"/>
        <v>290.45</v>
      </c>
      <c r="M3">
        <v>125</v>
      </c>
      <c r="N3">
        <v>0.25</v>
      </c>
      <c r="O3" s="2">
        <f t="shared" ref="O3:O66" si="2">C3*M3/N3</f>
        <v>96.787541500000003</v>
      </c>
      <c r="P3">
        <f t="shared" ref="P3:P66" si="3">D3*M3/N3</f>
        <v>17.2202445</v>
      </c>
      <c r="Q3">
        <f t="shared" ref="Q3:Q66" si="4">(O3*J3)/(0.08206*L3)</f>
        <v>4.0567855747930297</v>
      </c>
      <c r="R3">
        <f t="shared" ref="R3:R66" si="5">(P3*J3)/(0.08206*L3)*1000</f>
        <v>721.77512104705124</v>
      </c>
      <c r="S3">
        <v>0.86027359459675923</v>
      </c>
      <c r="T3">
        <v>168.5</v>
      </c>
      <c r="X3" s="1">
        <v>0.43690972222222224</v>
      </c>
    </row>
    <row r="4" spans="1:24" x14ac:dyDescent="0.25">
      <c r="A4" t="s">
        <v>27</v>
      </c>
      <c r="B4" s="1" t="s">
        <v>25</v>
      </c>
      <c r="C4">
        <v>4.126808E-3</v>
      </c>
      <c r="D4">
        <v>3.7234705E-2</v>
      </c>
      <c r="E4">
        <v>0.30798799500000001</v>
      </c>
      <c r="F4">
        <v>2.4693145E-2</v>
      </c>
      <c r="G4">
        <v>2.0168159999999998E-3</v>
      </c>
      <c r="H4">
        <v>0.96239646000000001</v>
      </c>
      <c r="I4">
        <v>99.9</v>
      </c>
      <c r="J4">
        <f t="shared" si="0"/>
        <v>0.99900000000000011</v>
      </c>
      <c r="K4">
        <v>17.3</v>
      </c>
      <c r="L4">
        <f t="shared" si="1"/>
        <v>290.45</v>
      </c>
      <c r="M4">
        <v>125</v>
      </c>
      <c r="N4">
        <v>0.25</v>
      </c>
      <c r="O4" s="2">
        <f t="shared" si="2"/>
        <v>2.0634040000000002</v>
      </c>
      <c r="P4">
        <f t="shared" si="3"/>
        <v>18.617352499999999</v>
      </c>
      <c r="Q4">
        <f t="shared" si="4"/>
        <v>8.6486209407129491E-2</v>
      </c>
      <c r="R4">
        <f t="shared" si="5"/>
        <v>780.33397576109462</v>
      </c>
      <c r="S4">
        <v>0.86027359459675923</v>
      </c>
      <c r="T4">
        <v>168.5</v>
      </c>
      <c r="X4" s="1">
        <v>0.43987268518518513</v>
      </c>
    </row>
    <row r="5" spans="1:24" x14ac:dyDescent="0.25">
      <c r="A5" t="s">
        <v>28</v>
      </c>
      <c r="B5" s="1" t="s">
        <v>25</v>
      </c>
      <c r="C5">
        <v>0.19008898799999999</v>
      </c>
      <c r="D5">
        <v>1.9806451999999999E-2</v>
      </c>
      <c r="E5">
        <v>0.33800730400000001</v>
      </c>
      <c r="F5">
        <v>2.3706194E-2</v>
      </c>
      <c r="G5">
        <v>0.78069938699999997</v>
      </c>
      <c r="H5">
        <v>0.88709845099999995</v>
      </c>
      <c r="I5">
        <v>99.9</v>
      </c>
      <c r="J5">
        <f t="shared" si="0"/>
        <v>0.99900000000000011</v>
      </c>
      <c r="K5">
        <v>17.3</v>
      </c>
      <c r="L5">
        <f t="shared" si="1"/>
        <v>290.45</v>
      </c>
      <c r="M5">
        <v>125</v>
      </c>
      <c r="N5">
        <v>0.25</v>
      </c>
      <c r="O5" s="2">
        <f t="shared" si="2"/>
        <v>95.044494</v>
      </c>
      <c r="P5">
        <f t="shared" si="3"/>
        <v>9.9032260000000001</v>
      </c>
      <c r="Q5">
        <f t="shared" si="4"/>
        <v>3.9837268954982457</v>
      </c>
      <c r="R5">
        <f t="shared" si="5"/>
        <v>415.08714611492917</v>
      </c>
      <c r="S5">
        <v>0.86027359459675923</v>
      </c>
      <c r="T5">
        <v>168.5</v>
      </c>
      <c r="X5" s="1">
        <v>0.44193287037037038</v>
      </c>
    </row>
    <row r="6" spans="1:24" x14ac:dyDescent="0.25">
      <c r="A6" t="s">
        <v>29</v>
      </c>
      <c r="B6" s="1" t="s">
        <v>25</v>
      </c>
      <c r="C6">
        <v>4.9392658999999998E-2</v>
      </c>
      <c r="D6">
        <v>5.2444939000000003E-2</v>
      </c>
      <c r="E6">
        <v>0.37232458099999999</v>
      </c>
      <c r="F6">
        <v>2.6107969000000002E-2</v>
      </c>
      <c r="G6">
        <v>0.165338507</v>
      </c>
      <c r="H6">
        <v>0.97845737200000005</v>
      </c>
      <c r="I6">
        <v>99.9</v>
      </c>
      <c r="J6">
        <f t="shared" si="0"/>
        <v>0.99900000000000011</v>
      </c>
      <c r="K6">
        <v>17.3</v>
      </c>
      <c r="L6">
        <f t="shared" si="1"/>
        <v>290.45</v>
      </c>
      <c r="M6">
        <v>125</v>
      </c>
      <c r="N6">
        <v>0.25</v>
      </c>
      <c r="O6" s="2">
        <f t="shared" si="2"/>
        <v>24.696329500000001</v>
      </c>
      <c r="P6">
        <f t="shared" si="3"/>
        <v>26.222469500000003</v>
      </c>
      <c r="Q6">
        <f t="shared" si="4"/>
        <v>1.0351302627718419</v>
      </c>
      <c r="R6">
        <f t="shared" si="5"/>
        <v>1099.0974081416271</v>
      </c>
      <c r="S6">
        <v>0.86027359459675923</v>
      </c>
      <c r="T6">
        <v>168.5</v>
      </c>
      <c r="X6" s="1">
        <v>0.4443171296296296</v>
      </c>
    </row>
    <row r="7" spans="1:24" x14ac:dyDescent="0.25">
      <c r="A7" t="s">
        <v>30</v>
      </c>
      <c r="B7" s="1" t="s">
        <v>25</v>
      </c>
      <c r="C7">
        <v>0.217577308</v>
      </c>
      <c r="D7">
        <v>3.2447164000000001E-2</v>
      </c>
      <c r="E7">
        <v>0.256094985</v>
      </c>
      <c r="F7">
        <v>2.0242894000000001E-2</v>
      </c>
      <c r="G7">
        <v>0.89040734799999999</v>
      </c>
      <c r="H7">
        <v>0.96657696199999998</v>
      </c>
      <c r="I7">
        <v>99.9</v>
      </c>
      <c r="J7">
        <f t="shared" si="0"/>
        <v>0.99900000000000011</v>
      </c>
      <c r="K7">
        <f>AVERAGE(17.3,17.2)</f>
        <v>17.25</v>
      </c>
      <c r="L7">
        <f t="shared" si="1"/>
        <v>290.39999999999998</v>
      </c>
      <c r="M7">
        <v>125</v>
      </c>
      <c r="N7">
        <v>0.25</v>
      </c>
      <c r="O7" s="2">
        <f t="shared" si="2"/>
        <v>108.78865399999999</v>
      </c>
      <c r="P7">
        <f t="shared" si="3"/>
        <v>16.223582</v>
      </c>
      <c r="Q7">
        <f t="shared" si="4"/>
        <v>4.5605893316823209</v>
      </c>
      <c r="R7">
        <f t="shared" si="5"/>
        <v>680.1177537399567</v>
      </c>
      <c r="S7">
        <v>0.84884597841104026</v>
      </c>
      <c r="T7">
        <f>AVERAGE(168.5,183.1)</f>
        <v>175.8</v>
      </c>
      <c r="X7" s="1">
        <v>0.4458449074074074</v>
      </c>
    </row>
    <row r="8" spans="1:24" x14ac:dyDescent="0.25">
      <c r="A8" t="s">
        <v>31</v>
      </c>
      <c r="B8" s="1" t="s">
        <v>25</v>
      </c>
      <c r="C8">
        <v>2.5699665999999999E-2</v>
      </c>
      <c r="D8">
        <v>1.9228031E-2</v>
      </c>
      <c r="E8">
        <v>0.18359719099999999</v>
      </c>
      <c r="F8">
        <v>1.9115059E-2</v>
      </c>
      <c r="G8">
        <v>0.180696575</v>
      </c>
      <c r="H8">
        <v>0.91928579499999996</v>
      </c>
      <c r="I8">
        <v>99.9</v>
      </c>
      <c r="J8">
        <f t="shared" si="0"/>
        <v>0.99900000000000011</v>
      </c>
      <c r="K8">
        <f>AVERAGE(17.3,17.2)</f>
        <v>17.25</v>
      </c>
      <c r="L8">
        <f t="shared" si="1"/>
        <v>290.39999999999998</v>
      </c>
      <c r="M8">
        <v>125</v>
      </c>
      <c r="N8">
        <v>0.25</v>
      </c>
      <c r="O8" s="2">
        <f t="shared" si="2"/>
        <v>12.849833</v>
      </c>
      <c r="P8">
        <f t="shared" si="3"/>
        <v>9.6140154999999989</v>
      </c>
      <c r="Q8">
        <f t="shared" si="4"/>
        <v>0.53868495600377075</v>
      </c>
      <c r="R8">
        <f t="shared" si="5"/>
        <v>403.03446096436198</v>
      </c>
      <c r="S8">
        <v>0.84884597841104026</v>
      </c>
      <c r="T8">
        <f>AVERAGE(168.5,183.1)</f>
        <v>175.8</v>
      </c>
      <c r="X8" s="1">
        <v>0.44898148148148148</v>
      </c>
    </row>
    <row r="9" spans="1:24" x14ac:dyDescent="0.25">
      <c r="A9" t="s">
        <v>32</v>
      </c>
      <c r="B9" s="1" t="s">
        <v>25</v>
      </c>
      <c r="C9">
        <v>-1.1942158E-2</v>
      </c>
      <c r="D9">
        <v>1.3908788E-2</v>
      </c>
      <c r="E9">
        <v>0.23419053300000001</v>
      </c>
      <c r="F9">
        <v>1.9825089000000001E-2</v>
      </c>
      <c r="G9">
        <v>2.843677E-2</v>
      </c>
      <c r="H9">
        <v>0.847100984</v>
      </c>
      <c r="I9">
        <v>99.9</v>
      </c>
      <c r="J9">
        <f t="shared" si="0"/>
        <v>0.99900000000000011</v>
      </c>
      <c r="K9">
        <v>17.2</v>
      </c>
      <c r="L9">
        <f t="shared" si="1"/>
        <v>290.34999999999997</v>
      </c>
      <c r="M9">
        <v>125</v>
      </c>
      <c r="N9">
        <v>0.25</v>
      </c>
      <c r="O9" s="2">
        <f t="shared" si="2"/>
        <v>-5.9710789999999996</v>
      </c>
      <c r="P9">
        <f t="shared" si="3"/>
        <v>6.9543939999999997</v>
      </c>
      <c r="Q9">
        <f t="shared" si="4"/>
        <v>-0.25036001122465557</v>
      </c>
      <c r="R9">
        <f t="shared" si="5"/>
        <v>291.58920186798355</v>
      </c>
      <c r="S9">
        <v>0.83748092918988415</v>
      </c>
      <c r="T9">
        <v>183.1</v>
      </c>
      <c r="X9" s="1">
        <v>0.45430555555555557</v>
      </c>
    </row>
    <row r="10" spans="1:24" x14ac:dyDescent="0.25">
      <c r="A10" t="s">
        <v>33</v>
      </c>
      <c r="B10" s="1" t="s">
        <v>25</v>
      </c>
      <c r="C10">
        <v>-1.3295150170000001</v>
      </c>
      <c r="D10">
        <v>0.108040044</v>
      </c>
      <c r="E10">
        <v>2.2750411490000002</v>
      </c>
      <c r="F10">
        <v>6.3045205000000007E-2</v>
      </c>
      <c r="G10">
        <v>0.79356162600000002</v>
      </c>
      <c r="H10">
        <v>0.97063642400000005</v>
      </c>
      <c r="I10">
        <v>99.9</v>
      </c>
      <c r="J10">
        <f t="shared" si="0"/>
        <v>0.99900000000000011</v>
      </c>
      <c r="K10">
        <f>AVERAGE(16.9,18.6)</f>
        <v>17.75</v>
      </c>
      <c r="L10">
        <f t="shared" si="1"/>
        <v>290.89999999999998</v>
      </c>
      <c r="M10">
        <v>125</v>
      </c>
      <c r="N10">
        <v>0.25</v>
      </c>
      <c r="O10" s="2">
        <f t="shared" si="2"/>
        <v>-664.75750850000009</v>
      </c>
      <c r="P10">
        <f t="shared" si="3"/>
        <v>54.020021999999997</v>
      </c>
      <c r="Q10">
        <f t="shared" si="4"/>
        <v>-27.819768119073267</v>
      </c>
      <c r="R10">
        <f t="shared" si="5"/>
        <v>2260.7108105003617</v>
      </c>
      <c r="S10">
        <v>0.92002731870881882</v>
      </c>
      <c r="T10">
        <f>AVERAGE(287.5,928.3)</f>
        <v>607.9</v>
      </c>
      <c r="X10" s="1">
        <v>0.51300925925925933</v>
      </c>
    </row>
    <row r="11" spans="1:24" x14ac:dyDescent="0.25">
      <c r="A11" t="s">
        <v>34</v>
      </c>
      <c r="B11" s="1" t="s">
        <v>25</v>
      </c>
      <c r="C11">
        <v>5.6727474999999999E-2</v>
      </c>
      <c r="D11">
        <v>1.0929922E-2</v>
      </c>
      <c r="E11">
        <v>0.271237428</v>
      </c>
      <c r="F11">
        <v>1.3247768E-2</v>
      </c>
      <c r="G11">
        <v>0.32991385600000001</v>
      </c>
      <c r="H11">
        <v>0.88455058900000005</v>
      </c>
      <c r="I11">
        <v>99.9</v>
      </c>
      <c r="J11">
        <f t="shared" si="0"/>
        <v>0.99900000000000011</v>
      </c>
      <c r="K11">
        <v>18.600000000000001</v>
      </c>
      <c r="L11">
        <f t="shared" si="1"/>
        <v>291.75</v>
      </c>
      <c r="M11">
        <v>125</v>
      </c>
      <c r="N11">
        <v>0.25</v>
      </c>
      <c r="O11" s="2">
        <f t="shared" si="2"/>
        <v>28.363737499999999</v>
      </c>
      <c r="P11">
        <f t="shared" si="3"/>
        <v>5.4649609999999997</v>
      </c>
      <c r="Q11">
        <f t="shared" si="4"/>
        <v>1.1835498870034906</v>
      </c>
      <c r="R11">
        <f t="shared" si="5"/>
        <v>228.03955134715525</v>
      </c>
      <c r="S11">
        <v>1.0157969520592889</v>
      </c>
      <c r="T11">
        <v>928.3</v>
      </c>
      <c r="X11" s="1">
        <v>0.5159259259259259</v>
      </c>
    </row>
    <row r="12" spans="1:24" x14ac:dyDescent="0.25">
      <c r="A12" t="s">
        <v>35</v>
      </c>
      <c r="B12" s="1" t="s">
        <v>25</v>
      </c>
      <c r="C12">
        <v>-0.24618465</v>
      </c>
      <c r="D12">
        <v>3.2587318999999997E-2</v>
      </c>
      <c r="E12">
        <v>0.206467391</v>
      </c>
      <c r="F12">
        <v>3.7128384E-2</v>
      </c>
      <c r="G12">
        <v>0.94118682899999995</v>
      </c>
      <c r="H12">
        <v>0.89659770100000002</v>
      </c>
      <c r="I12">
        <v>99.9</v>
      </c>
      <c r="J12">
        <f t="shared" si="0"/>
        <v>0.99900000000000011</v>
      </c>
      <c r="K12">
        <v>16.899999999999999</v>
      </c>
      <c r="L12">
        <f t="shared" si="1"/>
        <v>290.04999999999995</v>
      </c>
      <c r="M12">
        <v>125</v>
      </c>
      <c r="N12">
        <v>0.25</v>
      </c>
      <c r="O12" s="2">
        <f t="shared" si="2"/>
        <v>-123.092325</v>
      </c>
      <c r="P12">
        <f t="shared" si="3"/>
        <v>16.293659499999997</v>
      </c>
      <c r="Q12">
        <f t="shared" si="4"/>
        <v>-5.1664482144257882</v>
      </c>
      <c r="R12">
        <f t="shared" si="5"/>
        <v>683.87974660675854</v>
      </c>
      <c r="S12">
        <v>0.81035098882493783</v>
      </c>
      <c r="T12">
        <v>234.4</v>
      </c>
      <c r="X12" s="1">
        <v>0.48093750000000002</v>
      </c>
    </row>
    <row r="13" spans="1:24" x14ac:dyDescent="0.25">
      <c r="A13" t="s">
        <v>36</v>
      </c>
      <c r="B13" s="1" t="s">
        <v>25</v>
      </c>
      <c r="C13">
        <v>-1.4794216000000001E-2</v>
      </c>
      <c r="D13">
        <v>1.6358175999999999E-2</v>
      </c>
      <c r="E13">
        <v>0.38655290799999997</v>
      </c>
      <c r="F13">
        <v>1.0373914E-2</v>
      </c>
      <c r="G13">
        <v>1.6219831000000001E-2</v>
      </c>
      <c r="H13">
        <v>0.96550256800000001</v>
      </c>
      <c r="I13">
        <v>99.9</v>
      </c>
      <c r="J13">
        <f t="shared" si="0"/>
        <v>0.99900000000000011</v>
      </c>
      <c r="K13">
        <v>16.899999999999999</v>
      </c>
      <c r="L13">
        <f t="shared" si="1"/>
        <v>290.04999999999995</v>
      </c>
      <c r="M13">
        <v>125</v>
      </c>
      <c r="N13">
        <v>0.25</v>
      </c>
      <c r="O13" s="2">
        <f t="shared" si="2"/>
        <v>-7.3971080000000002</v>
      </c>
      <c r="P13">
        <f t="shared" si="3"/>
        <v>8.1790880000000001</v>
      </c>
      <c r="Q13">
        <f t="shared" si="4"/>
        <v>-0.3104724475592992</v>
      </c>
      <c r="R13">
        <f t="shared" si="5"/>
        <v>343.29382106667816</v>
      </c>
      <c r="S13">
        <v>0.81035098882493783</v>
      </c>
      <c r="T13">
        <v>234.4</v>
      </c>
      <c r="X13" s="1">
        <v>0.48585648148148147</v>
      </c>
    </row>
    <row r="14" spans="1:24" x14ac:dyDescent="0.25">
      <c r="A14" t="s">
        <v>37</v>
      </c>
      <c r="B14" s="1" t="s">
        <v>25</v>
      </c>
      <c r="C14">
        <v>6.1592881000000002E-2</v>
      </c>
      <c r="D14">
        <v>8.5479421999999999E-2</v>
      </c>
      <c r="E14">
        <v>0.249397648</v>
      </c>
      <c r="F14">
        <v>1.8380473000000001E-2</v>
      </c>
      <c r="G14">
        <v>0.40706605699999998</v>
      </c>
      <c r="H14">
        <v>0.99590901700000001</v>
      </c>
      <c r="I14">
        <v>99.9</v>
      </c>
      <c r="J14">
        <f t="shared" si="0"/>
        <v>0.99900000000000011</v>
      </c>
      <c r="K14">
        <v>16.899999999999999</v>
      </c>
      <c r="L14">
        <f t="shared" si="1"/>
        <v>290.04999999999995</v>
      </c>
      <c r="M14">
        <v>125</v>
      </c>
      <c r="N14">
        <v>0.25</v>
      </c>
      <c r="O14" s="2">
        <f t="shared" si="2"/>
        <v>30.796440500000003</v>
      </c>
      <c r="P14">
        <f t="shared" si="3"/>
        <v>42.739711</v>
      </c>
      <c r="Q14">
        <f t="shared" si="4"/>
        <v>1.2925924913019153</v>
      </c>
      <c r="R14">
        <f t="shared" si="5"/>
        <v>1793.8771046937675</v>
      </c>
      <c r="S14">
        <v>0.83117776657511122</v>
      </c>
      <c r="T14">
        <v>287.5</v>
      </c>
      <c r="X14" s="1">
        <v>0.49641203703703707</v>
      </c>
    </row>
    <row r="15" spans="1:24" x14ac:dyDescent="0.25">
      <c r="A15" t="s">
        <v>38</v>
      </c>
      <c r="B15" s="1" t="s">
        <v>25</v>
      </c>
      <c r="C15">
        <v>-0.10061624</v>
      </c>
      <c r="D15">
        <v>0.115661846</v>
      </c>
      <c r="E15">
        <v>0.23370070000000001</v>
      </c>
      <c r="F15">
        <v>3.3619954000000001E-2</v>
      </c>
      <c r="G15">
        <v>0.67599833899999995</v>
      </c>
      <c r="H15">
        <v>0.99254952600000002</v>
      </c>
      <c r="I15">
        <v>99.9</v>
      </c>
      <c r="J15">
        <f t="shared" si="0"/>
        <v>0.99900000000000011</v>
      </c>
      <c r="K15">
        <v>16.899999999999999</v>
      </c>
      <c r="L15">
        <f t="shared" si="1"/>
        <v>290.04999999999995</v>
      </c>
      <c r="M15">
        <v>125</v>
      </c>
      <c r="N15">
        <v>0.25</v>
      </c>
      <c r="O15" s="2">
        <f t="shared" si="2"/>
        <v>-50.308119999999995</v>
      </c>
      <c r="P15">
        <f t="shared" si="3"/>
        <v>57.830922999999999</v>
      </c>
      <c r="Q15">
        <f t="shared" si="4"/>
        <v>-2.1115394216911434</v>
      </c>
      <c r="R15">
        <f t="shared" si="5"/>
        <v>2427.2875573025799</v>
      </c>
      <c r="S15">
        <v>0.83117776657511122</v>
      </c>
      <c r="T15">
        <v>287.5</v>
      </c>
      <c r="X15" s="1">
        <v>0.50130787037037039</v>
      </c>
    </row>
    <row r="16" spans="1:24" x14ac:dyDescent="0.25">
      <c r="A16" t="s">
        <v>39</v>
      </c>
      <c r="B16" s="1" t="s">
        <v>40</v>
      </c>
      <c r="C16">
        <v>4.7586206999999998E-2</v>
      </c>
      <c r="D16">
        <v>4.9121246E-2</v>
      </c>
      <c r="E16">
        <v>0.31676410799999999</v>
      </c>
      <c r="F16">
        <v>2.5720746999999999E-2</v>
      </c>
      <c r="G16">
        <v>0.202566256</v>
      </c>
      <c r="H16">
        <v>0.97622096199999997</v>
      </c>
      <c r="I16">
        <v>99.9</v>
      </c>
      <c r="J16">
        <f t="shared" si="0"/>
        <v>0.99900000000000011</v>
      </c>
      <c r="K16">
        <v>27.7</v>
      </c>
      <c r="L16">
        <f t="shared" si="1"/>
        <v>300.84999999999997</v>
      </c>
      <c r="M16">
        <v>125</v>
      </c>
      <c r="N16">
        <v>0.25</v>
      </c>
      <c r="O16" s="2">
        <f t="shared" si="2"/>
        <v>23.793103500000001</v>
      </c>
      <c r="P16">
        <f t="shared" si="3"/>
        <v>24.560623</v>
      </c>
      <c r="Q16">
        <f t="shared" si="4"/>
        <v>0.96279772088190652</v>
      </c>
      <c r="R16">
        <f t="shared" si="5"/>
        <v>993.85571318343295</v>
      </c>
      <c r="S16">
        <v>2.1159157652267142</v>
      </c>
      <c r="T16">
        <v>543.70000000000005</v>
      </c>
      <c r="X16" s="1">
        <v>0.56112268518518515</v>
      </c>
    </row>
    <row r="17" spans="1:24" x14ac:dyDescent="0.25">
      <c r="A17" t="s">
        <v>41</v>
      </c>
      <c r="B17" s="1" t="s">
        <v>40</v>
      </c>
      <c r="C17">
        <v>7.3130144999999994E-2</v>
      </c>
      <c r="D17">
        <v>0.105256952</v>
      </c>
      <c r="E17">
        <v>0.28403927000000001</v>
      </c>
      <c r="F17">
        <v>3.3908905000000003E-2</v>
      </c>
      <c r="G17">
        <v>0.42730711500000002</v>
      </c>
      <c r="H17">
        <v>0.99086396499999996</v>
      </c>
      <c r="I17">
        <v>99.9</v>
      </c>
      <c r="J17">
        <f t="shared" si="0"/>
        <v>0.99900000000000011</v>
      </c>
      <c r="K17">
        <v>27.7</v>
      </c>
      <c r="L17">
        <f t="shared" si="1"/>
        <v>300.84999999999997</v>
      </c>
      <c r="M17">
        <v>125</v>
      </c>
      <c r="N17">
        <v>0.25</v>
      </c>
      <c r="O17" s="2">
        <f t="shared" si="2"/>
        <v>36.565072499999999</v>
      </c>
      <c r="P17">
        <f t="shared" si="3"/>
        <v>52.628475999999999</v>
      </c>
      <c r="Q17">
        <f t="shared" si="4"/>
        <v>1.4796207004639674</v>
      </c>
      <c r="R17">
        <f t="shared" si="5"/>
        <v>2129.6329310839214</v>
      </c>
      <c r="S17">
        <v>2.1159157652267142</v>
      </c>
      <c r="T17">
        <v>543.70000000000005</v>
      </c>
      <c r="X17" s="1">
        <v>0.56633101851851853</v>
      </c>
    </row>
    <row r="18" spans="1:24" x14ac:dyDescent="0.25">
      <c r="A18" t="s">
        <v>42</v>
      </c>
      <c r="B18" s="1" t="s">
        <v>40</v>
      </c>
      <c r="C18">
        <v>0.22761290300000001</v>
      </c>
      <c r="D18">
        <v>1.8600667000000001E-2</v>
      </c>
      <c r="E18">
        <v>0.26561206999999998</v>
      </c>
      <c r="F18">
        <v>1.3957011E-2</v>
      </c>
      <c r="G18">
        <v>0.89207524000000005</v>
      </c>
      <c r="H18">
        <v>0.95236261499999997</v>
      </c>
      <c r="I18">
        <v>99.9</v>
      </c>
      <c r="J18">
        <f t="shared" si="0"/>
        <v>0.99900000000000011</v>
      </c>
      <c r="K18">
        <v>27.7</v>
      </c>
      <c r="L18">
        <f t="shared" si="1"/>
        <v>300.84999999999997</v>
      </c>
      <c r="M18">
        <v>125</v>
      </c>
      <c r="N18">
        <v>0.25</v>
      </c>
      <c r="O18" s="2">
        <f t="shared" si="2"/>
        <v>113.80645150000001</v>
      </c>
      <c r="P18">
        <f t="shared" si="3"/>
        <v>9.3003335000000007</v>
      </c>
      <c r="Q18">
        <f t="shared" si="4"/>
        <v>4.6052248764377142</v>
      </c>
      <c r="R18">
        <f t="shared" si="5"/>
        <v>376.34182094999272</v>
      </c>
      <c r="S18">
        <v>2.1159157652267142</v>
      </c>
      <c r="T18">
        <v>543.70000000000005</v>
      </c>
      <c r="X18" s="1">
        <v>0.56765046296296295</v>
      </c>
    </row>
    <row r="19" spans="1:24" x14ac:dyDescent="0.25">
      <c r="A19" t="s">
        <v>43</v>
      </c>
      <c r="B19" s="1" t="s">
        <v>40</v>
      </c>
      <c r="C19">
        <v>5.5757507999999997E-2</v>
      </c>
      <c r="D19">
        <v>0.12234260299999999</v>
      </c>
      <c r="E19">
        <v>0.24671036199999999</v>
      </c>
      <c r="F19">
        <v>3.5347737999999997E-2</v>
      </c>
      <c r="G19">
        <v>0.36505072399999999</v>
      </c>
      <c r="H19">
        <v>0.99263832500000004</v>
      </c>
      <c r="I19">
        <v>99.9</v>
      </c>
      <c r="J19">
        <f t="shared" si="0"/>
        <v>0.99900000000000011</v>
      </c>
      <c r="K19">
        <f>AVERAGE(27.7,23.1)</f>
        <v>25.4</v>
      </c>
      <c r="L19">
        <f t="shared" si="1"/>
        <v>298.54999999999995</v>
      </c>
      <c r="M19">
        <v>125</v>
      </c>
      <c r="N19">
        <v>0.25</v>
      </c>
      <c r="O19" s="2">
        <f t="shared" si="2"/>
        <v>27.878753999999997</v>
      </c>
      <c r="P19">
        <f t="shared" si="3"/>
        <v>61.171301499999998</v>
      </c>
      <c r="Q19">
        <f t="shared" si="4"/>
        <v>1.1368162156573414</v>
      </c>
      <c r="R19">
        <f t="shared" si="5"/>
        <v>2494.3915168541694</v>
      </c>
      <c r="S19">
        <v>1.8476491491738756</v>
      </c>
      <c r="T19">
        <f>AVERAGE(543.8,591.4)</f>
        <v>567.59999999999991</v>
      </c>
      <c r="X19" s="1">
        <v>0.57060185185185186</v>
      </c>
    </row>
    <row r="20" spans="1:24" x14ac:dyDescent="0.25">
      <c r="A20" t="s">
        <v>44</v>
      </c>
      <c r="B20" s="1" t="s">
        <v>40</v>
      </c>
      <c r="C20">
        <v>9.6351502000000006E-2</v>
      </c>
      <c r="D20">
        <v>0.10586651800000001</v>
      </c>
      <c r="E20">
        <v>0.53245203900000004</v>
      </c>
      <c r="F20">
        <v>4.9338867000000002E-2</v>
      </c>
      <c r="G20">
        <v>0.26931857100000001</v>
      </c>
      <c r="H20">
        <v>0.98106879300000005</v>
      </c>
      <c r="I20">
        <v>99.9</v>
      </c>
      <c r="J20">
        <f t="shared" si="0"/>
        <v>0.99900000000000011</v>
      </c>
      <c r="K20">
        <f>AVERAGE(27.7,23.1)</f>
        <v>25.4</v>
      </c>
      <c r="L20">
        <f t="shared" si="1"/>
        <v>298.54999999999995</v>
      </c>
      <c r="M20">
        <v>125</v>
      </c>
      <c r="N20">
        <v>0.25</v>
      </c>
      <c r="O20" s="2">
        <f t="shared" si="2"/>
        <v>48.175751000000005</v>
      </c>
      <c r="P20">
        <f t="shared" si="3"/>
        <v>52.933259000000007</v>
      </c>
      <c r="Q20">
        <f t="shared" si="4"/>
        <v>1.9644699665655927</v>
      </c>
      <c r="R20">
        <f t="shared" si="5"/>
        <v>2158.4675978987411</v>
      </c>
      <c r="S20">
        <v>1.8476491491738756</v>
      </c>
      <c r="T20">
        <f>AVERAGE(543.8,591.4)</f>
        <v>567.59999999999991</v>
      </c>
      <c r="X20" s="1">
        <v>0.57581018518518523</v>
      </c>
    </row>
    <row r="21" spans="1:24" x14ac:dyDescent="0.25">
      <c r="A21" t="s">
        <v>45</v>
      </c>
      <c r="B21" s="1" t="s">
        <v>40</v>
      </c>
      <c r="C21">
        <v>0.132625139</v>
      </c>
      <c r="D21">
        <v>9.2658510000000003E-3</v>
      </c>
      <c r="E21">
        <v>0.28930150999999998</v>
      </c>
      <c r="F21">
        <v>1.7024053000000001E-2</v>
      </c>
      <c r="G21">
        <v>0.70287194500000005</v>
      </c>
      <c r="H21">
        <v>0.76929133699999996</v>
      </c>
      <c r="I21">
        <v>99.9</v>
      </c>
      <c r="J21">
        <f t="shared" si="0"/>
        <v>0.99900000000000011</v>
      </c>
      <c r="K21">
        <v>23.1</v>
      </c>
      <c r="L21">
        <f t="shared" si="1"/>
        <v>296.25</v>
      </c>
      <c r="M21">
        <v>125</v>
      </c>
      <c r="N21">
        <v>0.25</v>
      </c>
      <c r="O21" s="2">
        <f t="shared" si="2"/>
        <v>66.312569499999995</v>
      </c>
      <c r="P21">
        <f t="shared" si="3"/>
        <v>4.6329254999999998</v>
      </c>
      <c r="Q21">
        <f t="shared" si="4"/>
        <v>2.7250311619469545</v>
      </c>
      <c r="R21">
        <f t="shared" si="5"/>
        <v>190.3842130333779</v>
      </c>
      <c r="S21">
        <v>1.6095879742896242</v>
      </c>
      <c r="T21">
        <v>591.4</v>
      </c>
      <c r="X21" s="1">
        <v>0.57716435185185189</v>
      </c>
    </row>
    <row r="22" spans="1:24" x14ac:dyDescent="0.25">
      <c r="A22" t="s">
        <v>46</v>
      </c>
      <c r="B22" s="1" t="s">
        <v>47</v>
      </c>
      <c r="C22">
        <v>9.8656284999999996E-2</v>
      </c>
      <c r="D22">
        <v>8.0658509000000003E-2</v>
      </c>
      <c r="E22">
        <v>0.32093534400000001</v>
      </c>
      <c r="F22">
        <v>8.4270411000000003E-2</v>
      </c>
      <c r="G22">
        <v>0.51542050900000003</v>
      </c>
      <c r="H22">
        <v>0.91159635500000002</v>
      </c>
      <c r="I22">
        <v>99.9</v>
      </c>
      <c r="J22">
        <f t="shared" si="0"/>
        <v>0.99900000000000011</v>
      </c>
      <c r="K22">
        <v>26.7</v>
      </c>
      <c r="L22">
        <f t="shared" si="1"/>
        <v>299.84999999999997</v>
      </c>
      <c r="M22">
        <v>125</v>
      </c>
      <c r="N22">
        <v>0.25</v>
      </c>
      <c r="O22" s="2">
        <f t="shared" si="2"/>
        <v>49.328142499999998</v>
      </c>
      <c r="P22">
        <f t="shared" si="3"/>
        <v>40.329254500000005</v>
      </c>
      <c r="Q22">
        <f t="shared" si="4"/>
        <v>2.002740518748285</v>
      </c>
      <c r="R22">
        <f t="shared" si="5"/>
        <v>1637.3823944021738</v>
      </c>
      <c r="S22">
        <v>2.4020245580220632</v>
      </c>
      <c r="T22">
        <v>230.2</v>
      </c>
      <c r="X22" s="1">
        <v>0.54251157407407413</v>
      </c>
    </row>
    <row r="23" spans="1:24" x14ac:dyDescent="0.25">
      <c r="A23" t="s">
        <v>48</v>
      </c>
      <c r="B23" s="1" t="s">
        <v>47</v>
      </c>
      <c r="C23">
        <v>1.1372636E-2</v>
      </c>
      <c r="D23">
        <v>0.121446051</v>
      </c>
      <c r="E23">
        <v>0.33567846499999998</v>
      </c>
      <c r="F23">
        <v>6.4925690999999994E-2</v>
      </c>
      <c r="G23">
        <v>1.275506E-2</v>
      </c>
      <c r="H23">
        <v>0.97523749900000001</v>
      </c>
      <c r="I23">
        <v>99.9</v>
      </c>
      <c r="J23">
        <f t="shared" si="0"/>
        <v>0.99900000000000011</v>
      </c>
      <c r="K23">
        <v>26.7</v>
      </c>
      <c r="L23">
        <f t="shared" si="1"/>
        <v>299.84999999999997</v>
      </c>
      <c r="M23">
        <v>125</v>
      </c>
      <c r="N23">
        <v>0.25</v>
      </c>
      <c r="O23" s="2">
        <f t="shared" si="2"/>
        <v>5.686318</v>
      </c>
      <c r="P23">
        <f t="shared" si="3"/>
        <v>60.723025499999999</v>
      </c>
      <c r="Q23">
        <f t="shared" si="4"/>
        <v>0.23086657806114858</v>
      </c>
      <c r="R23">
        <f t="shared" si="5"/>
        <v>2465.3769111584797</v>
      </c>
      <c r="S23">
        <v>2.4020245580220632</v>
      </c>
      <c r="T23">
        <v>230.2</v>
      </c>
      <c r="X23" s="1">
        <v>0.53590277777777773</v>
      </c>
    </row>
    <row r="24" spans="1:24" x14ac:dyDescent="0.25">
      <c r="A24" t="s">
        <v>49</v>
      </c>
      <c r="B24" s="1" t="s">
        <v>47</v>
      </c>
      <c r="C24">
        <v>5.7677419000000001E-2</v>
      </c>
      <c r="D24">
        <v>7.4295884000000006E-2</v>
      </c>
      <c r="E24">
        <v>0.31460669400000002</v>
      </c>
      <c r="F24">
        <v>2.2895973E-2</v>
      </c>
      <c r="G24">
        <v>0.27447846599999998</v>
      </c>
      <c r="H24">
        <v>0.99163323599999997</v>
      </c>
      <c r="I24">
        <v>99.9</v>
      </c>
      <c r="J24">
        <f t="shared" si="0"/>
        <v>0.99900000000000011</v>
      </c>
      <c r="K24">
        <v>25.8</v>
      </c>
      <c r="L24">
        <f t="shared" si="1"/>
        <v>298.95</v>
      </c>
      <c r="M24">
        <v>125</v>
      </c>
      <c r="N24">
        <v>0.25</v>
      </c>
      <c r="O24" s="2">
        <f t="shared" si="2"/>
        <v>28.8387095</v>
      </c>
      <c r="P24">
        <f t="shared" si="3"/>
        <v>37.147942</v>
      </c>
      <c r="Q24">
        <f t="shared" si="4"/>
        <v>1.1743870135163545</v>
      </c>
      <c r="R24">
        <f t="shared" si="5"/>
        <v>1512.7605021181255</v>
      </c>
      <c r="S24">
        <v>2.2841828738694354</v>
      </c>
      <c r="T24">
        <v>492.6</v>
      </c>
      <c r="X24" s="1">
        <v>0.52159722222222216</v>
      </c>
    </row>
    <row r="25" spans="1:24" x14ac:dyDescent="0.25">
      <c r="A25" t="s">
        <v>50</v>
      </c>
      <c r="B25" s="1" t="s">
        <v>47</v>
      </c>
      <c r="C25">
        <v>7.1301446000000004E-2</v>
      </c>
      <c r="D25">
        <v>0.128331479</v>
      </c>
      <c r="E25">
        <v>0.34130575200000002</v>
      </c>
      <c r="F25">
        <v>3.9023218999999998E-2</v>
      </c>
      <c r="G25">
        <v>0.32941610500000001</v>
      </c>
      <c r="H25">
        <v>0.99185212300000003</v>
      </c>
      <c r="I25">
        <v>99.9</v>
      </c>
      <c r="J25">
        <f t="shared" si="0"/>
        <v>0.99900000000000011</v>
      </c>
      <c r="K25">
        <v>25.8</v>
      </c>
      <c r="L25">
        <f t="shared" si="1"/>
        <v>298.95</v>
      </c>
      <c r="M25">
        <v>125</v>
      </c>
      <c r="N25">
        <v>0.25</v>
      </c>
      <c r="O25" s="2">
        <f t="shared" si="2"/>
        <v>35.650722999999999</v>
      </c>
      <c r="P25">
        <f t="shared" si="3"/>
        <v>64.165739500000001</v>
      </c>
      <c r="Q25">
        <f t="shared" si="4"/>
        <v>1.4517898629849859</v>
      </c>
      <c r="R25">
        <f t="shared" si="5"/>
        <v>2612.9952583860722</v>
      </c>
      <c r="S25">
        <v>2.2841828738694354</v>
      </c>
      <c r="T25">
        <v>492.6</v>
      </c>
      <c r="X25" s="1">
        <v>0.52674768518518522</v>
      </c>
    </row>
    <row r="26" spans="1:24" x14ac:dyDescent="0.25">
      <c r="A26" t="s">
        <v>51</v>
      </c>
      <c r="B26" s="1" t="s">
        <v>47</v>
      </c>
      <c r="C26">
        <v>0.264226919</v>
      </c>
      <c r="D26">
        <v>2.2387097000000002E-2</v>
      </c>
      <c r="E26">
        <v>0.35293960099999999</v>
      </c>
      <c r="F26">
        <v>1.9423386000000001E-2</v>
      </c>
      <c r="G26">
        <v>0.86317559600000004</v>
      </c>
      <c r="H26">
        <v>0.93731580800000003</v>
      </c>
      <c r="I26">
        <v>99.9</v>
      </c>
      <c r="J26">
        <f t="shared" si="0"/>
        <v>0.99900000000000011</v>
      </c>
      <c r="K26">
        <f>AVERAGE(25.8,26.7)</f>
        <v>26.25</v>
      </c>
      <c r="L26">
        <f t="shared" si="1"/>
        <v>299.39999999999998</v>
      </c>
      <c r="M26">
        <v>125</v>
      </c>
      <c r="N26">
        <v>0.25</v>
      </c>
      <c r="O26" s="2">
        <f t="shared" si="2"/>
        <v>132.1134595</v>
      </c>
      <c r="P26">
        <f t="shared" si="3"/>
        <v>11.1935485</v>
      </c>
      <c r="Q26">
        <f t="shared" si="4"/>
        <v>5.3719163910931798</v>
      </c>
      <c r="R26">
        <f t="shared" si="5"/>
        <v>455.14519784145438</v>
      </c>
      <c r="S26">
        <v>2.3424700701284875</v>
      </c>
      <c r="T26">
        <f>AVERAGE(230.2,492.6)</f>
        <v>361.4</v>
      </c>
      <c r="X26" s="1">
        <v>0.52844907407407404</v>
      </c>
    </row>
    <row r="27" spans="1:24" x14ac:dyDescent="0.25">
      <c r="A27" t="s">
        <v>52</v>
      </c>
      <c r="B27" s="1" t="s">
        <v>47</v>
      </c>
      <c r="C27">
        <v>2.4384871999999998E-2</v>
      </c>
      <c r="D27">
        <v>9.5563960000000003E-2</v>
      </c>
      <c r="E27">
        <v>0.88845914400000003</v>
      </c>
      <c r="F27">
        <v>8.6544065000000003E-2</v>
      </c>
      <c r="G27">
        <v>8.4077809999999996E-3</v>
      </c>
      <c r="H27">
        <v>0.932085893</v>
      </c>
      <c r="I27">
        <v>99.9</v>
      </c>
      <c r="J27">
        <f t="shared" si="0"/>
        <v>0.99900000000000011</v>
      </c>
      <c r="K27">
        <f>AVERAGE(25.8,26.7)</f>
        <v>26.25</v>
      </c>
      <c r="L27">
        <f t="shared" si="1"/>
        <v>299.39999999999998</v>
      </c>
      <c r="M27">
        <v>125</v>
      </c>
      <c r="N27">
        <v>0.25</v>
      </c>
      <c r="O27" s="2">
        <f t="shared" si="2"/>
        <v>12.192435999999999</v>
      </c>
      <c r="P27">
        <f t="shared" si="3"/>
        <v>47.781980000000004</v>
      </c>
      <c r="Q27">
        <f t="shared" si="4"/>
        <v>0.49576134818992118</v>
      </c>
      <c r="R27">
        <f t="shared" si="5"/>
        <v>1942.8815393399525</v>
      </c>
      <c r="S27">
        <v>2.3424700701284875</v>
      </c>
      <c r="T27">
        <f>AVERAGE(230.2,492.6)</f>
        <v>361.4</v>
      </c>
      <c r="X27" s="1">
        <v>0.5309490740740741</v>
      </c>
    </row>
    <row r="28" spans="1:24" x14ac:dyDescent="0.25">
      <c r="A28" t="s">
        <v>53</v>
      </c>
      <c r="B28" s="1" t="s">
        <v>47</v>
      </c>
      <c r="C28">
        <v>6.7459399000000003E-2</v>
      </c>
      <c r="D28">
        <v>6.7337041E-2</v>
      </c>
      <c r="E28">
        <v>0.21763374199999999</v>
      </c>
      <c r="F28">
        <v>6.5879505000000005E-2</v>
      </c>
      <c r="G28">
        <v>0.51957044699999999</v>
      </c>
      <c r="H28">
        <v>0.92162715399999995</v>
      </c>
      <c r="I28">
        <v>99.9</v>
      </c>
      <c r="J28">
        <f t="shared" si="0"/>
        <v>0.99900000000000011</v>
      </c>
      <c r="K28">
        <v>26.5</v>
      </c>
      <c r="L28">
        <f t="shared" si="1"/>
        <v>299.64999999999998</v>
      </c>
      <c r="M28">
        <v>125</v>
      </c>
      <c r="N28">
        <v>0.25</v>
      </c>
      <c r="O28" s="2">
        <f t="shared" si="2"/>
        <v>33.729699500000002</v>
      </c>
      <c r="P28">
        <f t="shared" si="3"/>
        <v>33.6685205</v>
      </c>
      <c r="Q28">
        <f t="shared" si="4"/>
        <v>1.3703520872043466</v>
      </c>
      <c r="R28">
        <f t="shared" si="5"/>
        <v>1367.8665397021202</v>
      </c>
      <c r="S28">
        <v>2.3534491476350592</v>
      </c>
      <c r="T28">
        <v>633.5</v>
      </c>
      <c r="X28" s="1">
        <v>0.61924768518518525</v>
      </c>
    </row>
    <row r="29" spans="1:24" x14ac:dyDescent="0.25">
      <c r="A29" t="s">
        <v>54</v>
      </c>
      <c r="B29" s="1" t="s">
        <v>47</v>
      </c>
      <c r="C29">
        <v>0.365726363</v>
      </c>
      <c r="D29">
        <v>1.6531701999999999E-2</v>
      </c>
      <c r="E29">
        <v>0.44529822400000002</v>
      </c>
      <c r="F29">
        <v>2.2960197000000002E-2</v>
      </c>
      <c r="G29">
        <v>0.88362134299999995</v>
      </c>
      <c r="H29">
        <v>0.8537015</v>
      </c>
      <c r="I29">
        <v>99.9</v>
      </c>
      <c r="J29">
        <f t="shared" si="0"/>
        <v>0.99900000000000011</v>
      </c>
      <c r="K29">
        <f>AVERAGE(26.5,27.3)</f>
        <v>26.9</v>
      </c>
      <c r="L29">
        <f t="shared" si="1"/>
        <v>300.04999999999995</v>
      </c>
      <c r="M29">
        <v>125</v>
      </c>
      <c r="N29">
        <v>0.25</v>
      </c>
      <c r="O29" s="2">
        <f t="shared" si="2"/>
        <v>182.8631815</v>
      </c>
      <c r="P29">
        <f t="shared" si="3"/>
        <v>8.2658509999999996</v>
      </c>
      <c r="Q29">
        <f t="shared" si="4"/>
        <v>7.4193629325041828</v>
      </c>
      <c r="R29">
        <f t="shared" si="5"/>
        <v>335.37286189567163</v>
      </c>
      <c r="S29">
        <v>2.4147639987000176</v>
      </c>
      <c r="T29">
        <f>AVERAGE(633.5,437.6)</f>
        <v>535.54999999999995</v>
      </c>
      <c r="X29" s="1">
        <v>0.63710648148148141</v>
      </c>
    </row>
    <row r="30" spans="1:24" x14ac:dyDescent="0.25">
      <c r="A30" t="s">
        <v>55</v>
      </c>
      <c r="B30" s="1" t="s">
        <v>47</v>
      </c>
      <c r="C30">
        <v>2.2180200000000001E-2</v>
      </c>
      <c r="D30">
        <v>0.16951501699999999</v>
      </c>
      <c r="E30">
        <v>0.35340070699999998</v>
      </c>
      <c r="F30">
        <v>5.8534665999999999E-2</v>
      </c>
      <c r="G30">
        <v>4.2455814000000001E-2</v>
      </c>
      <c r="H30">
        <v>0.98951782700000002</v>
      </c>
      <c r="I30">
        <v>99.9</v>
      </c>
      <c r="J30">
        <f t="shared" si="0"/>
        <v>0.99900000000000011</v>
      </c>
      <c r="K30">
        <v>27.3</v>
      </c>
      <c r="L30">
        <f t="shared" si="1"/>
        <v>300.45</v>
      </c>
      <c r="M30">
        <v>125</v>
      </c>
      <c r="N30">
        <v>0.25</v>
      </c>
      <c r="O30" s="2">
        <f t="shared" si="2"/>
        <v>11.0901</v>
      </c>
      <c r="P30">
        <f t="shared" si="3"/>
        <v>84.7575085</v>
      </c>
      <c r="Q30">
        <f t="shared" si="4"/>
        <v>0.44936291638584053</v>
      </c>
      <c r="R30">
        <f t="shared" si="5"/>
        <v>3434.3135954732302</v>
      </c>
      <c r="S30">
        <v>2.4774906234198437</v>
      </c>
      <c r="T30">
        <v>437.6</v>
      </c>
      <c r="X30" s="1">
        <v>0.6393402777777778</v>
      </c>
    </row>
    <row r="31" spans="1:24" x14ac:dyDescent="0.25">
      <c r="A31" t="s">
        <v>56</v>
      </c>
      <c r="B31" s="1" t="s">
        <v>47</v>
      </c>
      <c r="C31">
        <v>0.108774194</v>
      </c>
      <c r="D31">
        <v>7.6451613000000002E-2</v>
      </c>
      <c r="E31">
        <v>0.63532456100000001</v>
      </c>
      <c r="F31">
        <v>3.1362459000000002E-2</v>
      </c>
      <c r="G31">
        <v>0.2480897</v>
      </c>
      <c r="H31">
        <v>0.985269426</v>
      </c>
      <c r="I31">
        <v>99.9</v>
      </c>
      <c r="J31">
        <f t="shared" si="0"/>
        <v>0.99900000000000011</v>
      </c>
      <c r="K31">
        <v>26.5</v>
      </c>
      <c r="L31">
        <f t="shared" si="1"/>
        <v>299.64999999999998</v>
      </c>
      <c r="M31">
        <v>125</v>
      </c>
      <c r="N31">
        <v>0.25</v>
      </c>
      <c r="O31" s="2">
        <f t="shared" si="2"/>
        <v>54.387097000000004</v>
      </c>
      <c r="P31">
        <f t="shared" si="3"/>
        <v>38.225806499999997</v>
      </c>
      <c r="Q31">
        <f t="shared" si="4"/>
        <v>2.2096097206835554</v>
      </c>
      <c r="R31">
        <f t="shared" si="5"/>
        <v>1553.0175038275831</v>
      </c>
      <c r="S31">
        <v>2.3534491476350592</v>
      </c>
      <c r="T31">
        <v>633.5</v>
      </c>
      <c r="X31" s="1">
        <v>0.62355324074074081</v>
      </c>
    </row>
    <row r="32" spans="1:24" x14ac:dyDescent="0.25">
      <c r="A32" t="s">
        <v>57</v>
      </c>
      <c r="B32" s="1" t="s">
        <v>47</v>
      </c>
      <c r="C32">
        <v>-0.113070078</v>
      </c>
      <c r="D32">
        <v>2.7768632000000001E-2</v>
      </c>
      <c r="E32">
        <v>1.795630735</v>
      </c>
      <c r="F32">
        <v>1.9256332000000001E-2</v>
      </c>
      <c r="G32">
        <v>4.2724831999999997E-2</v>
      </c>
      <c r="H32">
        <v>0.95902799599999999</v>
      </c>
      <c r="I32">
        <v>99.9</v>
      </c>
      <c r="J32">
        <f t="shared" si="0"/>
        <v>0.99900000000000011</v>
      </c>
      <c r="K32">
        <v>26.5</v>
      </c>
      <c r="L32">
        <f t="shared" si="1"/>
        <v>299.64999999999998</v>
      </c>
      <c r="M32">
        <v>125</v>
      </c>
      <c r="N32">
        <v>0.25</v>
      </c>
      <c r="O32" s="2">
        <f t="shared" si="2"/>
        <v>-56.535039000000005</v>
      </c>
      <c r="P32">
        <f t="shared" si="3"/>
        <v>13.884316</v>
      </c>
      <c r="Q32">
        <f t="shared" si="4"/>
        <v>-2.2968751528257503</v>
      </c>
      <c r="R32">
        <f t="shared" si="5"/>
        <v>564.08452171371118</v>
      </c>
      <c r="S32">
        <v>2.3534491476350592</v>
      </c>
      <c r="T32">
        <v>633.5</v>
      </c>
      <c r="X32" s="1">
        <v>0.62473379629629633</v>
      </c>
    </row>
    <row r="33" spans="1:24" x14ac:dyDescent="0.25">
      <c r="A33" t="s">
        <v>58</v>
      </c>
      <c r="B33" s="1" t="s">
        <v>47</v>
      </c>
      <c r="C33">
        <v>4.2936596E-2</v>
      </c>
      <c r="D33">
        <v>0.112153504</v>
      </c>
      <c r="E33">
        <v>0.42512787499999999</v>
      </c>
      <c r="F33">
        <v>8.7607460999999998E-2</v>
      </c>
      <c r="G33">
        <v>0.10299011399999999</v>
      </c>
      <c r="H33">
        <v>0.94857818699999996</v>
      </c>
      <c r="I33">
        <v>99.9</v>
      </c>
      <c r="J33">
        <f t="shared" si="0"/>
        <v>0.99900000000000011</v>
      </c>
      <c r="K33">
        <v>26.5</v>
      </c>
      <c r="L33">
        <f t="shared" si="1"/>
        <v>299.64999999999998</v>
      </c>
      <c r="M33">
        <v>125</v>
      </c>
      <c r="N33">
        <v>0.25</v>
      </c>
      <c r="O33" s="2">
        <f t="shared" si="2"/>
        <v>21.468298000000001</v>
      </c>
      <c r="P33">
        <f t="shared" si="3"/>
        <v>56.076751999999999</v>
      </c>
      <c r="Q33">
        <f t="shared" si="4"/>
        <v>0.87220246278876268</v>
      </c>
      <c r="R33">
        <f t="shared" si="5"/>
        <v>2278.2561151142336</v>
      </c>
      <c r="S33">
        <v>2.3534491476350592</v>
      </c>
      <c r="T33">
        <v>633.5</v>
      </c>
      <c r="X33" s="1">
        <v>0.62763888888888886</v>
      </c>
    </row>
    <row r="34" spans="1:24" x14ac:dyDescent="0.25">
      <c r="A34" t="s">
        <v>59</v>
      </c>
      <c r="B34" s="1" t="s">
        <v>47</v>
      </c>
      <c r="C34">
        <v>0.20416462699999999</v>
      </c>
      <c r="D34">
        <v>2.2215795E-2</v>
      </c>
      <c r="E34">
        <v>0.32153690400000001</v>
      </c>
      <c r="F34">
        <v>1.0982916000000001E-2</v>
      </c>
      <c r="G34">
        <v>0.81943522400000002</v>
      </c>
      <c r="H34">
        <v>0.97874797999999996</v>
      </c>
      <c r="I34">
        <v>99.9</v>
      </c>
      <c r="J34">
        <f t="shared" si="0"/>
        <v>0.99900000000000011</v>
      </c>
      <c r="K34">
        <v>26.5</v>
      </c>
      <c r="L34">
        <f t="shared" si="1"/>
        <v>299.64999999999998</v>
      </c>
      <c r="M34">
        <v>125</v>
      </c>
      <c r="N34">
        <v>0.25</v>
      </c>
      <c r="O34" s="2">
        <f t="shared" si="2"/>
        <v>102.0823135</v>
      </c>
      <c r="P34">
        <f t="shared" si="3"/>
        <v>11.1078975</v>
      </c>
      <c r="Q34">
        <f t="shared" si="4"/>
        <v>4.1473453201494852</v>
      </c>
      <c r="R34">
        <f t="shared" si="5"/>
        <v>451.28568440335329</v>
      </c>
      <c r="S34">
        <v>2.3534491476350592</v>
      </c>
      <c r="T34">
        <v>633.5</v>
      </c>
      <c r="X34" s="1">
        <v>0.62924768518518526</v>
      </c>
    </row>
    <row r="35" spans="1:24" x14ac:dyDescent="0.25">
      <c r="A35" t="s">
        <v>60</v>
      </c>
      <c r="B35" s="1" t="s">
        <v>47</v>
      </c>
      <c r="C35">
        <v>0.149374861</v>
      </c>
      <c r="D35">
        <v>0.13118576200000001</v>
      </c>
      <c r="E35">
        <v>0.38027150599999998</v>
      </c>
      <c r="F35">
        <v>4.0516344000000003E-2</v>
      </c>
      <c r="G35">
        <v>0.63460970800000005</v>
      </c>
      <c r="H35">
        <v>0.99159689100000004</v>
      </c>
      <c r="I35">
        <v>99.9</v>
      </c>
      <c r="J35">
        <f t="shared" si="0"/>
        <v>0.99900000000000011</v>
      </c>
      <c r="K35">
        <v>26.5</v>
      </c>
      <c r="L35">
        <f t="shared" si="1"/>
        <v>299.64999999999998</v>
      </c>
      <c r="M35">
        <v>125</v>
      </c>
      <c r="N35">
        <v>0.25</v>
      </c>
      <c r="O35" s="2">
        <f t="shared" si="2"/>
        <v>74.687430500000005</v>
      </c>
      <c r="P35">
        <f t="shared" si="3"/>
        <v>65.592881000000006</v>
      </c>
      <c r="Q35">
        <f t="shared" si="4"/>
        <v>3.0343607500447662</v>
      </c>
      <c r="R35">
        <f t="shared" si="5"/>
        <v>2664.8722851532175</v>
      </c>
      <c r="S35">
        <v>2.3534491476350592</v>
      </c>
      <c r="T35">
        <v>633.5</v>
      </c>
      <c r="X35" s="1">
        <v>0.63149305555555557</v>
      </c>
    </row>
    <row r="36" spans="1:24" x14ac:dyDescent="0.25">
      <c r="A36" t="s">
        <v>61</v>
      </c>
      <c r="B36" s="1" t="s">
        <v>47</v>
      </c>
      <c r="C36">
        <v>0.343668521</v>
      </c>
      <c r="D36">
        <v>1.5610679000000001E-2</v>
      </c>
      <c r="E36">
        <v>0.32639407599999998</v>
      </c>
      <c r="F36">
        <v>1.1866376E-2</v>
      </c>
      <c r="G36">
        <v>0.92581011400000002</v>
      </c>
      <c r="H36">
        <v>0.95117194100000002</v>
      </c>
      <c r="I36">
        <v>99.9</v>
      </c>
      <c r="J36">
        <f t="shared" si="0"/>
        <v>0.99900000000000011</v>
      </c>
      <c r="K36">
        <v>27.3</v>
      </c>
      <c r="L36">
        <f t="shared" si="1"/>
        <v>300.45</v>
      </c>
      <c r="M36">
        <v>125</v>
      </c>
      <c r="N36">
        <v>0.25</v>
      </c>
      <c r="O36" s="2">
        <f t="shared" si="2"/>
        <v>171.8342605</v>
      </c>
      <c r="P36">
        <f t="shared" si="3"/>
        <v>7.8053395000000005</v>
      </c>
      <c r="Q36">
        <f t="shared" si="4"/>
        <v>6.9626012780123023</v>
      </c>
      <c r="R36">
        <f t="shared" si="5"/>
        <v>316.26677136379283</v>
      </c>
      <c r="S36">
        <v>2.4721358165968903</v>
      </c>
      <c r="T36">
        <f>AVERAGE(633.5,437.6)</f>
        <v>535.54999999999995</v>
      </c>
      <c r="X36" s="1">
        <v>0.63283564814814819</v>
      </c>
    </row>
    <row r="37" spans="1:24" x14ac:dyDescent="0.25">
      <c r="A37" t="s">
        <v>62</v>
      </c>
      <c r="B37" s="1" t="s">
        <v>47</v>
      </c>
      <c r="C37">
        <v>9.7288098000000003E-2</v>
      </c>
      <c r="D37">
        <v>0.14314349300000001</v>
      </c>
      <c r="E37">
        <v>0.44977402300000002</v>
      </c>
      <c r="F37">
        <v>0.142388704</v>
      </c>
      <c r="G37">
        <v>0.34496625199999997</v>
      </c>
      <c r="H37">
        <v>0.91919585100000001</v>
      </c>
      <c r="I37">
        <v>99.9</v>
      </c>
      <c r="J37">
        <f t="shared" si="0"/>
        <v>0.99900000000000011</v>
      </c>
      <c r="K37">
        <v>27.3</v>
      </c>
      <c r="L37">
        <f t="shared" si="1"/>
        <v>300.45</v>
      </c>
      <c r="M37">
        <v>125</v>
      </c>
      <c r="N37">
        <v>0.25</v>
      </c>
      <c r="O37" s="2">
        <f t="shared" si="2"/>
        <v>48.644049000000003</v>
      </c>
      <c r="P37">
        <f t="shared" si="3"/>
        <v>71.571746500000003</v>
      </c>
      <c r="Q37">
        <f t="shared" si="4"/>
        <v>1.9710220578223578</v>
      </c>
      <c r="R37">
        <f t="shared" si="5"/>
        <v>2900.0359544159269</v>
      </c>
      <c r="S37">
        <v>2.4721358165968903</v>
      </c>
      <c r="T37">
        <f>AVERAGE(633.5,437.6)</f>
        <v>535.54999999999995</v>
      </c>
      <c r="X37" s="1">
        <v>0.63564814814814818</v>
      </c>
    </row>
    <row r="38" spans="1:24" x14ac:dyDescent="0.25">
      <c r="A38" t="s">
        <v>63</v>
      </c>
      <c r="B38" s="1" t="s">
        <v>47</v>
      </c>
      <c r="C38">
        <v>0.26975528399999998</v>
      </c>
      <c r="D38">
        <v>4.4607341000000002E-2</v>
      </c>
      <c r="E38">
        <v>0.38932987099999999</v>
      </c>
      <c r="F38">
        <v>6.5128784999999995E-2</v>
      </c>
      <c r="G38">
        <v>0.84383891</v>
      </c>
      <c r="H38">
        <v>0.84076897299999998</v>
      </c>
      <c r="I38">
        <v>99.9</v>
      </c>
      <c r="J38">
        <f t="shared" si="0"/>
        <v>0.99900000000000011</v>
      </c>
      <c r="K38">
        <f>AVERAGE(27,26.9)</f>
        <v>26.95</v>
      </c>
      <c r="L38">
        <f t="shared" si="1"/>
        <v>300.09999999999997</v>
      </c>
      <c r="M38">
        <v>125</v>
      </c>
      <c r="N38">
        <v>0.25</v>
      </c>
      <c r="O38" s="2">
        <f t="shared" si="2"/>
        <v>134.87764199999998</v>
      </c>
      <c r="P38">
        <f t="shared" si="3"/>
        <v>22.303670500000003</v>
      </c>
      <c r="Q38">
        <f t="shared" si="4"/>
        <v>5.4715194195159418</v>
      </c>
      <c r="R38">
        <f t="shared" si="5"/>
        <v>904.78276797895739</v>
      </c>
      <c r="S38">
        <v>2.2819798257144512</v>
      </c>
      <c r="T38">
        <f>AVERAGE(234.4,124.5)</f>
        <v>179.45</v>
      </c>
      <c r="X38" s="1">
        <v>0.74233796296296306</v>
      </c>
    </row>
    <row r="39" spans="1:24" x14ac:dyDescent="0.25">
      <c r="A39" t="s">
        <v>64</v>
      </c>
      <c r="B39" s="1" t="s">
        <v>47</v>
      </c>
      <c r="C39">
        <v>0.13131256999999999</v>
      </c>
      <c r="D39">
        <v>8.6983315000000005E-2</v>
      </c>
      <c r="E39">
        <v>0.32944543999999998</v>
      </c>
      <c r="F39">
        <v>5.5792209000000002E-2</v>
      </c>
      <c r="G39">
        <v>0.64135189699999995</v>
      </c>
      <c r="H39">
        <v>0.96473836000000002</v>
      </c>
      <c r="I39">
        <v>99.9</v>
      </c>
      <c r="J39">
        <f t="shared" si="0"/>
        <v>0.99900000000000011</v>
      </c>
      <c r="K39">
        <v>26.8</v>
      </c>
      <c r="L39">
        <f t="shared" si="1"/>
        <v>299.95</v>
      </c>
      <c r="M39">
        <v>125</v>
      </c>
      <c r="N39">
        <v>0.25</v>
      </c>
      <c r="O39" s="2">
        <f t="shared" si="2"/>
        <v>65.656284999999997</v>
      </c>
      <c r="P39">
        <f t="shared" si="3"/>
        <v>43.491657500000002</v>
      </c>
      <c r="Q39">
        <f t="shared" si="4"/>
        <v>2.664780335880987</v>
      </c>
      <c r="R39">
        <f t="shared" si="5"/>
        <v>1765.1884154102056</v>
      </c>
      <c r="S39">
        <v>2.2151421580218735</v>
      </c>
      <c r="T39">
        <v>250.9</v>
      </c>
      <c r="X39" s="1">
        <v>0.76475694444444453</v>
      </c>
    </row>
    <row r="40" spans="1:24" x14ac:dyDescent="0.25">
      <c r="A40" t="s">
        <v>65</v>
      </c>
      <c r="B40" s="1" t="s">
        <v>47</v>
      </c>
      <c r="C40">
        <v>0.18824249200000001</v>
      </c>
      <c r="D40">
        <v>1.6146830000000001E-2</v>
      </c>
      <c r="E40">
        <v>0.32532987899999999</v>
      </c>
      <c r="F40">
        <v>1.9170119999999999E-2</v>
      </c>
      <c r="G40">
        <v>0.79029088700000005</v>
      </c>
      <c r="H40">
        <v>0.88871072500000003</v>
      </c>
      <c r="I40">
        <v>99.9</v>
      </c>
      <c r="J40">
        <f t="shared" si="0"/>
        <v>0.99900000000000011</v>
      </c>
      <c r="K40">
        <v>26.8</v>
      </c>
      <c r="L40">
        <f t="shared" si="1"/>
        <v>299.95</v>
      </c>
      <c r="M40">
        <v>125</v>
      </c>
      <c r="N40">
        <v>0.25</v>
      </c>
      <c r="O40" s="2">
        <f t="shared" si="2"/>
        <v>94.121245999999999</v>
      </c>
      <c r="P40">
        <f t="shared" si="3"/>
        <v>8.0734150000000007</v>
      </c>
      <c r="Q40">
        <f t="shared" si="4"/>
        <v>3.8200828074481672</v>
      </c>
      <c r="R40">
        <f t="shared" si="5"/>
        <v>327.67430468243214</v>
      </c>
      <c r="S40">
        <v>2.2151421580218735</v>
      </c>
      <c r="T40">
        <v>250.9</v>
      </c>
      <c r="X40" s="1">
        <v>0.766087962962963</v>
      </c>
    </row>
    <row r="41" spans="1:24" x14ac:dyDescent="0.25">
      <c r="A41" t="s">
        <v>66</v>
      </c>
      <c r="B41" s="1" t="s">
        <v>47</v>
      </c>
      <c r="C41">
        <v>0.17362402699999999</v>
      </c>
      <c r="D41">
        <v>0.119305895</v>
      </c>
      <c r="E41">
        <v>0.31159695599999998</v>
      </c>
      <c r="F41">
        <v>4.1174003000000001E-2</v>
      </c>
      <c r="G41">
        <v>0.77751796399999995</v>
      </c>
      <c r="H41">
        <v>0.98952946600000002</v>
      </c>
      <c r="I41">
        <v>99.9</v>
      </c>
      <c r="J41">
        <f t="shared" si="0"/>
        <v>0.99900000000000011</v>
      </c>
      <c r="K41">
        <v>26.9</v>
      </c>
      <c r="L41">
        <f t="shared" si="1"/>
        <v>300.04999999999995</v>
      </c>
      <c r="M41">
        <v>125</v>
      </c>
      <c r="N41">
        <v>0.25</v>
      </c>
      <c r="O41" s="2">
        <f t="shared" si="2"/>
        <v>86.812013499999992</v>
      </c>
      <c r="P41">
        <f t="shared" si="3"/>
        <v>59.652947499999996</v>
      </c>
      <c r="Q41">
        <f t="shared" si="4"/>
        <v>3.5222499672956453</v>
      </c>
      <c r="R41">
        <f t="shared" si="5"/>
        <v>2420.3170034866644</v>
      </c>
      <c r="S41">
        <v>2.2561044146699087</v>
      </c>
      <c r="T41">
        <v>124.5</v>
      </c>
      <c r="X41" s="1">
        <v>0.74766203703703704</v>
      </c>
    </row>
    <row r="42" spans="1:24" x14ac:dyDescent="0.25">
      <c r="A42" t="s">
        <v>67</v>
      </c>
      <c r="B42" s="1" t="s">
        <v>47</v>
      </c>
      <c r="C42">
        <v>0.25754171300000001</v>
      </c>
      <c r="D42">
        <v>3.8360400000000003E-2</v>
      </c>
      <c r="E42">
        <v>0.29147186000000003</v>
      </c>
      <c r="F42">
        <v>1.7261581000000002E-2</v>
      </c>
      <c r="G42">
        <v>0.897832835</v>
      </c>
      <c r="H42">
        <v>0.98232866200000002</v>
      </c>
      <c r="I42">
        <v>99.9</v>
      </c>
      <c r="J42">
        <f t="shared" si="0"/>
        <v>0.99900000000000011</v>
      </c>
      <c r="K42">
        <v>26.9</v>
      </c>
      <c r="L42">
        <f t="shared" si="1"/>
        <v>300.04999999999995</v>
      </c>
      <c r="M42">
        <v>125</v>
      </c>
      <c r="N42">
        <v>0.25</v>
      </c>
      <c r="O42" s="2">
        <f t="shared" si="2"/>
        <v>128.77085650000001</v>
      </c>
      <c r="P42">
        <f t="shared" si="3"/>
        <v>19.180200000000003</v>
      </c>
      <c r="Q42">
        <f t="shared" si="4"/>
        <v>5.2246587402993176</v>
      </c>
      <c r="R42">
        <f t="shared" si="5"/>
        <v>778.20403074424667</v>
      </c>
      <c r="S42">
        <v>2.2561044146699087</v>
      </c>
      <c r="T42">
        <v>124.5</v>
      </c>
      <c r="X42" s="1">
        <v>0.74878472222222225</v>
      </c>
    </row>
    <row r="43" spans="1:24" x14ac:dyDescent="0.25">
      <c r="A43" t="s">
        <v>68</v>
      </c>
      <c r="B43" s="1" t="s">
        <v>47</v>
      </c>
      <c r="C43">
        <v>0.160576196</v>
      </c>
      <c r="D43">
        <v>4.6751947000000002E-2</v>
      </c>
      <c r="E43">
        <v>0.39787242299999998</v>
      </c>
      <c r="F43">
        <v>3.6815776000000001E-2</v>
      </c>
      <c r="G43">
        <v>0.64706695599999997</v>
      </c>
      <c r="H43">
        <v>0.94778490699999995</v>
      </c>
      <c r="I43">
        <v>99.9</v>
      </c>
      <c r="J43">
        <f t="shared" si="0"/>
        <v>0.99900000000000011</v>
      </c>
      <c r="K43">
        <v>26.9</v>
      </c>
      <c r="L43">
        <f t="shared" si="1"/>
        <v>300.04999999999995</v>
      </c>
      <c r="M43">
        <v>125</v>
      </c>
      <c r="N43">
        <v>0.25</v>
      </c>
      <c r="O43" s="2">
        <f t="shared" si="2"/>
        <v>80.288098000000005</v>
      </c>
      <c r="P43">
        <f t="shared" si="3"/>
        <v>23.375973500000001</v>
      </c>
      <c r="Q43">
        <f t="shared" si="4"/>
        <v>3.2575531790278038</v>
      </c>
      <c r="R43">
        <f t="shared" si="5"/>
        <v>948.44041252284603</v>
      </c>
      <c r="S43">
        <v>2.2561044146699087</v>
      </c>
      <c r="T43">
        <v>124.5</v>
      </c>
      <c r="X43" s="1">
        <v>0.75249999999999995</v>
      </c>
    </row>
    <row r="44" spans="1:24" x14ac:dyDescent="0.25">
      <c r="A44" t="s">
        <v>69</v>
      </c>
      <c r="B44" s="1" t="s">
        <v>47</v>
      </c>
      <c r="C44">
        <v>0.17029143499999999</v>
      </c>
      <c r="D44">
        <v>1.5161289999999999E-2</v>
      </c>
      <c r="E44">
        <v>0.65534096500000005</v>
      </c>
      <c r="F44">
        <v>2.1973545000000001E-2</v>
      </c>
      <c r="G44">
        <v>0.43182927300000001</v>
      </c>
      <c r="H44">
        <v>0.84273358200000004</v>
      </c>
      <c r="I44">
        <v>99.9</v>
      </c>
      <c r="J44">
        <f t="shared" si="0"/>
        <v>0.99900000000000011</v>
      </c>
      <c r="K44">
        <v>26.9</v>
      </c>
      <c r="L44">
        <f t="shared" si="1"/>
        <v>300.04999999999995</v>
      </c>
      <c r="M44">
        <v>125</v>
      </c>
      <c r="N44">
        <v>0.25</v>
      </c>
      <c r="O44" s="2">
        <f t="shared" si="2"/>
        <v>85.145717499999989</v>
      </c>
      <c r="P44">
        <f t="shared" si="3"/>
        <v>7.5806449999999996</v>
      </c>
      <c r="Q44">
        <f t="shared" si="4"/>
        <v>3.4546428378802583</v>
      </c>
      <c r="R44">
        <f t="shared" si="5"/>
        <v>307.57179250691956</v>
      </c>
      <c r="S44">
        <v>2.2561044146699087</v>
      </c>
      <c r="T44">
        <v>124.5</v>
      </c>
      <c r="X44" s="1">
        <v>0.75421296296296303</v>
      </c>
    </row>
    <row r="45" spans="1:24" x14ac:dyDescent="0.25">
      <c r="A45" t="s">
        <v>70</v>
      </c>
      <c r="B45" s="1" t="s">
        <v>47</v>
      </c>
      <c r="C45">
        <v>7.1328141999999997E-2</v>
      </c>
      <c r="D45">
        <v>7.9966629999999997E-2</v>
      </c>
      <c r="E45">
        <v>0.29178147399999999</v>
      </c>
      <c r="F45">
        <v>5.3787360999999999E-2</v>
      </c>
      <c r="G45">
        <v>0.40214601799999999</v>
      </c>
      <c r="H45">
        <v>0.96135918099999995</v>
      </c>
      <c r="I45">
        <v>99.9</v>
      </c>
      <c r="J45">
        <f t="shared" si="0"/>
        <v>0.99900000000000011</v>
      </c>
      <c r="K45">
        <v>26.9</v>
      </c>
      <c r="L45">
        <f t="shared" si="1"/>
        <v>300.04999999999995</v>
      </c>
      <c r="M45">
        <v>125</v>
      </c>
      <c r="N45">
        <v>0.25</v>
      </c>
      <c r="O45" s="2">
        <f t="shared" si="2"/>
        <v>35.664071</v>
      </c>
      <c r="P45">
        <f t="shared" si="3"/>
        <v>39.983314999999997</v>
      </c>
      <c r="Q45">
        <f t="shared" si="4"/>
        <v>1.4470090929682167</v>
      </c>
      <c r="R45">
        <f t="shared" si="5"/>
        <v>1622.2550805266314</v>
      </c>
      <c r="S45">
        <v>2.2561044146699087</v>
      </c>
      <c r="T45">
        <v>124.5</v>
      </c>
      <c r="X45" s="1">
        <v>0.75657407407407407</v>
      </c>
    </row>
    <row r="46" spans="1:24" x14ac:dyDescent="0.25">
      <c r="A46" t="s">
        <v>71</v>
      </c>
      <c r="B46" s="1" t="s">
        <v>47</v>
      </c>
      <c r="C46">
        <v>0.244611791</v>
      </c>
      <c r="D46">
        <v>3.4191324000000002E-2</v>
      </c>
      <c r="E46">
        <v>0.27574104100000002</v>
      </c>
      <c r="F46">
        <v>1.7478257000000001E-2</v>
      </c>
      <c r="G46">
        <v>0.89855923599999998</v>
      </c>
      <c r="H46">
        <v>0.977311021</v>
      </c>
      <c r="I46">
        <v>99.9</v>
      </c>
      <c r="J46">
        <f t="shared" si="0"/>
        <v>0.99900000000000011</v>
      </c>
      <c r="K46">
        <f>AVERAGE(26.9,26.8)</f>
        <v>26.85</v>
      </c>
      <c r="L46">
        <f t="shared" si="1"/>
        <v>300</v>
      </c>
      <c r="M46">
        <v>125</v>
      </c>
      <c r="N46">
        <v>0.25</v>
      </c>
      <c r="O46" s="2">
        <f t="shared" si="2"/>
        <v>122.30589549999999</v>
      </c>
      <c r="P46">
        <f t="shared" si="3"/>
        <v>17.095662000000001</v>
      </c>
      <c r="Q46">
        <f t="shared" si="4"/>
        <v>4.9631809897026571</v>
      </c>
      <c r="R46">
        <f t="shared" si="5"/>
        <v>693.74304728247637</v>
      </c>
      <c r="S46">
        <v>2.235573952982667</v>
      </c>
      <c r="T46">
        <f>AVERAGE(124.5,250.9)</f>
        <v>187.7</v>
      </c>
      <c r="X46" s="1">
        <v>0.75784722222222223</v>
      </c>
    </row>
    <row r="47" spans="1:24" x14ac:dyDescent="0.25">
      <c r="A47" t="s">
        <v>72</v>
      </c>
      <c r="B47" s="1" t="s">
        <v>47</v>
      </c>
      <c r="C47">
        <v>0.21950834299999999</v>
      </c>
      <c r="D47">
        <v>8.5497218999999999E-2</v>
      </c>
      <c r="E47">
        <v>0.74186701899999996</v>
      </c>
      <c r="F47">
        <v>0.117807092</v>
      </c>
      <c r="G47">
        <v>0.49633445399999998</v>
      </c>
      <c r="H47">
        <v>0.85566819699999996</v>
      </c>
      <c r="I47">
        <v>99.9</v>
      </c>
      <c r="J47">
        <f t="shared" si="0"/>
        <v>0.99900000000000011</v>
      </c>
      <c r="K47">
        <f>AVERAGE(26.9,26.8)</f>
        <v>26.85</v>
      </c>
      <c r="L47">
        <f t="shared" si="1"/>
        <v>300</v>
      </c>
      <c r="M47">
        <v>125</v>
      </c>
      <c r="N47">
        <v>0.25</v>
      </c>
      <c r="O47" s="2">
        <f t="shared" si="2"/>
        <v>109.7541715</v>
      </c>
      <c r="P47">
        <f t="shared" si="3"/>
        <v>42.748609500000001</v>
      </c>
      <c r="Q47">
        <f t="shared" si="4"/>
        <v>4.4538312344016582</v>
      </c>
      <c r="R47">
        <f t="shared" si="5"/>
        <v>1734.7412824153062</v>
      </c>
      <c r="S47">
        <v>2.235573952982667</v>
      </c>
      <c r="T47">
        <f>AVERAGE(124.5,250.9)</f>
        <v>187.7</v>
      </c>
      <c r="X47" s="1">
        <v>0.76065972222222211</v>
      </c>
    </row>
    <row r="48" spans="1:24" x14ac:dyDescent="0.25">
      <c r="A48" t="s">
        <v>73</v>
      </c>
      <c r="B48" s="1" t="s">
        <v>40</v>
      </c>
      <c r="C48">
        <v>0.201650723</v>
      </c>
      <c r="D48">
        <v>0.115283648</v>
      </c>
      <c r="E48">
        <v>0.43797348400000002</v>
      </c>
      <c r="F48">
        <v>8.8074305000000006E-2</v>
      </c>
      <c r="G48">
        <v>0.70467381500000004</v>
      </c>
      <c r="H48">
        <v>0.95070244400000004</v>
      </c>
      <c r="I48">
        <v>99.9</v>
      </c>
      <c r="J48">
        <f t="shared" si="0"/>
        <v>0.99900000000000011</v>
      </c>
      <c r="K48">
        <v>27.4</v>
      </c>
      <c r="L48">
        <f t="shared" si="1"/>
        <v>300.54999999999995</v>
      </c>
      <c r="M48">
        <v>125</v>
      </c>
      <c r="N48">
        <v>0.25</v>
      </c>
      <c r="O48" s="2">
        <f t="shared" si="2"/>
        <v>100.8253615</v>
      </c>
      <c r="P48">
        <f t="shared" si="3"/>
        <v>57.641824</v>
      </c>
      <c r="Q48">
        <f t="shared" si="4"/>
        <v>4.0840122030927715</v>
      </c>
      <c r="R48">
        <f t="shared" si="5"/>
        <v>2334.8283519372826</v>
      </c>
      <c r="S48">
        <v>2.4094600325668618</v>
      </c>
      <c r="T48">
        <v>483.4</v>
      </c>
      <c r="X48" s="1">
        <v>0.70679398148148154</v>
      </c>
    </row>
    <row r="49" spans="1:24" x14ac:dyDescent="0.25">
      <c r="A49" t="s">
        <v>74</v>
      </c>
      <c r="B49" s="1" t="s">
        <v>40</v>
      </c>
      <c r="C49">
        <v>0.24038042300000001</v>
      </c>
      <c r="D49">
        <v>1.3161290000000001E-2</v>
      </c>
      <c r="E49">
        <v>0.25424757100000001</v>
      </c>
      <c r="F49">
        <v>1.2427054E-2</v>
      </c>
      <c r="G49">
        <v>0.90959712000000004</v>
      </c>
      <c r="H49">
        <v>0.92660729799999997</v>
      </c>
      <c r="I49">
        <v>99.9</v>
      </c>
      <c r="J49">
        <f t="shared" si="0"/>
        <v>0.99900000000000011</v>
      </c>
      <c r="K49">
        <v>27.2</v>
      </c>
      <c r="L49">
        <f t="shared" si="1"/>
        <v>300.34999999999997</v>
      </c>
      <c r="M49">
        <v>125</v>
      </c>
      <c r="N49">
        <v>0.25</v>
      </c>
      <c r="O49" s="2">
        <f t="shared" si="2"/>
        <v>120.1902115</v>
      </c>
      <c r="P49">
        <f t="shared" si="3"/>
        <v>6.5806450000000005</v>
      </c>
      <c r="Q49">
        <f t="shared" si="4"/>
        <v>4.8716428156305271</v>
      </c>
      <c r="R49">
        <f t="shared" si="5"/>
        <v>266.73180399940435</v>
      </c>
      <c r="S49">
        <v>2.3281439669888973</v>
      </c>
      <c r="T49">
        <v>470.6</v>
      </c>
      <c r="X49" s="1">
        <v>0.72457175925925921</v>
      </c>
    </row>
    <row r="50" spans="1:24" x14ac:dyDescent="0.25">
      <c r="A50" t="s">
        <v>75</v>
      </c>
      <c r="B50" s="1" t="s">
        <v>40</v>
      </c>
      <c r="C50">
        <v>0.267855395</v>
      </c>
      <c r="D50">
        <v>1.1757508E-2</v>
      </c>
      <c r="E50">
        <v>0.60176797500000001</v>
      </c>
      <c r="F50">
        <v>2.0637848E-2</v>
      </c>
      <c r="G50">
        <v>0.69041233800000001</v>
      </c>
      <c r="H50">
        <v>0.78509823400000001</v>
      </c>
      <c r="I50">
        <v>99.9</v>
      </c>
      <c r="J50">
        <f t="shared" si="0"/>
        <v>0.99900000000000011</v>
      </c>
      <c r="K50">
        <v>27.4</v>
      </c>
      <c r="L50">
        <f t="shared" si="1"/>
        <v>300.54999999999995</v>
      </c>
      <c r="M50">
        <v>125</v>
      </c>
      <c r="N50">
        <v>0.25</v>
      </c>
      <c r="O50" s="2">
        <f t="shared" si="2"/>
        <v>133.92769749999999</v>
      </c>
      <c r="P50">
        <f t="shared" si="3"/>
        <v>5.8787539999999998</v>
      </c>
      <c r="Q50">
        <f t="shared" si="4"/>
        <v>5.424848895008596</v>
      </c>
      <c r="R50">
        <f t="shared" si="5"/>
        <v>238.12364982178062</v>
      </c>
      <c r="S50">
        <v>2.4094600325668618</v>
      </c>
      <c r="T50">
        <v>483.4</v>
      </c>
      <c r="X50" s="1">
        <v>0.70843750000000005</v>
      </c>
    </row>
    <row r="51" spans="1:24" x14ac:dyDescent="0.25">
      <c r="A51" t="s">
        <v>76</v>
      </c>
      <c r="B51" s="1" t="s">
        <v>40</v>
      </c>
      <c r="C51">
        <v>0.24638264700000001</v>
      </c>
      <c r="D51">
        <v>7.5968854000000002E-2</v>
      </c>
      <c r="E51">
        <v>0.64639434399999995</v>
      </c>
      <c r="F51">
        <v>0.115647081</v>
      </c>
      <c r="G51">
        <v>0.62054195599999995</v>
      </c>
      <c r="H51">
        <v>0.82926932600000003</v>
      </c>
      <c r="I51">
        <v>99.9</v>
      </c>
      <c r="J51">
        <f t="shared" si="0"/>
        <v>0.99900000000000011</v>
      </c>
      <c r="K51">
        <v>27.4</v>
      </c>
      <c r="L51">
        <f t="shared" si="1"/>
        <v>300.54999999999995</v>
      </c>
      <c r="M51">
        <v>125</v>
      </c>
      <c r="N51">
        <v>0.25</v>
      </c>
      <c r="O51" s="2">
        <f t="shared" si="2"/>
        <v>123.19132350000001</v>
      </c>
      <c r="P51">
        <f t="shared" si="3"/>
        <v>37.984427000000004</v>
      </c>
      <c r="Q51">
        <f t="shared" si="4"/>
        <v>4.9899634477298589</v>
      </c>
      <c r="R51">
        <f t="shared" si="5"/>
        <v>1538.5897068713864</v>
      </c>
      <c r="S51">
        <v>2.4094600325668618</v>
      </c>
      <c r="T51">
        <v>483.4</v>
      </c>
      <c r="X51" s="1">
        <v>0.71142361111111108</v>
      </c>
    </row>
    <row r="52" spans="1:24" x14ac:dyDescent="0.25">
      <c r="A52" t="s">
        <v>77</v>
      </c>
      <c r="B52" s="1" t="s">
        <v>40</v>
      </c>
      <c r="C52">
        <v>0.17761735300000001</v>
      </c>
      <c r="D52">
        <v>1.1995551E-2</v>
      </c>
      <c r="E52">
        <v>0.28164325899999998</v>
      </c>
      <c r="F52">
        <v>2.6077729000000001E-2</v>
      </c>
      <c r="G52">
        <v>0.81740702799999998</v>
      </c>
      <c r="H52">
        <v>0.70428883900000006</v>
      </c>
      <c r="I52">
        <v>99.9</v>
      </c>
      <c r="J52">
        <f t="shared" si="0"/>
        <v>0.99900000000000011</v>
      </c>
      <c r="K52">
        <v>27.4</v>
      </c>
      <c r="L52">
        <f t="shared" si="1"/>
        <v>300.54999999999995</v>
      </c>
      <c r="M52">
        <v>125</v>
      </c>
      <c r="N52">
        <v>0.25</v>
      </c>
      <c r="O52" s="2">
        <f t="shared" si="2"/>
        <v>88.808676500000004</v>
      </c>
      <c r="P52">
        <f t="shared" si="3"/>
        <v>5.9977755000000004</v>
      </c>
      <c r="Q52">
        <f t="shared" si="4"/>
        <v>3.5972667310150754</v>
      </c>
      <c r="R52">
        <f t="shared" si="5"/>
        <v>242.94471122140087</v>
      </c>
      <c r="S52">
        <v>2.4094600325668618</v>
      </c>
      <c r="T52">
        <v>483.4</v>
      </c>
      <c r="X52" s="1">
        <v>0.7130439814814814</v>
      </c>
    </row>
    <row r="53" spans="1:24" x14ac:dyDescent="0.25">
      <c r="A53" t="s">
        <v>78</v>
      </c>
      <c r="B53" s="1" t="s">
        <v>40</v>
      </c>
      <c r="C53">
        <v>4.7523915E-2</v>
      </c>
      <c r="D53">
        <v>7.6451613000000002E-2</v>
      </c>
      <c r="E53">
        <v>0.43635275099999998</v>
      </c>
      <c r="F53">
        <v>5.2196338000000002E-2</v>
      </c>
      <c r="G53">
        <v>0.117788754</v>
      </c>
      <c r="H53">
        <v>0.96023490600000005</v>
      </c>
      <c r="I53">
        <v>99.9</v>
      </c>
      <c r="J53">
        <f t="shared" si="0"/>
        <v>0.99900000000000011</v>
      </c>
      <c r="K53">
        <v>27.4</v>
      </c>
      <c r="L53">
        <f t="shared" si="1"/>
        <v>300.54999999999995</v>
      </c>
      <c r="M53">
        <v>125</v>
      </c>
      <c r="N53">
        <v>0.25</v>
      </c>
      <c r="O53" s="2">
        <f t="shared" si="2"/>
        <v>23.761957500000001</v>
      </c>
      <c r="P53">
        <f t="shared" si="3"/>
        <v>38.225806499999997</v>
      </c>
      <c r="Q53">
        <f t="shared" si="4"/>
        <v>0.96249716297195531</v>
      </c>
      <c r="R53">
        <f t="shared" si="5"/>
        <v>1548.3669772814351</v>
      </c>
      <c r="S53">
        <v>2.4094600325668618</v>
      </c>
      <c r="T53">
        <v>483.4</v>
      </c>
      <c r="X53" s="1">
        <v>0.71518518518518526</v>
      </c>
    </row>
    <row r="54" spans="1:24" x14ac:dyDescent="0.25">
      <c r="A54" t="s">
        <v>79</v>
      </c>
      <c r="B54" s="1" t="s">
        <v>40</v>
      </c>
      <c r="C54">
        <v>0.16126585099999999</v>
      </c>
      <c r="D54">
        <v>1.3119021E-2</v>
      </c>
      <c r="E54">
        <v>0.23094930599999999</v>
      </c>
      <c r="F54">
        <v>1.5388302E-2</v>
      </c>
      <c r="G54">
        <v>0.84587519499999997</v>
      </c>
      <c r="H54">
        <v>0.89107880299999997</v>
      </c>
      <c r="I54">
        <v>99.9</v>
      </c>
      <c r="J54">
        <f t="shared" si="0"/>
        <v>0.99900000000000011</v>
      </c>
      <c r="K54">
        <f>AVERAGE(27.4,27.2)</f>
        <v>27.299999999999997</v>
      </c>
      <c r="L54">
        <f t="shared" si="1"/>
        <v>300.45</v>
      </c>
      <c r="M54">
        <v>125</v>
      </c>
      <c r="N54">
        <v>0.25</v>
      </c>
      <c r="O54" s="2">
        <f t="shared" si="2"/>
        <v>80.632925499999999</v>
      </c>
      <c r="P54">
        <f t="shared" si="3"/>
        <v>6.5595105</v>
      </c>
      <c r="Q54">
        <f t="shared" si="4"/>
        <v>3.2671884436932226</v>
      </c>
      <c r="R54">
        <f t="shared" si="5"/>
        <v>265.78667174719283</v>
      </c>
      <c r="S54">
        <v>2.3686095513531207</v>
      </c>
      <c r="T54">
        <f>AVERAGE(483.4,470.6)</f>
        <v>477</v>
      </c>
      <c r="X54" s="1">
        <v>0.71668981481481486</v>
      </c>
    </row>
    <row r="55" spans="1:24" x14ac:dyDescent="0.25">
      <c r="A55" t="s">
        <v>80</v>
      </c>
      <c r="B55" s="1" t="s">
        <v>40</v>
      </c>
      <c r="C55">
        <v>-5.5201334999999997E-2</v>
      </c>
      <c r="D55">
        <v>0.107888765</v>
      </c>
      <c r="E55">
        <v>0.381504279</v>
      </c>
      <c r="F55">
        <v>4.2272810000000001E-2</v>
      </c>
      <c r="G55">
        <v>0.190714722</v>
      </c>
      <c r="H55">
        <v>0.98654436599999995</v>
      </c>
      <c r="I55">
        <v>99.9</v>
      </c>
      <c r="J55">
        <f t="shared" si="0"/>
        <v>0.99900000000000011</v>
      </c>
      <c r="K55">
        <f>AVERAGE(27.4,27.2)</f>
        <v>27.299999999999997</v>
      </c>
      <c r="L55">
        <f t="shared" si="1"/>
        <v>300.45</v>
      </c>
      <c r="M55">
        <v>125</v>
      </c>
      <c r="N55">
        <v>0.25</v>
      </c>
      <c r="O55" s="2">
        <f t="shared" si="2"/>
        <v>-27.6006675</v>
      </c>
      <c r="P55">
        <f t="shared" si="3"/>
        <v>53.944382499999996</v>
      </c>
      <c r="Q55">
        <f t="shared" si="4"/>
        <v>-1.1183592972106551</v>
      </c>
      <c r="R55">
        <f t="shared" si="5"/>
        <v>2185.7877785442242</v>
      </c>
      <c r="S55">
        <v>2.3686095513531207</v>
      </c>
      <c r="T55">
        <f>AVERAGE(483.4,470.6)</f>
        <v>477</v>
      </c>
      <c r="X55" s="1">
        <v>0.71903935185185175</v>
      </c>
    </row>
    <row r="56" spans="1:24" x14ac:dyDescent="0.25">
      <c r="A56" t="s">
        <v>81</v>
      </c>
      <c r="B56" s="1" t="s">
        <v>40</v>
      </c>
      <c r="C56">
        <v>-3.9490545000000002E-2</v>
      </c>
      <c r="D56">
        <v>0.14073192400000001</v>
      </c>
      <c r="E56">
        <v>0.274961283</v>
      </c>
      <c r="F56">
        <v>7.4173326999999997E-2</v>
      </c>
      <c r="G56">
        <v>0.18843047499999999</v>
      </c>
      <c r="H56">
        <v>0.97591535900000004</v>
      </c>
      <c r="I56">
        <v>99.9</v>
      </c>
      <c r="J56">
        <f t="shared" si="0"/>
        <v>0.99900000000000011</v>
      </c>
      <c r="K56">
        <v>27.2</v>
      </c>
      <c r="L56">
        <f t="shared" si="1"/>
        <v>300.34999999999997</v>
      </c>
      <c r="M56">
        <v>125</v>
      </c>
      <c r="N56">
        <v>0.25</v>
      </c>
      <c r="O56" s="2">
        <f t="shared" si="2"/>
        <v>-19.745272500000002</v>
      </c>
      <c r="P56">
        <f t="shared" si="3"/>
        <v>70.36596200000001</v>
      </c>
      <c r="Q56">
        <f t="shared" si="4"/>
        <v>-0.80033069013521152</v>
      </c>
      <c r="R56">
        <f t="shared" si="5"/>
        <v>2852.1277145953827</v>
      </c>
      <c r="S56">
        <v>2.3281439669888973</v>
      </c>
      <c r="T56">
        <v>470.6</v>
      </c>
      <c r="X56" s="1">
        <v>0.72297453703703696</v>
      </c>
    </row>
    <row r="57" spans="1:24" x14ac:dyDescent="0.25">
      <c r="A57" t="s">
        <v>82</v>
      </c>
      <c r="B57" s="1" t="s">
        <v>40</v>
      </c>
      <c r="C57">
        <v>-3.0255800000000003E-4</v>
      </c>
      <c r="D57">
        <v>7.9615127999999993E-2</v>
      </c>
      <c r="E57">
        <v>0.275842541</v>
      </c>
      <c r="F57">
        <v>2.3084461000000001E-2</v>
      </c>
      <c r="G57" s="3">
        <v>1.3499999999999999E-5</v>
      </c>
      <c r="H57">
        <v>0.99258631200000003</v>
      </c>
      <c r="I57">
        <v>99.9</v>
      </c>
      <c r="J57">
        <f t="shared" si="0"/>
        <v>0.99900000000000011</v>
      </c>
      <c r="K57">
        <v>27.4</v>
      </c>
      <c r="L57">
        <f t="shared" si="1"/>
        <v>300.54999999999995</v>
      </c>
      <c r="M57">
        <v>125</v>
      </c>
      <c r="N57">
        <v>0.25</v>
      </c>
      <c r="O57" s="2">
        <f t="shared" si="2"/>
        <v>-0.15127900000000002</v>
      </c>
      <c r="P57">
        <f t="shared" si="3"/>
        <v>39.807563999999999</v>
      </c>
      <c r="Q57">
        <f t="shared" si="4"/>
        <v>-6.1276773311809201E-3</v>
      </c>
      <c r="R57">
        <f t="shared" si="5"/>
        <v>1612.4373345430208</v>
      </c>
      <c r="S57">
        <v>2.4094600325668618</v>
      </c>
      <c r="T57">
        <v>483.4</v>
      </c>
      <c r="X57" s="1">
        <v>0.7021412037037037</v>
      </c>
    </row>
    <row r="58" spans="1:24" x14ac:dyDescent="0.25">
      <c r="A58" t="s">
        <v>83</v>
      </c>
      <c r="B58" s="1" t="s">
        <v>40</v>
      </c>
      <c r="C58">
        <v>9.4660733999999996E-2</v>
      </c>
      <c r="D58">
        <v>3.2095661999999997E-2</v>
      </c>
      <c r="E58">
        <v>0.34913876399999999</v>
      </c>
      <c r="F58">
        <v>3.9288389999999999E-2</v>
      </c>
      <c r="G58">
        <v>0.45278032499999998</v>
      </c>
      <c r="H58">
        <v>0.88251661699999995</v>
      </c>
      <c r="I58">
        <v>99.9</v>
      </c>
      <c r="J58">
        <f t="shared" si="0"/>
        <v>0.99900000000000011</v>
      </c>
      <c r="K58">
        <v>27.2</v>
      </c>
      <c r="L58">
        <f t="shared" si="1"/>
        <v>300.34999999999997</v>
      </c>
      <c r="M58">
        <v>125</v>
      </c>
      <c r="N58">
        <v>0.25</v>
      </c>
      <c r="O58" s="2">
        <f t="shared" si="2"/>
        <v>47.330366999999995</v>
      </c>
      <c r="P58">
        <f t="shared" si="3"/>
        <v>16.047830999999999</v>
      </c>
      <c r="Q58">
        <f t="shared" si="4"/>
        <v>1.9184311224604689</v>
      </c>
      <c r="R58">
        <f t="shared" si="5"/>
        <v>650.46312525710835</v>
      </c>
      <c r="S58">
        <v>2.438162965428921</v>
      </c>
      <c r="T58">
        <v>362.5</v>
      </c>
      <c r="X58" s="1">
        <v>0.67206018518518518</v>
      </c>
    </row>
    <row r="59" spans="1:24" x14ac:dyDescent="0.25">
      <c r="A59" t="s">
        <v>84</v>
      </c>
      <c r="B59" s="1" t="s">
        <v>40</v>
      </c>
      <c r="C59">
        <v>-5.8100111000000003E-2</v>
      </c>
      <c r="D59">
        <v>2.6298109E-2</v>
      </c>
      <c r="E59">
        <v>0.75601200000000002</v>
      </c>
      <c r="F59">
        <v>5.1214267000000001E-2</v>
      </c>
      <c r="G59">
        <v>6.2334265E-2</v>
      </c>
      <c r="H59">
        <v>0.74797756199999998</v>
      </c>
      <c r="I59">
        <v>99.9</v>
      </c>
      <c r="J59">
        <f t="shared" si="0"/>
        <v>0.99900000000000011</v>
      </c>
      <c r="K59">
        <f>AVERAGE(27.2,26.9)</f>
        <v>27.049999999999997</v>
      </c>
      <c r="L59">
        <f t="shared" si="1"/>
        <v>300.2</v>
      </c>
      <c r="M59">
        <v>125</v>
      </c>
      <c r="N59">
        <v>0.25</v>
      </c>
      <c r="O59" s="2">
        <f t="shared" si="2"/>
        <v>-29.050055500000003</v>
      </c>
      <c r="P59">
        <f t="shared" si="3"/>
        <v>13.1490545</v>
      </c>
      <c r="Q59">
        <f t="shared" si="4"/>
        <v>-1.1780677145653002</v>
      </c>
      <c r="R59">
        <f t="shared" si="5"/>
        <v>533.23397552578092</v>
      </c>
      <c r="S59">
        <v>2.3921670727723559</v>
      </c>
      <c r="T59">
        <f>AVERAGE(362.5,371.7)</f>
        <v>367.1</v>
      </c>
      <c r="X59" s="1">
        <v>0.67722222222222228</v>
      </c>
    </row>
    <row r="60" spans="1:24" x14ac:dyDescent="0.25">
      <c r="A60" t="s">
        <v>85</v>
      </c>
      <c r="B60" s="1" t="s">
        <v>40</v>
      </c>
      <c r="C60">
        <v>0.131933259</v>
      </c>
      <c r="D60">
        <v>0.12080088999999999</v>
      </c>
      <c r="E60">
        <v>0.28074786200000001</v>
      </c>
      <c r="F60">
        <v>0.180831409</v>
      </c>
      <c r="G60">
        <v>0.71311791300000005</v>
      </c>
      <c r="H60">
        <v>0.83397348199999999</v>
      </c>
      <c r="I60">
        <v>99.9</v>
      </c>
      <c r="J60">
        <f t="shared" si="0"/>
        <v>0.99900000000000011</v>
      </c>
      <c r="K60">
        <v>26.9</v>
      </c>
      <c r="L60">
        <f t="shared" si="1"/>
        <v>300.04999999999995</v>
      </c>
      <c r="M60">
        <v>125</v>
      </c>
      <c r="N60">
        <v>0.25</v>
      </c>
      <c r="O60" s="2">
        <f t="shared" si="2"/>
        <v>65.966629499999996</v>
      </c>
      <c r="P60">
        <f t="shared" si="3"/>
        <v>60.400444999999998</v>
      </c>
      <c r="Q60">
        <f t="shared" si="4"/>
        <v>2.6764839246468921</v>
      </c>
      <c r="R60">
        <f t="shared" si="5"/>
        <v>2450.6454446640896</v>
      </c>
      <c r="S60">
        <v>2.3467670341156852</v>
      </c>
      <c r="T60">
        <v>371.7</v>
      </c>
      <c r="X60" s="1">
        <v>0.68171296296296291</v>
      </c>
    </row>
    <row r="61" spans="1:24" x14ac:dyDescent="0.25">
      <c r="A61" t="s">
        <v>86</v>
      </c>
      <c r="B61" s="1" t="s">
        <v>40</v>
      </c>
      <c r="C61">
        <v>-1.0796439999999999E-2</v>
      </c>
      <c r="D61">
        <v>2.8436039999999999E-2</v>
      </c>
      <c r="E61">
        <v>0.27086505900000002</v>
      </c>
      <c r="F61">
        <v>2.4873230999999999E-2</v>
      </c>
      <c r="G61">
        <v>1.7568700999999999E-2</v>
      </c>
      <c r="H61">
        <v>0.93635223199999995</v>
      </c>
      <c r="I61">
        <v>99.9</v>
      </c>
      <c r="J61">
        <f t="shared" si="0"/>
        <v>0.99900000000000011</v>
      </c>
      <c r="K61">
        <f>AVERAGE(26.9,27.2)</f>
        <v>27.049999999999997</v>
      </c>
      <c r="L61">
        <f t="shared" si="1"/>
        <v>300.2</v>
      </c>
      <c r="M61">
        <v>125</v>
      </c>
      <c r="N61">
        <v>0.25</v>
      </c>
      <c r="O61" s="2">
        <f t="shared" si="2"/>
        <v>-5.3982199999999994</v>
      </c>
      <c r="P61">
        <f t="shared" si="3"/>
        <v>14.218019999999999</v>
      </c>
      <c r="Q61">
        <f t="shared" si="4"/>
        <v>-0.21891416689791504</v>
      </c>
      <c r="R61">
        <f t="shared" si="5"/>
        <v>576.58376339569224</v>
      </c>
      <c r="S61">
        <v>2.4062386437886634</v>
      </c>
      <c r="T61">
        <f>AVERAGE(686.6,362.5)</f>
        <v>524.54999999999995</v>
      </c>
      <c r="X61" s="1">
        <v>0.65643518518518518</v>
      </c>
    </row>
    <row r="62" spans="1:24" x14ac:dyDescent="0.25">
      <c r="A62" t="s">
        <v>87</v>
      </c>
      <c r="B62" s="1" t="s">
        <v>40</v>
      </c>
      <c r="C62">
        <v>0.192177976</v>
      </c>
      <c r="D62">
        <v>5.1795328000000002E-2</v>
      </c>
      <c r="E62">
        <v>0.37794224700000001</v>
      </c>
      <c r="F62">
        <v>7.5793667999999995E-2</v>
      </c>
      <c r="G62">
        <v>0.74426551200000002</v>
      </c>
      <c r="H62">
        <v>0.84016650800000003</v>
      </c>
      <c r="I62">
        <v>99.9</v>
      </c>
      <c r="J62">
        <f t="shared" si="0"/>
        <v>0.99900000000000011</v>
      </c>
      <c r="K62">
        <v>27.2</v>
      </c>
      <c r="L62">
        <f t="shared" si="1"/>
        <v>300.34999999999997</v>
      </c>
      <c r="M62">
        <v>125</v>
      </c>
      <c r="N62">
        <v>0.25</v>
      </c>
      <c r="O62" s="2">
        <f t="shared" si="2"/>
        <v>96.088988000000001</v>
      </c>
      <c r="P62">
        <f t="shared" si="3"/>
        <v>25.897664000000002</v>
      </c>
      <c r="Q62">
        <f t="shared" si="4"/>
        <v>3.8947533431323391</v>
      </c>
      <c r="R62">
        <f t="shared" si="5"/>
        <v>1049.704191320217</v>
      </c>
      <c r="S62">
        <v>2.438162965428921</v>
      </c>
      <c r="T62">
        <v>362.5</v>
      </c>
      <c r="X62" s="1">
        <v>0.66253472222222221</v>
      </c>
    </row>
    <row r="63" spans="1:24" x14ac:dyDescent="0.25">
      <c r="A63" t="s">
        <v>88</v>
      </c>
      <c r="B63" s="1" t="s">
        <v>40</v>
      </c>
      <c r="C63">
        <v>0.209630701</v>
      </c>
      <c r="D63">
        <v>9.5065627999999999E-2</v>
      </c>
      <c r="E63">
        <v>0.41023174699999998</v>
      </c>
      <c r="F63">
        <v>5.4987991999999999E-2</v>
      </c>
      <c r="G63">
        <v>0.74614324499999995</v>
      </c>
      <c r="H63">
        <v>0.97113406599999996</v>
      </c>
      <c r="I63">
        <v>99.9</v>
      </c>
      <c r="J63">
        <f t="shared" si="0"/>
        <v>0.99900000000000011</v>
      </c>
      <c r="K63">
        <v>27.2</v>
      </c>
      <c r="L63">
        <f t="shared" si="1"/>
        <v>300.34999999999997</v>
      </c>
      <c r="M63">
        <v>125</v>
      </c>
      <c r="N63">
        <v>0.25</v>
      </c>
      <c r="O63" s="2">
        <f t="shared" si="2"/>
        <v>104.81535050000001</v>
      </c>
      <c r="P63">
        <f t="shared" si="3"/>
        <v>47.532814000000002</v>
      </c>
      <c r="Q63">
        <f t="shared" si="4"/>
        <v>4.2484570320530688</v>
      </c>
      <c r="R63">
        <f t="shared" si="5"/>
        <v>1926.6368611873368</v>
      </c>
      <c r="S63">
        <v>2.438162965428921</v>
      </c>
      <c r="T63">
        <v>362.5</v>
      </c>
      <c r="X63" s="1">
        <v>0.66631944444444446</v>
      </c>
    </row>
    <row r="64" spans="1:24" x14ac:dyDescent="0.25">
      <c r="A64" t="s">
        <v>89</v>
      </c>
      <c r="B64" s="1" t="s">
        <v>47</v>
      </c>
      <c r="C64">
        <v>-1.1835373E-2</v>
      </c>
      <c r="D64">
        <v>4.8387096999999997E-2</v>
      </c>
      <c r="E64">
        <v>0.32690899499999998</v>
      </c>
      <c r="F64">
        <v>6.0609169999999997E-2</v>
      </c>
      <c r="G64">
        <v>1.453891E-2</v>
      </c>
      <c r="H64">
        <v>0.87766169800000005</v>
      </c>
      <c r="I64">
        <v>99.9</v>
      </c>
      <c r="J64">
        <f t="shared" si="0"/>
        <v>0.99900000000000011</v>
      </c>
      <c r="K64">
        <v>27.4</v>
      </c>
      <c r="L64">
        <f t="shared" si="1"/>
        <v>300.54999999999995</v>
      </c>
      <c r="M64">
        <v>125</v>
      </c>
      <c r="N64">
        <v>0.25</v>
      </c>
      <c r="O64" s="2">
        <f t="shared" si="2"/>
        <v>-5.9176865000000003</v>
      </c>
      <c r="P64">
        <f t="shared" si="3"/>
        <v>24.193548499999999</v>
      </c>
      <c r="Q64">
        <f t="shared" si="4"/>
        <v>-0.2397006419865636</v>
      </c>
      <c r="R64">
        <f t="shared" si="5"/>
        <v>979.97910287796799</v>
      </c>
      <c r="S64">
        <v>2.183236512370569</v>
      </c>
      <c r="T64">
        <v>233.4</v>
      </c>
      <c r="X64" s="1">
        <v>0.45587962962962963</v>
      </c>
    </row>
    <row r="65" spans="1:24" x14ac:dyDescent="0.25">
      <c r="A65" t="s">
        <v>90</v>
      </c>
      <c r="B65" s="1" t="s">
        <v>25</v>
      </c>
      <c r="C65">
        <v>5.1766407E-2</v>
      </c>
      <c r="D65">
        <v>3.2177975999999997E-2</v>
      </c>
      <c r="E65">
        <v>0.29103388800000002</v>
      </c>
      <c r="F65">
        <v>1.2634836E-2</v>
      </c>
      <c r="G65">
        <v>0.26259981500000001</v>
      </c>
      <c r="H65">
        <v>0.98648764</v>
      </c>
      <c r="I65">
        <v>99.9</v>
      </c>
      <c r="J65">
        <f t="shared" si="0"/>
        <v>0.99900000000000011</v>
      </c>
      <c r="K65">
        <v>27.3</v>
      </c>
      <c r="L65">
        <f t="shared" si="1"/>
        <v>300.45</v>
      </c>
      <c r="M65">
        <v>125</v>
      </c>
      <c r="N65">
        <v>0.25</v>
      </c>
      <c r="O65" s="2">
        <f t="shared" si="2"/>
        <v>25.8832035</v>
      </c>
      <c r="P65">
        <f t="shared" si="3"/>
        <v>16.088987999999997</v>
      </c>
      <c r="Q65">
        <f t="shared" si="4"/>
        <v>1.0487688848764389</v>
      </c>
      <c r="R65">
        <f t="shared" si="5"/>
        <v>651.914281149565</v>
      </c>
      <c r="S65">
        <v>2.20082560423391</v>
      </c>
      <c r="T65">
        <f>AVERAGE(1252.4,1190.2)</f>
        <v>1221.3000000000002</v>
      </c>
      <c r="X65" s="1">
        <v>0.44640046296296299</v>
      </c>
    </row>
    <row r="66" spans="1:24" x14ac:dyDescent="0.25">
      <c r="A66" t="s">
        <v>91</v>
      </c>
      <c r="B66" s="1" t="s">
        <v>25</v>
      </c>
      <c r="C66">
        <v>0.17911902099999999</v>
      </c>
      <c r="D66">
        <v>0.129579533</v>
      </c>
      <c r="E66">
        <v>0.62600850500000005</v>
      </c>
      <c r="F66">
        <v>0.12645121400000001</v>
      </c>
      <c r="G66">
        <v>0.479578913</v>
      </c>
      <c r="H66">
        <v>0.92199548600000003</v>
      </c>
      <c r="I66">
        <v>99.9</v>
      </c>
      <c r="J66">
        <f t="shared" ref="J66:J129" si="6">I66/100</f>
        <v>0.99900000000000011</v>
      </c>
      <c r="K66">
        <v>27.4</v>
      </c>
      <c r="L66">
        <f t="shared" ref="L66:L129" si="7">K66+273.15</f>
        <v>300.54999999999995</v>
      </c>
      <c r="M66">
        <v>125</v>
      </c>
      <c r="N66">
        <v>0.25</v>
      </c>
      <c r="O66" s="2">
        <f t="shared" si="2"/>
        <v>89.559510499999988</v>
      </c>
      <c r="P66">
        <f t="shared" si="3"/>
        <v>64.789766499999999</v>
      </c>
      <c r="Q66">
        <f t="shared" si="4"/>
        <v>3.6276798649019981</v>
      </c>
      <c r="R66">
        <f t="shared" si="5"/>
        <v>2624.3615007671578</v>
      </c>
      <c r="S66">
        <v>2.2514626533821493</v>
      </c>
      <c r="T66">
        <v>1252.4000000000001</v>
      </c>
      <c r="X66" s="1">
        <v>0.45388888888888884</v>
      </c>
    </row>
    <row r="67" spans="1:24" x14ac:dyDescent="0.25">
      <c r="A67" t="s">
        <v>92</v>
      </c>
      <c r="B67" s="1" t="s">
        <v>25</v>
      </c>
      <c r="C67">
        <v>-0.150985539</v>
      </c>
      <c r="D67">
        <v>0.11642269199999999</v>
      </c>
      <c r="E67">
        <v>0.30152315200000002</v>
      </c>
      <c r="F67">
        <v>5.3212475000000002E-2</v>
      </c>
      <c r="G67">
        <v>0.73838117599999997</v>
      </c>
      <c r="H67">
        <v>0.98177855000000003</v>
      </c>
      <c r="I67">
        <v>99.9</v>
      </c>
      <c r="J67">
        <f t="shared" si="6"/>
        <v>0.99900000000000011</v>
      </c>
      <c r="K67">
        <v>27.4</v>
      </c>
      <c r="L67">
        <f t="shared" si="7"/>
        <v>300.54999999999995</v>
      </c>
      <c r="M67">
        <v>125</v>
      </c>
      <c r="N67">
        <v>0.25</v>
      </c>
      <c r="O67" s="2">
        <f t="shared" ref="O67:O130" si="8">C67*M67/N67</f>
        <v>-75.492769499999994</v>
      </c>
      <c r="P67">
        <f t="shared" ref="P67:P130" si="9">D67*M67/N67</f>
        <v>58.211345999999999</v>
      </c>
      <c r="Q67">
        <f t="shared" ref="Q67:Q130" si="10">(O67*J67)/(0.08206*L67)</f>
        <v>-3.0578952289029955</v>
      </c>
      <c r="R67">
        <f t="shared" ref="R67:R130" si="11">(P67*J67)/(0.08206*L67)*1000</f>
        <v>2357.8972977196377</v>
      </c>
      <c r="S67">
        <v>2.2514626533821493</v>
      </c>
      <c r="T67">
        <v>1252.4000000000001</v>
      </c>
      <c r="X67" s="1">
        <v>0.46208333333333335</v>
      </c>
    </row>
    <row r="68" spans="1:24" x14ac:dyDescent="0.25">
      <c r="A68" t="s">
        <v>93</v>
      </c>
      <c r="B68" s="1" t="s">
        <v>25</v>
      </c>
      <c r="C68">
        <v>0.211385984</v>
      </c>
      <c r="D68">
        <v>5.2022247000000001E-2</v>
      </c>
      <c r="E68">
        <v>0.94355731399999998</v>
      </c>
      <c r="F68">
        <v>9.6419750999999998E-2</v>
      </c>
      <c r="G68">
        <v>0.360995597</v>
      </c>
      <c r="H68">
        <v>0.76617145900000005</v>
      </c>
      <c r="I68">
        <v>99.9</v>
      </c>
      <c r="J68">
        <f t="shared" si="6"/>
        <v>0.99900000000000011</v>
      </c>
      <c r="K68">
        <v>28</v>
      </c>
      <c r="L68">
        <f t="shared" si="7"/>
        <v>301.14999999999998</v>
      </c>
      <c r="M68">
        <v>125</v>
      </c>
      <c r="N68">
        <v>0.25</v>
      </c>
      <c r="O68" s="2">
        <f t="shared" si="8"/>
        <v>105.692992</v>
      </c>
      <c r="P68">
        <f t="shared" si="9"/>
        <v>26.0111235</v>
      </c>
      <c r="Q68">
        <f t="shared" si="10"/>
        <v>4.2726498219575806</v>
      </c>
      <c r="R68">
        <f t="shared" si="11"/>
        <v>1051.5022811653553</v>
      </c>
      <c r="S68">
        <v>2.4794528926250035</v>
      </c>
      <c r="T68">
        <v>1305.5</v>
      </c>
      <c r="X68" s="1">
        <v>0.47878472222222218</v>
      </c>
    </row>
    <row r="69" spans="1:24" x14ac:dyDescent="0.25">
      <c r="A69" t="s">
        <v>94</v>
      </c>
      <c r="B69" s="1" t="s">
        <v>25</v>
      </c>
      <c r="C69">
        <v>0.28848053400000001</v>
      </c>
      <c r="D69">
        <v>0.136887653</v>
      </c>
      <c r="E69">
        <v>0.60221014500000003</v>
      </c>
      <c r="F69">
        <v>9.2177861E-2</v>
      </c>
      <c r="G69">
        <v>0.72090182999999997</v>
      </c>
      <c r="H69">
        <v>0.96127511399999999</v>
      </c>
      <c r="I69">
        <v>99.9</v>
      </c>
      <c r="J69">
        <f t="shared" si="6"/>
        <v>0.99900000000000011</v>
      </c>
      <c r="K69">
        <v>29.9</v>
      </c>
      <c r="L69">
        <f t="shared" si="7"/>
        <v>303.04999999999995</v>
      </c>
      <c r="M69">
        <v>125</v>
      </c>
      <c r="N69">
        <v>0.25</v>
      </c>
      <c r="O69" s="2">
        <f t="shared" si="8"/>
        <v>144.24026700000002</v>
      </c>
      <c r="P69">
        <f t="shared" si="9"/>
        <v>68.4438265</v>
      </c>
      <c r="Q69">
        <f t="shared" si="10"/>
        <v>5.7943697493309072</v>
      </c>
      <c r="R69">
        <f t="shared" si="11"/>
        <v>2749.5015507705143</v>
      </c>
      <c r="S69">
        <v>2.9890649273227625</v>
      </c>
      <c r="T69">
        <v>1029.0999999999999</v>
      </c>
      <c r="X69" s="1">
        <v>0.66096064814814814</v>
      </c>
    </row>
    <row r="70" spans="1:24" x14ac:dyDescent="0.25">
      <c r="A70" t="s">
        <v>95</v>
      </c>
      <c r="B70" s="1" t="s">
        <v>25</v>
      </c>
      <c r="C70">
        <v>0.244527253</v>
      </c>
      <c r="D70">
        <v>0.15117908799999999</v>
      </c>
      <c r="E70">
        <v>1.7262390460000001</v>
      </c>
      <c r="F70">
        <v>6.7182659000000006E-2</v>
      </c>
      <c r="G70">
        <v>0.18424463499999999</v>
      </c>
      <c r="H70">
        <v>0.98275770200000001</v>
      </c>
      <c r="I70">
        <v>99.9</v>
      </c>
      <c r="J70">
        <f t="shared" si="6"/>
        <v>0.99900000000000011</v>
      </c>
      <c r="K70">
        <v>29.9</v>
      </c>
      <c r="L70">
        <f t="shared" si="7"/>
        <v>303.04999999999995</v>
      </c>
      <c r="M70">
        <v>125</v>
      </c>
      <c r="N70">
        <v>0.25</v>
      </c>
      <c r="O70" s="2">
        <f t="shared" si="8"/>
        <v>122.2636265</v>
      </c>
      <c r="P70">
        <f t="shared" si="9"/>
        <v>75.589543999999989</v>
      </c>
      <c r="Q70">
        <f t="shared" si="10"/>
        <v>4.9115318043268221</v>
      </c>
      <c r="R70">
        <f t="shared" si="11"/>
        <v>3036.5568244498427</v>
      </c>
      <c r="S70">
        <v>3.0243524993814344</v>
      </c>
      <c r="T70">
        <f>AVERAGE(1029.1,1082.2)</f>
        <v>1055.6500000000001</v>
      </c>
      <c r="X70" s="1">
        <v>0.67508101851851843</v>
      </c>
    </row>
    <row r="71" spans="1:24" x14ac:dyDescent="0.25">
      <c r="A71" t="s">
        <v>96</v>
      </c>
      <c r="B71" s="1" t="s">
        <v>25</v>
      </c>
      <c r="C71">
        <v>0.11444048900000001</v>
      </c>
      <c r="D71">
        <v>0.179855395</v>
      </c>
      <c r="E71">
        <v>0.24606763400000001</v>
      </c>
      <c r="F71">
        <v>4.4645073E-2</v>
      </c>
      <c r="G71">
        <v>0.70884768200000003</v>
      </c>
      <c r="H71">
        <v>0.99455563800000002</v>
      </c>
      <c r="I71">
        <v>99.9</v>
      </c>
      <c r="J71">
        <f t="shared" si="6"/>
        <v>0.99900000000000011</v>
      </c>
      <c r="K71">
        <v>29.9</v>
      </c>
      <c r="L71">
        <f t="shared" si="7"/>
        <v>303.04999999999995</v>
      </c>
      <c r="M71">
        <v>125</v>
      </c>
      <c r="N71">
        <v>0.25</v>
      </c>
      <c r="O71" s="2">
        <f t="shared" si="8"/>
        <v>57.2202445</v>
      </c>
      <c r="P71">
        <f t="shared" si="9"/>
        <v>89.927697499999994</v>
      </c>
      <c r="Q71">
        <f t="shared" si="10"/>
        <v>2.2986317252180224</v>
      </c>
      <c r="R71">
        <f t="shared" si="11"/>
        <v>3612.544131112712</v>
      </c>
      <c r="S71">
        <v>3.0243524993814344</v>
      </c>
      <c r="T71">
        <f>AVERAGE(1029.1,1082.2)</f>
        <v>1055.6500000000001</v>
      </c>
      <c r="X71" s="1">
        <v>0.67853009259259256</v>
      </c>
    </row>
    <row r="72" spans="1:24" x14ac:dyDescent="0.25">
      <c r="A72" t="s">
        <v>97</v>
      </c>
      <c r="B72" s="1" t="s">
        <v>25</v>
      </c>
      <c r="C72">
        <v>0.38653615099999999</v>
      </c>
      <c r="D72">
        <v>0.42933036699999999</v>
      </c>
      <c r="E72">
        <v>6.6969345000000002</v>
      </c>
      <c r="F72">
        <v>0.76885898100000005</v>
      </c>
      <c r="G72">
        <v>3.6142902999999997E-2</v>
      </c>
      <c r="H72">
        <v>0.77825658799999997</v>
      </c>
      <c r="I72">
        <v>99.9</v>
      </c>
      <c r="J72">
        <f t="shared" si="6"/>
        <v>0.99900000000000011</v>
      </c>
      <c r="K72">
        <v>29.9</v>
      </c>
      <c r="L72">
        <f t="shared" si="7"/>
        <v>303.04999999999995</v>
      </c>
      <c r="M72">
        <v>125</v>
      </c>
      <c r="N72">
        <v>0.25</v>
      </c>
      <c r="O72" s="2">
        <f t="shared" si="8"/>
        <v>193.26807550000001</v>
      </c>
      <c r="P72">
        <f t="shared" si="9"/>
        <v>214.66518349999998</v>
      </c>
      <c r="Q72">
        <f t="shared" si="10"/>
        <v>7.7638977899881576</v>
      </c>
      <c r="R72">
        <f t="shared" si="11"/>
        <v>8623.4549573245586</v>
      </c>
      <c r="S72">
        <v>3.0596400714401057</v>
      </c>
      <c r="T72">
        <v>1082.2</v>
      </c>
      <c r="X72" s="1">
        <v>0.68309027777777775</v>
      </c>
    </row>
    <row r="73" spans="1:24" x14ac:dyDescent="0.25">
      <c r="A73" t="s">
        <v>98</v>
      </c>
      <c r="B73" s="1" t="s">
        <v>25</v>
      </c>
      <c r="C73">
        <v>9.6017798000000001E-2</v>
      </c>
      <c r="D73">
        <v>0.15465406000000001</v>
      </c>
      <c r="E73">
        <v>0.231284289</v>
      </c>
      <c r="F73">
        <v>3.7633066999999999E-2</v>
      </c>
      <c r="G73">
        <v>0.65985967300000004</v>
      </c>
      <c r="H73">
        <v>0.99476694099999996</v>
      </c>
      <c r="I73">
        <v>99.9</v>
      </c>
      <c r="J73">
        <f t="shared" si="6"/>
        <v>0.99900000000000011</v>
      </c>
      <c r="K73">
        <v>29.9</v>
      </c>
      <c r="L73">
        <f t="shared" si="7"/>
        <v>303.04999999999995</v>
      </c>
      <c r="M73">
        <v>125</v>
      </c>
      <c r="N73">
        <v>0.25</v>
      </c>
      <c r="O73" s="2">
        <f t="shared" si="8"/>
        <v>48.008899</v>
      </c>
      <c r="P73">
        <f t="shared" si="9"/>
        <v>77.327030000000008</v>
      </c>
      <c r="Q73">
        <f t="shared" si="10"/>
        <v>1.9285967632345191</v>
      </c>
      <c r="R73">
        <f t="shared" si="11"/>
        <v>3106.3545066621618</v>
      </c>
      <c r="S73">
        <v>3.0596400714401057</v>
      </c>
      <c r="T73">
        <v>1082.2</v>
      </c>
      <c r="X73" s="1">
        <v>0.68851851851851853</v>
      </c>
    </row>
    <row r="74" spans="1:24" x14ac:dyDescent="0.25">
      <c r="A74" t="s">
        <v>99</v>
      </c>
      <c r="B74" s="1" t="s">
        <v>25</v>
      </c>
      <c r="C74">
        <v>0.317788654</v>
      </c>
      <c r="D74">
        <v>3.8776418E-2</v>
      </c>
      <c r="E74">
        <v>0.210861734</v>
      </c>
      <c r="F74">
        <v>1.524763E-2</v>
      </c>
      <c r="G74">
        <v>0.96235795899999999</v>
      </c>
      <c r="H74">
        <v>0.98644929699999995</v>
      </c>
      <c r="I74">
        <v>99.9</v>
      </c>
      <c r="J74">
        <f t="shared" si="6"/>
        <v>0.99900000000000011</v>
      </c>
      <c r="K74">
        <v>29.9</v>
      </c>
      <c r="L74">
        <f t="shared" si="7"/>
        <v>303.04999999999995</v>
      </c>
      <c r="M74">
        <v>125</v>
      </c>
      <c r="N74">
        <v>0.25</v>
      </c>
      <c r="O74" s="2">
        <f t="shared" si="8"/>
        <v>158.894327</v>
      </c>
      <c r="P74">
        <f t="shared" si="9"/>
        <v>19.388209</v>
      </c>
      <c r="Q74">
        <f t="shared" si="10"/>
        <v>6.3830475418427586</v>
      </c>
      <c r="R74">
        <f t="shared" si="11"/>
        <v>778.85637665455249</v>
      </c>
      <c r="S74">
        <v>3.0596400714401057</v>
      </c>
      <c r="T74">
        <v>1082.2</v>
      </c>
      <c r="X74" s="1">
        <v>0.68972222222222224</v>
      </c>
    </row>
    <row r="75" spans="1:24" x14ac:dyDescent="0.25">
      <c r="A75" t="s">
        <v>100</v>
      </c>
      <c r="B75" s="1" t="s">
        <v>25</v>
      </c>
      <c r="C75">
        <v>0.116155729</v>
      </c>
      <c r="D75">
        <v>0.12307230299999999</v>
      </c>
      <c r="E75">
        <v>0.18768486300000001</v>
      </c>
      <c r="F75">
        <v>2.9917877999999998E-2</v>
      </c>
      <c r="G75">
        <v>0.81172104199999995</v>
      </c>
      <c r="H75">
        <v>0.99477742599999996</v>
      </c>
      <c r="I75">
        <v>99.9</v>
      </c>
      <c r="J75">
        <f t="shared" si="6"/>
        <v>0.99900000000000011</v>
      </c>
      <c r="K75">
        <v>29.9</v>
      </c>
      <c r="L75">
        <f t="shared" si="7"/>
        <v>303.04999999999995</v>
      </c>
      <c r="M75">
        <v>125</v>
      </c>
      <c r="N75">
        <v>0.25</v>
      </c>
      <c r="O75" s="2">
        <f t="shared" si="8"/>
        <v>58.077864499999997</v>
      </c>
      <c r="P75">
        <f t="shared" si="9"/>
        <v>61.536151499999995</v>
      </c>
      <c r="Q75">
        <f t="shared" si="10"/>
        <v>2.3330837370436881</v>
      </c>
      <c r="R75">
        <f t="shared" si="11"/>
        <v>2472.008837461759</v>
      </c>
      <c r="S75">
        <v>3.0596400714401057</v>
      </c>
      <c r="T75">
        <v>1082.2</v>
      </c>
      <c r="X75" s="1">
        <v>0.69259259259259265</v>
      </c>
    </row>
    <row r="76" spans="1:24" x14ac:dyDescent="0.25">
      <c r="A76" t="s">
        <v>101</v>
      </c>
      <c r="B76" s="1" t="s">
        <v>25</v>
      </c>
      <c r="C76">
        <v>0.43259621799999998</v>
      </c>
      <c r="D76">
        <v>1.7045606000000001E-2</v>
      </c>
      <c r="E76">
        <v>0.20777964199999999</v>
      </c>
      <c r="F76">
        <v>1.2748093E-2</v>
      </c>
      <c r="G76">
        <v>0.97991613899999996</v>
      </c>
      <c r="H76">
        <v>0.95266072899999998</v>
      </c>
      <c r="I76">
        <v>99.9</v>
      </c>
      <c r="J76">
        <f t="shared" si="6"/>
        <v>0.99900000000000011</v>
      </c>
      <c r="K76">
        <v>29.9</v>
      </c>
      <c r="L76">
        <f t="shared" si="7"/>
        <v>303.04999999999995</v>
      </c>
      <c r="M76">
        <v>125</v>
      </c>
      <c r="N76">
        <v>0.25</v>
      </c>
      <c r="O76" s="2">
        <f t="shared" si="8"/>
        <v>216.29810899999998</v>
      </c>
      <c r="P76">
        <f t="shared" si="9"/>
        <v>8.5228030000000015</v>
      </c>
      <c r="Q76">
        <f t="shared" si="10"/>
        <v>8.6890522715621366</v>
      </c>
      <c r="R76">
        <f t="shared" si="11"/>
        <v>342.37507257738724</v>
      </c>
      <c r="S76">
        <v>3.0596400714401057</v>
      </c>
      <c r="T76">
        <v>1082.2</v>
      </c>
      <c r="X76" s="1">
        <v>0.69437499999999996</v>
      </c>
    </row>
    <row r="77" spans="1:24" x14ac:dyDescent="0.25">
      <c r="A77" t="s">
        <v>102</v>
      </c>
      <c r="B77" s="1" t="s">
        <v>25</v>
      </c>
      <c r="C77">
        <v>0.131332592</v>
      </c>
      <c r="D77">
        <v>9.8945494999999994E-2</v>
      </c>
      <c r="E77">
        <v>0.201724657</v>
      </c>
      <c r="F77">
        <v>3.5728561999999998E-2</v>
      </c>
      <c r="G77">
        <v>0.82671976899999999</v>
      </c>
      <c r="H77">
        <v>0.98854869899999998</v>
      </c>
      <c r="I77">
        <v>99.9</v>
      </c>
      <c r="J77">
        <f t="shared" si="6"/>
        <v>0.99900000000000011</v>
      </c>
      <c r="K77">
        <v>30</v>
      </c>
      <c r="L77">
        <f t="shared" si="7"/>
        <v>303.14999999999998</v>
      </c>
      <c r="M77">
        <v>125</v>
      </c>
      <c r="N77">
        <v>0.25</v>
      </c>
      <c r="O77" s="2">
        <f t="shared" si="8"/>
        <v>65.666296000000003</v>
      </c>
      <c r="P77">
        <f t="shared" si="9"/>
        <v>49.472747499999997</v>
      </c>
      <c r="Q77">
        <f t="shared" si="10"/>
        <v>2.6370533922210657</v>
      </c>
      <c r="R77">
        <f t="shared" si="11"/>
        <v>1986.7463914421367</v>
      </c>
      <c r="S77">
        <v>3.1127664556016486</v>
      </c>
      <c r="T77">
        <f>AVERAGE(1082.2,996.1)</f>
        <v>1039.1500000000001</v>
      </c>
      <c r="X77" s="1">
        <v>0.69716435185185188</v>
      </c>
    </row>
    <row r="78" spans="1:24" x14ac:dyDescent="0.25">
      <c r="A78" t="s">
        <v>103</v>
      </c>
      <c r="B78" s="1" t="s">
        <v>25</v>
      </c>
      <c r="C78">
        <v>0.25459621799999999</v>
      </c>
      <c r="D78">
        <v>0.17228921</v>
      </c>
      <c r="E78">
        <v>0.71451980599999998</v>
      </c>
      <c r="F78">
        <v>3.6087787000000003E-2</v>
      </c>
      <c r="G78">
        <v>0.58832209400000002</v>
      </c>
      <c r="H78">
        <v>0.99611731100000001</v>
      </c>
      <c r="I78">
        <v>99.9</v>
      </c>
      <c r="J78">
        <f t="shared" si="6"/>
        <v>0.99900000000000011</v>
      </c>
      <c r="K78">
        <v>30</v>
      </c>
      <c r="L78">
        <f t="shared" si="7"/>
        <v>303.14999999999998</v>
      </c>
      <c r="M78">
        <v>125</v>
      </c>
      <c r="N78">
        <v>0.25</v>
      </c>
      <c r="O78" s="2">
        <f t="shared" si="8"/>
        <v>127.298109</v>
      </c>
      <c r="P78">
        <f t="shared" si="9"/>
        <v>86.144604999999999</v>
      </c>
      <c r="Q78">
        <f t="shared" si="10"/>
        <v>5.1120884016631143</v>
      </c>
      <c r="R78">
        <f t="shared" si="11"/>
        <v>3459.4295197766864</v>
      </c>
      <c r="S78">
        <v>3.0146443741708788</v>
      </c>
      <c r="T78">
        <v>565.79999999999995</v>
      </c>
      <c r="X78" s="1">
        <v>0.64287037037037031</v>
      </c>
    </row>
    <row r="79" spans="1:24" x14ac:dyDescent="0.25">
      <c r="A79" t="s">
        <v>104</v>
      </c>
      <c r="B79" s="1" t="s">
        <v>25</v>
      </c>
      <c r="C79">
        <v>0.124013348</v>
      </c>
      <c r="D79">
        <v>9.9428253999999994E-2</v>
      </c>
      <c r="E79">
        <v>0.22321157899999999</v>
      </c>
      <c r="F79">
        <v>2.4504304000000001E-2</v>
      </c>
      <c r="G79">
        <v>0.77650868799999995</v>
      </c>
      <c r="H79">
        <v>0.99463282600000003</v>
      </c>
      <c r="I79">
        <v>99.9</v>
      </c>
      <c r="J79">
        <f t="shared" si="6"/>
        <v>0.99900000000000011</v>
      </c>
      <c r="K79">
        <v>30</v>
      </c>
      <c r="L79">
        <f t="shared" si="7"/>
        <v>303.14999999999998</v>
      </c>
      <c r="M79">
        <v>125</v>
      </c>
      <c r="N79">
        <v>0.25</v>
      </c>
      <c r="O79" s="2">
        <f t="shared" si="8"/>
        <v>62.006673999999997</v>
      </c>
      <c r="P79">
        <f t="shared" si="9"/>
        <v>49.714126999999998</v>
      </c>
      <c r="Q79">
        <f t="shared" si="10"/>
        <v>2.4900888274868698</v>
      </c>
      <c r="R79">
        <f t="shared" si="11"/>
        <v>1996.4398059951311</v>
      </c>
      <c r="S79">
        <v>3.0146443741708788</v>
      </c>
      <c r="T79">
        <v>565.79999999999995</v>
      </c>
      <c r="X79" s="1">
        <v>0.64722222222222225</v>
      </c>
    </row>
    <row r="80" spans="1:24" x14ac:dyDescent="0.25">
      <c r="A80" t="s">
        <v>105</v>
      </c>
      <c r="B80" s="1" t="s">
        <v>25</v>
      </c>
      <c r="C80">
        <v>-2.607341E-3</v>
      </c>
      <c r="D80">
        <v>0.111641824</v>
      </c>
      <c r="E80">
        <v>0.168291318</v>
      </c>
      <c r="F80">
        <v>3.0705928E-2</v>
      </c>
      <c r="G80">
        <v>2.6945290000000002E-3</v>
      </c>
      <c r="H80">
        <v>0.99332425999999996</v>
      </c>
      <c r="I80">
        <v>99.9</v>
      </c>
      <c r="J80">
        <f t="shared" si="6"/>
        <v>0.99900000000000011</v>
      </c>
      <c r="K80">
        <v>30</v>
      </c>
      <c r="L80">
        <f t="shared" si="7"/>
        <v>303.14999999999998</v>
      </c>
      <c r="M80">
        <v>125</v>
      </c>
      <c r="N80">
        <v>0.25</v>
      </c>
      <c r="O80" s="2">
        <f t="shared" si="8"/>
        <v>-1.3036705</v>
      </c>
      <c r="P80">
        <f t="shared" si="9"/>
        <v>55.820912</v>
      </c>
      <c r="Q80">
        <f t="shared" si="10"/>
        <v>-5.23533216242855E-2</v>
      </c>
      <c r="R80">
        <f t="shared" si="11"/>
        <v>2241.678521756025</v>
      </c>
      <c r="S80">
        <v>3.0146443741708788</v>
      </c>
      <c r="T80">
        <v>565.79999999999995</v>
      </c>
      <c r="X80" s="1">
        <v>0.65216435185185184</v>
      </c>
    </row>
    <row r="81" spans="1:24" x14ac:dyDescent="0.25">
      <c r="A81" t="s">
        <v>106</v>
      </c>
      <c r="B81" s="1" t="s">
        <v>25</v>
      </c>
      <c r="C81">
        <v>2.3808676000000001E-2</v>
      </c>
      <c r="D81">
        <v>0.14591768599999999</v>
      </c>
      <c r="E81">
        <v>0.45777643200000001</v>
      </c>
      <c r="F81">
        <v>6.8249859999999996E-2</v>
      </c>
      <c r="G81">
        <v>2.9547462E-2</v>
      </c>
      <c r="H81">
        <v>0.98093461999999998</v>
      </c>
      <c r="I81">
        <v>99.9</v>
      </c>
      <c r="J81">
        <f t="shared" si="6"/>
        <v>0.99900000000000011</v>
      </c>
      <c r="K81">
        <v>30</v>
      </c>
      <c r="L81">
        <f t="shared" si="7"/>
        <v>303.14999999999998</v>
      </c>
      <c r="M81">
        <v>125</v>
      </c>
      <c r="N81">
        <v>0.25</v>
      </c>
      <c r="O81" s="2">
        <f t="shared" si="8"/>
        <v>11.904338000000001</v>
      </c>
      <c r="P81">
        <f t="shared" si="9"/>
        <v>72.958843000000002</v>
      </c>
      <c r="Q81">
        <f t="shared" si="10"/>
        <v>0.47805916912149476</v>
      </c>
      <c r="R81">
        <f t="shared" si="11"/>
        <v>2929.9104128802105</v>
      </c>
      <c r="S81">
        <v>3.0104689664504205</v>
      </c>
      <c r="T81">
        <f>AVERAGE(565.8,1029.1)</f>
        <v>797.44999999999993</v>
      </c>
      <c r="X81" s="1">
        <v>0.65694444444444444</v>
      </c>
    </row>
    <row r="82" spans="1:24" x14ac:dyDescent="0.25">
      <c r="A82" t="s">
        <v>107</v>
      </c>
      <c r="B82" s="1" t="s">
        <v>40</v>
      </c>
      <c r="C82">
        <v>0.559152392</v>
      </c>
      <c r="D82">
        <v>4.8402670000000002E-2</v>
      </c>
      <c r="E82">
        <v>0.47648343900000001</v>
      </c>
      <c r="F82">
        <v>3.7913292000000001E-2</v>
      </c>
      <c r="G82">
        <v>0.93939594500000001</v>
      </c>
      <c r="H82">
        <v>0.94830933399999995</v>
      </c>
      <c r="I82">
        <v>99.9</v>
      </c>
      <c r="J82">
        <f t="shared" si="6"/>
        <v>0.99900000000000011</v>
      </c>
      <c r="K82">
        <v>29.8</v>
      </c>
      <c r="L82">
        <f t="shared" si="7"/>
        <v>302.95</v>
      </c>
      <c r="M82">
        <v>125</v>
      </c>
      <c r="N82">
        <v>0.25</v>
      </c>
      <c r="O82" s="2">
        <f t="shared" si="8"/>
        <v>279.57619599999998</v>
      </c>
      <c r="P82">
        <f t="shared" si="9"/>
        <v>24.201335</v>
      </c>
      <c r="Q82">
        <f t="shared" si="10"/>
        <v>11.234744759801027</v>
      </c>
      <c r="R82">
        <f t="shared" si="11"/>
        <v>972.52851087307602</v>
      </c>
      <c r="S82">
        <v>3.1246462016268435</v>
      </c>
      <c r="T82">
        <v>655.5</v>
      </c>
      <c r="X82" s="1">
        <v>0.72303240740740737</v>
      </c>
    </row>
    <row r="83" spans="1:24" x14ac:dyDescent="0.25">
      <c r="A83" t="s">
        <v>108</v>
      </c>
      <c r="B83" s="1" t="s">
        <v>40</v>
      </c>
      <c r="C83">
        <v>0.16882091199999999</v>
      </c>
      <c r="D83">
        <v>0.146856507</v>
      </c>
      <c r="E83">
        <v>0.30221356100000002</v>
      </c>
      <c r="F83">
        <v>6.3482644000000005E-2</v>
      </c>
      <c r="G83">
        <v>0.77838957900000005</v>
      </c>
      <c r="H83">
        <v>0.983669829</v>
      </c>
      <c r="I83">
        <v>99.9</v>
      </c>
      <c r="J83">
        <f t="shared" si="6"/>
        <v>0.99900000000000011</v>
      </c>
      <c r="K83">
        <v>29.5</v>
      </c>
      <c r="L83">
        <f t="shared" si="7"/>
        <v>302.64999999999998</v>
      </c>
      <c r="M83">
        <v>125</v>
      </c>
      <c r="N83">
        <v>0.25</v>
      </c>
      <c r="O83" s="2">
        <f t="shared" si="8"/>
        <v>84.410455999999996</v>
      </c>
      <c r="P83">
        <f t="shared" si="9"/>
        <v>73.428253499999997</v>
      </c>
      <c r="Q83">
        <f t="shared" si="10"/>
        <v>3.3953890501480171</v>
      </c>
      <c r="R83">
        <f t="shared" si="11"/>
        <v>2953.6327573611588</v>
      </c>
      <c r="S83">
        <v>3.0630013741452924</v>
      </c>
      <c r="T83">
        <v>305.8</v>
      </c>
      <c r="X83" s="1">
        <v>0.74760416666666663</v>
      </c>
    </row>
    <row r="84" spans="1:24" x14ac:dyDescent="0.25">
      <c r="A84" t="s">
        <v>109</v>
      </c>
      <c r="B84" s="1" t="s">
        <v>40</v>
      </c>
      <c r="C84">
        <v>0.33071635199999999</v>
      </c>
      <c r="D84">
        <v>8.7452729999999996E-3</v>
      </c>
      <c r="E84">
        <v>0.32941441700000001</v>
      </c>
      <c r="F84">
        <v>1.5666653999999999E-2</v>
      </c>
      <c r="G84">
        <v>0.91899620900000001</v>
      </c>
      <c r="H84">
        <v>0.778139091</v>
      </c>
      <c r="I84">
        <v>99.9</v>
      </c>
      <c r="J84">
        <f t="shared" si="6"/>
        <v>0.99900000000000011</v>
      </c>
      <c r="K84">
        <v>29.5</v>
      </c>
      <c r="L84">
        <f t="shared" si="7"/>
        <v>302.64999999999998</v>
      </c>
      <c r="M84">
        <v>125</v>
      </c>
      <c r="N84">
        <v>0.25</v>
      </c>
      <c r="O84" s="2">
        <f t="shared" si="8"/>
        <v>165.35817599999999</v>
      </c>
      <c r="P84">
        <f t="shared" si="9"/>
        <v>4.3726364999999996</v>
      </c>
      <c r="Q84">
        <f t="shared" si="10"/>
        <v>6.6514904284233287</v>
      </c>
      <c r="R84">
        <f t="shared" si="11"/>
        <v>175.88818726885623</v>
      </c>
      <c r="S84">
        <v>3.0630013741452924</v>
      </c>
      <c r="T84">
        <v>305.8</v>
      </c>
      <c r="X84" s="1">
        <v>0.75042824074074066</v>
      </c>
    </row>
    <row r="85" spans="1:24" x14ac:dyDescent="0.25">
      <c r="A85" t="s">
        <v>110</v>
      </c>
      <c r="B85" s="1" t="s">
        <v>40</v>
      </c>
      <c r="C85">
        <v>0.232969967</v>
      </c>
      <c r="D85">
        <v>1.9741934999999999E-2</v>
      </c>
      <c r="E85">
        <v>0.30939373999999997</v>
      </c>
      <c r="F85">
        <v>1.7468595999999999E-2</v>
      </c>
      <c r="G85">
        <v>0.86453597100000001</v>
      </c>
      <c r="H85">
        <v>0.93496464599999995</v>
      </c>
      <c r="I85">
        <v>99.9</v>
      </c>
      <c r="J85">
        <f t="shared" si="6"/>
        <v>0.99900000000000011</v>
      </c>
      <c r="K85">
        <v>29.8</v>
      </c>
      <c r="L85">
        <f t="shared" si="7"/>
        <v>302.95</v>
      </c>
      <c r="M85">
        <v>125</v>
      </c>
      <c r="N85">
        <v>0.25</v>
      </c>
      <c r="O85" s="2">
        <f t="shared" si="8"/>
        <v>116.4849835</v>
      </c>
      <c r="P85">
        <f t="shared" si="9"/>
        <v>9.870967499999999</v>
      </c>
      <c r="Q85">
        <f t="shared" si="10"/>
        <v>4.680938780539579</v>
      </c>
      <c r="R85">
        <f t="shared" si="11"/>
        <v>396.66395773834495</v>
      </c>
      <c r="S85">
        <v>3.1246462016268435</v>
      </c>
      <c r="T85">
        <v>655.5</v>
      </c>
      <c r="X85" s="1">
        <v>0.7244328703703703</v>
      </c>
    </row>
    <row r="86" spans="1:24" x14ac:dyDescent="0.25">
      <c r="A86" t="s">
        <v>111</v>
      </c>
      <c r="B86" s="1" t="s">
        <v>40</v>
      </c>
      <c r="C86">
        <v>0.286097887</v>
      </c>
      <c r="D86">
        <v>0.109388209</v>
      </c>
      <c r="E86">
        <v>0.192261341</v>
      </c>
      <c r="F86">
        <v>2.6657874000000002E-2</v>
      </c>
      <c r="G86">
        <v>0.96142654900000002</v>
      </c>
      <c r="H86">
        <v>0.994751414</v>
      </c>
      <c r="I86">
        <v>99.9</v>
      </c>
      <c r="J86">
        <f t="shared" si="6"/>
        <v>0.99900000000000011</v>
      </c>
      <c r="K86">
        <v>29.8</v>
      </c>
      <c r="L86">
        <f t="shared" si="7"/>
        <v>302.95</v>
      </c>
      <c r="M86">
        <v>125</v>
      </c>
      <c r="N86">
        <v>0.25</v>
      </c>
      <c r="O86" s="2">
        <f t="shared" si="8"/>
        <v>143.04894350000001</v>
      </c>
      <c r="P86">
        <f t="shared" si="9"/>
        <v>54.694104500000002</v>
      </c>
      <c r="Q86">
        <f t="shared" si="10"/>
        <v>5.7484091685033816</v>
      </c>
      <c r="R86">
        <f t="shared" si="11"/>
        <v>2197.8777618227014</v>
      </c>
      <c r="S86">
        <v>3.1246462016268435</v>
      </c>
      <c r="T86">
        <v>655.5</v>
      </c>
      <c r="X86" s="1">
        <v>0.73307870370370365</v>
      </c>
    </row>
    <row r="87" spans="1:24" x14ac:dyDescent="0.25">
      <c r="A87" t="s">
        <v>112</v>
      </c>
      <c r="B87" s="1" t="s">
        <v>40</v>
      </c>
      <c r="C87">
        <v>0.36689655199999999</v>
      </c>
      <c r="D87">
        <v>7.3036710000000003E-3</v>
      </c>
      <c r="E87">
        <v>0.17712014600000001</v>
      </c>
      <c r="F87">
        <v>1.4442177E-2</v>
      </c>
      <c r="G87">
        <v>0.97971540499999998</v>
      </c>
      <c r="H87">
        <v>0.74218292200000002</v>
      </c>
      <c r="I87">
        <v>99.9</v>
      </c>
      <c r="J87">
        <f t="shared" si="6"/>
        <v>0.99900000000000011</v>
      </c>
      <c r="K87">
        <v>29.8</v>
      </c>
      <c r="L87">
        <f t="shared" si="7"/>
        <v>302.95</v>
      </c>
      <c r="M87">
        <v>125</v>
      </c>
      <c r="N87">
        <v>0.25</v>
      </c>
      <c r="O87" s="2">
        <f t="shared" si="8"/>
        <v>183.44827599999999</v>
      </c>
      <c r="P87">
        <f t="shared" si="9"/>
        <v>3.6518355000000002</v>
      </c>
      <c r="Q87">
        <f t="shared" si="10"/>
        <v>7.3718527792170567</v>
      </c>
      <c r="R87">
        <f t="shared" si="11"/>
        <v>146.7486872426019</v>
      </c>
      <c r="S87">
        <v>3.1246462016268435</v>
      </c>
      <c r="T87">
        <v>655.5</v>
      </c>
      <c r="X87" s="1">
        <v>0.73561342592592593</v>
      </c>
    </row>
    <row r="88" spans="1:24" x14ac:dyDescent="0.25">
      <c r="A88" t="s">
        <v>113</v>
      </c>
      <c r="B88" s="1" t="s">
        <v>40</v>
      </c>
      <c r="C88">
        <v>0.10330589499999999</v>
      </c>
      <c r="D88">
        <v>0.126716352</v>
      </c>
      <c r="E88">
        <v>0.188407302</v>
      </c>
      <c r="F88">
        <v>4.3075226000000001E-2</v>
      </c>
      <c r="G88">
        <v>0.77190050300000002</v>
      </c>
      <c r="H88">
        <v>0.98983817399999996</v>
      </c>
      <c r="I88">
        <v>99.9</v>
      </c>
      <c r="J88">
        <f t="shared" si="6"/>
        <v>0.99900000000000011</v>
      </c>
      <c r="K88">
        <v>29.65</v>
      </c>
      <c r="L88">
        <f t="shared" si="7"/>
        <v>302.79999999999995</v>
      </c>
      <c r="M88">
        <v>125</v>
      </c>
      <c r="N88">
        <v>0.25</v>
      </c>
      <c r="O88" s="2">
        <f t="shared" si="8"/>
        <v>51.652947499999996</v>
      </c>
      <c r="P88">
        <f t="shared" si="9"/>
        <v>63.358176</v>
      </c>
      <c r="Q88">
        <f t="shared" si="10"/>
        <v>2.07669737388485</v>
      </c>
      <c r="R88">
        <f t="shared" si="11"/>
        <v>2547.3039600176571</v>
      </c>
      <c r="S88">
        <v>3.0936877751349132</v>
      </c>
      <c r="T88">
        <f>AVERAGE(655.5,305.8)</f>
        <v>480.65</v>
      </c>
      <c r="X88" s="1">
        <v>0.73799768518518516</v>
      </c>
    </row>
    <row r="89" spans="1:24" x14ac:dyDescent="0.25">
      <c r="A89" t="s">
        <v>114</v>
      </c>
      <c r="B89" s="1" t="s">
        <v>40</v>
      </c>
      <c r="C89">
        <v>5.5279199000000001E-2</v>
      </c>
      <c r="D89">
        <v>4.5219132000000002E-2</v>
      </c>
      <c r="E89">
        <v>0.19904986099999999</v>
      </c>
      <c r="F89">
        <v>1.8078542E-2</v>
      </c>
      <c r="G89">
        <v>0.46470375000000003</v>
      </c>
      <c r="H89">
        <v>0.98599844299999995</v>
      </c>
      <c r="I89">
        <v>99.9</v>
      </c>
      <c r="J89">
        <f t="shared" si="6"/>
        <v>0.99900000000000011</v>
      </c>
      <c r="K89">
        <v>29.5</v>
      </c>
      <c r="L89">
        <f t="shared" si="7"/>
        <v>302.64999999999998</v>
      </c>
      <c r="M89">
        <v>125</v>
      </c>
      <c r="N89">
        <v>0.25</v>
      </c>
      <c r="O89" s="2">
        <f t="shared" si="8"/>
        <v>27.639599499999999</v>
      </c>
      <c r="P89">
        <f t="shared" si="9"/>
        <v>22.609566000000001</v>
      </c>
      <c r="Q89">
        <f t="shared" si="10"/>
        <v>1.1117958359658262</v>
      </c>
      <c r="R89">
        <f t="shared" si="11"/>
        <v>909.46402214672207</v>
      </c>
      <c r="S89">
        <v>3.0670583296077365</v>
      </c>
      <c r="T89">
        <f>AVERAGE(655.5,305.8)</f>
        <v>480.65</v>
      </c>
      <c r="X89" s="1">
        <v>0.7424884259259259</v>
      </c>
    </row>
    <row r="90" spans="1:24" x14ac:dyDescent="0.25">
      <c r="A90" t="s">
        <v>115</v>
      </c>
      <c r="B90" s="1" t="s">
        <v>40</v>
      </c>
      <c r="C90">
        <v>-3.5417130000000002E-3</v>
      </c>
      <c r="D90">
        <v>0.137661846</v>
      </c>
      <c r="E90">
        <v>0.21609255099999999</v>
      </c>
      <c r="F90">
        <v>0.16866500600000001</v>
      </c>
      <c r="G90">
        <v>3.0145200000000001E-3</v>
      </c>
      <c r="H90">
        <v>0.88232860499999999</v>
      </c>
      <c r="I90">
        <v>99.9</v>
      </c>
      <c r="J90">
        <f t="shared" si="6"/>
        <v>0.99900000000000011</v>
      </c>
      <c r="K90">
        <v>29.5</v>
      </c>
      <c r="L90">
        <f t="shared" si="7"/>
        <v>302.64999999999998</v>
      </c>
      <c r="M90">
        <v>125</v>
      </c>
      <c r="N90">
        <v>0.25</v>
      </c>
      <c r="O90" s="2">
        <f t="shared" si="8"/>
        <v>-1.7708565000000001</v>
      </c>
      <c r="P90">
        <f t="shared" si="9"/>
        <v>68.830922999999999</v>
      </c>
      <c r="Q90">
        <f t="shared" si="10"/>
        <v>-7.123225077096422E-2</v>
      </c>
      <c r="R90">
        <f t="shared" si="11"/>
        <v>2768.7063112866172</v>
      </c>
      <c r="S90">
        <v>3.0021470422086312</v>
      </c>
      <c r="T90">
        <f>AVERAGE(1331.2,1314.7)</f>
        <v>1322.95</v>
      </c>
      <c r="X90" s="1">
        <v>0.53200231481481486</v>
      </c>
    </row>
    <row r="91" spans="1:24" x14ac:dyDescent="0.25">
      <c r="A91" t="s">
        <v>116</v>
      </c>
      <c r="B91" s="1" t="s">
        <v>40</v>
      </c>
      <c r="C91">
        <v>0.21517241400000001</v>
      </c>
      <c r="D91">
        <v>3.9788654E-2</v>
      </c>
      <c r="E91">
        <v>0.51587043200000005</v>
      </c>
      <c r="F91">
        <v>4.3511896000000001E-2</v>
      </c>
      <c r="G91">
        <v>0.66196541200000003</v>
      </c>
      <c r="H91">
        <v>0.90395753300000004</v>
      </c>
      <c r="I91">
        <v>99.9</v>
      </c>
      <c r="J91">
        <f t="shared" si="6"/>
        <v>0.99900000000000011</v>
      </c>
      <c r="K91">
        <v>29.5</v>
      </c>
      <c r="L91">
        <f t="shared" si="7"/>
        <v>302.64999999999998</v>
      </c>
      <c r="M91">
        <v>125</v>
      </c>
      <c r="N91">
        <v>0.25</v>
      </c>
      <c r="O91" s="2">
        <f t="shared" si="8"/>
        <v>107.586207</v>
      </c>
      <c r="P91">
        <f t="shared" si="9"/>
        <v>19.894327000000001</v>
      </c>
      <c r="Q91">
        <f t="shared" si="10"/>
        <v>4.3276277194232664</v>
      </c>
      <c r="R91">
        <f t="shared" si="11"/>
        <v>800.24422632978133</v>
      </c>
      <c r="S91">
        <v>3.0021470422086312</v>
      </c>
      <c r="T91">
        <f>AVERAGE(1331.2,1314.7)</f>
        <v>1322.95</v>
      </c>
      <c r="X91" s="1">
        <v>0.53318287037037038</v>
      </c>
    </row>
    <row r="92" spans="1:24" x14ac:dyDescent="0.25">
      <c r="A92" t="s">
        <v>117</v>
      </c>
      <c r="B92" s="1" t="s">
        <v>40</v>
      </c>
      <c r="C92">
        <v>3.5421580000000001E-2</v>
      </c>
      <c r="D92">
        <v>0.10939043399999999</v>
      </c>
      <c r="E92">
        <v>0.40420524400000002</v>
      </c>
      <c r="F92">
        <v>0.211897062</v>
      </c>
      <c r="G92">
        <v>7.9562515E-2</v>
      </c>
      <c r="H92">
        <v>0.74998696600000003</v>
      </c>
      <c r="I92">
        <v>99.9</v>
      </c>
      <c r="J92">
        <f t="shared" si="6"/>
        <v>0.99900000000000011</v>
      </c>
      <c r="K92">
        <v>29.4</v>
      </c>
      <c r="L92">
        <f t="shared" si="7"/>
        <v>302.54999999999995</v>
      </c>
      <c r="M92">
        <v>125</v>
      </c>
      <c r="N92">
        <v>0.25</v>
      </c>
      <c r="O92" s="2">
        <f t="shared" si="8"/>
        <v>17.710789999999999</v>
      </c>
      <c r="P92">
        <f t="shared" si="9"/>
        <v>54.695217</v>
      </c>
      <c r="Q92">
        <f t="shared" si="10"/>
        <v>0.71264747694801367</v>
      </c>
      <c r="R92">
        <f t="shared" si="11"/>
        <v>2200.8283309877261</v>
      </c>
      <c r="S92">
        <v>2.9889122791521547</v>
      </c>
      <c r="T92">
        <v>1331.2</v>
      </c>
      <c r="X92" s="1">
        <v>0.53695601851851849</v>
      </c>
    </row>
    <row r="93" spans="1:24" x14ac:dyDescent="0.25">
      <c r="A93" t="s">
        <v>118</v>
      </c>
      <c r="B93" s="1" t="s">
        <v>40</v>
      </c>
      <c r="C93">
        <v>0.229368187</v>
      </c>
      <c r="D93">
        <v>0.111279199</v>
      </c>
      <c r="E93">
        <v>0.39140694199999998</v>
      </c>
      <c r="F93">
        <v>0.13672358900000001</v>
      </c>
      <c r="G93">
        <v>0.79446596999999997</v>
      </c>
      <c r="H93">
        <v>0.88174496099999999</v>
      </c>
      <c r="I93">
        <v>99.9</v>
      </c>
      <c r="J93">
        <f t="shared" si="6"/>
        <v>0.99900000000000011</v>
      </c>
      <c r="K93">
        <v>29.4</v>
      </c>
      <c r="L93">
        <f t="shared" si="7"/>
        <v>302.54999999999995</v>
      </c>
      <c r="M93">
        <v>125</v>
      </c>
      <c r="N93">
        <v>0.25</v>
      </c>
      <c r="O93" s="2">
        <f t="shared" si="8"/>
        <v>114.6840935</v>
      </c>
      <c r="P93">
        <f t="shared" si="9"/>
        <v>55.639599499999996</v>
      </c>
      <c r="Q93">
        <f t="shared" si="10"/>
        <v>4.6146631448312077</v>
      </c>
      <c r="R93">
        <f t="shared" si="11"/>
        <v>2238.828431824496</v>
      </c>
      <c r="S93">
        <v>2.9889122791521547</v>
      </c>
      <c r="T93">
        <v>1331.2</v>
      </c>
      <c r="X93" s="1">
        <v>0.54107638888888887</v>
      </c>
    </row>
    <row r="94" spans="1:24" x14ac:dyDescent="0.25">
      <c r="A94" t="s">
        <v>119</v>
      </c>
      <c r="B94" s="1" t="s">
        <v>40</v>
      </c>
      <c r="C94">
        <v>0.16425806500000001</v>
      </c>
      <c r="D94">
        <v>6.9428253999999995E-2</v>
      </c>
      <c r="E94">
        <v>0.52790704399999999</v>
      </c>
      <c r="F94">
        <v>7.8610052E-2</v>
      </c>
      <c r="G94">
        <v>0.52147033099999995</v>
      </c>
      <c r="H94">
        <v>0.89775136700000002</v>
      </c>
      <c r="I94">
        <v>99.9</v>
      </c>
      <c r="J94">
        <f t="shared" si="6"/>
        <v>0.99900000000000011</v>
      </c>
      <c r="K94">
        <v>29.4</v>
      </c>
      <c r="L94">
        <f t="shared" si="7"/>
        <v>302.54999999999995</v>
      </c>
      <c r="M94">
        <v>125</v>
      </c>
      <c r="N94">
        <v>0.25</v>
      </c>
      <c r="O94" s="2">
        <f t="shared" si="8"/>
        <v>82.129032500000008</v>
      </c>
      <c r="P94">
        <f t="shared" si="9"/>
        <v>34.714126999999998</v>
      </c>
      <c r="Q94">
        <f t="shared" si="10"/>
        <v>3.3047112971982857</v>
      </c>
      <c r="R94">
        <f t="shared" si="11"/>
        <v>1396.8284317640785</v>
      </c>
      <c r="S94">
        <v>2.9889122791521547</v>
      </c>
      <c r="T94">
        <v>1331.2</v>
      </c>
      <c r="X94" s="1">
        <v>0.54488425925925921</v>
      </c>
    </row>
    <row r="95" spans="1:24" x14ac:dyDescent="0.25">
      <c r="A95" t="s">
        <v>120</v>
      </c>
      <c r="B95" s="1" t="s">
        <v>40</v>
      </c>
      <c r="C95">
        <v>8.7434927999999995E-2</v>
      </c>
      <c r="D95">
        <v>8.7243604000000002E-2</v>
      </c>
      <c r="E95">
        <v>0.52905670699999996</v>
      </c>
      <c r="F95">
        <v>5.9682018000000003E-2</v>
      </c>
      <c r="G95">
        <v>0.235141302</v>
      </c>
      <c r="H95">
        <v>0.96008402100000001</v>
      </c>
      <c r="I95">
        <v>99.9</v>
      </c>
      <c r="J95">
        <f t="shared" si="6"/>
        <v>0.99900000000000011</v>
      </c>
      <c r="K95">
        <v>22.7</v>
      </c>
      <c r="L95">
        <f t="shared" si="7"/>
        <v>295.84999999999997</v>
      </c>
      <c r="M95">
        <v>125</v>
      </c>
      <c r="N95">
        <v>0.25</v>
      </c>
      <c r="O95" s="2">
        <f t="shared" si="8"/>
        <v>43.717464</v>
      </c>
      <c r="P95">
        <f t="shared" si="9"/>
        <v>43.621802000000002</v>
      </c>
      <c r="Q95">
        <f t="shared" si="10"/>
        <v>1.7989428353083696</v>
      </c>
      <c r="R95">
        <f t="shared" si="11"/>
        <v>1795.0064114226825</v>
      </c>
      <c r="S95">
        <v>1.3051375822737363</v>
      </c>
      <c r="T95">
        <v>313.10000000000002</v>
      </c>
      <c r="X95" s="1">
        <v>0.64467592592592593</v>
      </c>
    </row>
    <row r="96" spans="1:24" x14ac:dyDescent="0.25">
      <c r="A96" t="s">
        <v>121</v>
      </c>
      <c r="B96" s="1" t="s">
        <v>40</v>
      </c>
      <c r="C96">
        <v>1.6576196000000001E-2</v>
      </c>
      <c r="D96">
        <v>5.4042268999999997E-2</v>
      </c>
      <c r="E96">
        <v>0.49246542700000001</v>
      </c>
      <c r="F96">
        <v>2.4512206000000002E-2</v>
      </c>
      <c r="G96">
        <v>1.2592068999999999E-2</v>
      </c>
      <c r="H96">
        <v>0.98205062700000001</v>
      </c>
      <c r="I96">
        <v>99.9</v>
      </c>
      <c r="J96">
        <f t="shared" si="6"/>
        <v>0.99900000000000011</v>
      </c>
      <c r="K96">
        <v>22.7</v>
      </c>
      <c r="L96">
        <f t="shared" si="7"/>
        <v>295.84999999999997</v>
      </c>
      <c r="M96">
        <v>125</v>
      </c>
      <c r="N96">
        <v>0.25</v>
      </c>
      <c r="O96" s="2">
        <f t="shared" si="8"/>
        <v>8.2880980000000015</v>
      </c>
      <c r="P96">
        <f t="shared" si="9"/>
        <v>27.021134499999999</v>
      </c>
      <c r="Q96">
        <f t="shared" si="10"/>
        <v>0.34104939196458489</v>
      </c>
      <c r="R96">
        <f t="shared" si="11"/>
        <v>1111.9006425139116</v>
      </c>
      <c r="S96">
        <v>1.3051375822737363</v>
      </c>
      <c r="T96">
        <v>313.10000000000002</v>
      </c>
      <c r="X96" s="1">
        <v>0.65141203703703698</v>
      </c>
    </row>
    <row r="97" spans="1:24" x14ac:dyDescent="0.25">
      <c r="A97" t="s">
        <v>122</v>
      </c>
      <c r="B97" s="1" t="s">
        <v>40</v>
      </c>
      <c r="C97">
        <v>0.119661846</v>
      </c>
      <c r="D97">
        <v>2.9911012000000001E-2</v>
      </c>
      <c r="E97">
        <v>0.34712714</v>
      </c>
      <c r="F97">
        <v>1.7673608E-2</v>
      </c>
      <c r="G97">
        <v>0.57220531699999999</v>
      </c>
      <c r="H97">
        <v>0.96991569799999999</v>
      </c>
      <c r="I97">
        <v>99.9</v>
      </c>
      <c r="J97">
        <f t="shared" si="6"/>
        <v>0.99900000000000011</v>
      </c>
      <c r="K97">
        <v>22.5</v>
      </c>
      <c r="L97">
        <f t="shared" si="7"/>
        <v>295.64999999999998</v>
      </c>
      <c r="M97">
        <v>125</v>
      </c>
      <c r="N97">
        <v>0.25</v>
      </c>
      <c r="O97" s="2">
        <f t="shared" si="8"/>
        <v>59.830922999999999</v>
      </c>
      <c r="P97">
        <f t="shared" si="9"/>
        <v>14.955506</v>
      </c>
      <c r="Q97">
        <f t="shared" si="10"/>
        <v>2.4636658008340042</v>
      </c>
      <c r="R97">
        <f t="shared" si="11"/>
        <v>615.82484138457562</v>
      </c>
      <c r="S97">
        <v>1.292063333916275</v>
      </c>
      <c r="T97">
        <f>AVERAGE(313.1,413.8)</f>
        <v>363.45000000000005</v>
      </c>
      <c r="X97" s="1">
        <v>0.65687499999999999</v>
      </c>
    </row>
    <row r="98" spans="1:24" x14ac:dyDescent="0.25">
      <c r="A98" t="s">
        <v>123</v>
      </c>
      <c r="B98" s="1" t="s">
        <v>40</v>
      </c>
      <c r="C98">
        <v>8.9866518000000006E-2</v>
      </c>
      <c r="D98">
        <v>0.126166852</v>
      </c>
      <c r="E98">
        <v>0.43132530600000002</v>
      </c>
      <c r="F98">
        <v>4.5571647E-2</v>
      </c>
      <c r="G98">
        <v>0.32823534900000001</v>
      </c>
      <c r="H98">
        <v>0.98854192200000002</v>
      </c>
      <c r="I98">
        <v>99.9</v>
      </c>
      <c r="J98">
        <f t="shared" si="6"/>
        <v>0.99900000000000011</v>
      </c>
      <c r="K98">
        <v>22.2</v>
      </c>
      <c r="L98">
        <f t="shared" si="7"/>
        <v>295.34999999999997</v>
      </c>
      <c r="M98">
        <v>125</v>
      </c>
      <c r="N98">
        <v>0.25</v>
      </c>
      <c r="O98" s="2">
        <f t="shared" si="8"/>
        <v>44.933259000000007</v>
      </c>
      <c r="P98">
        <f t="shared" si="9"/>
        <v>63.083425999999996</v>
      </c>
      <c r="Q98">
        <f t="shared" si="10"/>
        <v>1.8521020797996544</v>
      </c>
      <c r="R98">
        <f t="shared" si="11"/>
        <v>2600.2330366352362</v>
      </c>
      <c r="S98">
        <v>1.2055230640288417</v>
      </c>
      <c r="T98">
        <v>878.9</v>
      </c>
      <c r="X98" s="1">
        <v>0.68204861111111104</v>
      </c>
    </row>
    <row r="99" spans="1:24" x14ac:dyDescent="0.25">
      <c r="A99" t="s">
        <v>124</v>
      </c>
      <c r="B99" s="1" t="s">
        <v>40</v>
      </c>
      <c r="C99">
        <v>-8.3799778000000005E-2</v>
      </c>
      <c r="D99">
        <v>9.4500555999999999E-2</v>
      </c>
      <c r="E99">
        <v>0.21650618199999999</v>
      </c>
      <c r="F99">
        <v>2.8551778999999999E-2</v>
      </c>
      <c r="G99">
        <v>0.62773674199999996</v>
      </c>
      <c r="H99">
        <v>0.99195534399999996</v>
      </c>
      <c r="I99">
        <v>99.9</v>
      </c>
      <c r="J99">
        <f t="shared" si="6"/>
        <v>0.99900000000000011</v>
      </c>
      <c r="K99">
        <v>22.4</v>
      </c>
      <c r="L99">
        <f t="shared" si="7"/>
        <v>295.54999999999995</v>
      </c>
      <c r="M99">
        <v>125</v>
      </c>
      <c r="N99">
        <v>0.25</v>
      </c>
      <c r="O99" s="2">
        <f t="shared" si="8"/>
        <v>-41.899889000000002</v>
      </c>
      <c r="P99">
        <f t="shared" si="9"/>
        <v>47.250278000000002</v>
      </c>
      <c r="Q99">
        <f t="shared" si="10"/>
        <v>-1.7259010158112258</v>
      </c>
      <c r="R99">
        <f t="shared" si="11"/>
        <v>1946.2892323548353</v>
      </c>
      <c r="S99">
        <v>1.2868966263560186</v>
      </c>
      <c r="T99">
        <v>413.8</v>
      </c>
      <c r="X99" s="1">
        <v>0.66303240740740743</v>
      </c>
    </row>
    <row r="100" spans="1:24" x14ac:dyDescent="0.25">
      <c r="A100" t="s">
        <v>125</v>
      </c>
      <c r="B100" s="1" t="s">
        <v>40</v>
      </c>
      <c r="C100">
        <v>0.17031813100000001</v>
      </c>
      <c r="D100">
        <v>8.5087874999999993E-2</v>
      </c>
      <c r="E100">
        <v>0.23611637199999999</v>
      </c>
      <c r="F100">
        <v>1.6770363999999999E-2</v>
      </c>
      <c r="G100">
        <v>0.85415691299999996</v>
      </c>
      <c r="H100">
        <v>0.99656069199999997</v>
      </c>
      <c r="I100">
        <v>99.9</v>
      </c>
      <c r="J100">
        <f t="shared" si="6"/>
        <v>0.99900000000000011</v>
      </c>
      <c r="K100">
        <v>22.4</v>
      </c>
      <c r="L100">
        <f t="shared" si="7"/>
        <v>295.54999999999995</v>
      </c>
      <c r="M100">
        <v>125</v>
      </c>
      <c r="N100">
        <v>0.25</v>
      </c>
      <c r="O100" s="2">
        <f t="shared" si="8"/>
        <v>85.159065500000011</v>
      </c>
      <c r="P100">
        <f t="shared" si="9"/>
        <v>42.543937499999998</v>
      </c>
      <c r="Q100">
        <f t="shared" si="10"/>
        <v>3.507792530237603</v>
      </c>
      <c r="R100">
        <f t="shared" si="11"/>
        <v>1752.4300588925018</v>
      </c>
      <c r="S100">
        <v>1.2868966263560186</v>
      </c>
      <c r="T100">
        <v>413.8</v>
      </c>
      <c r="X100" s="1">
        <v>0.66850694444444436</v>
      </c>
    </row>
    <row r="101" spans="1:24" x14ac:dyDescent="0.25">
      <c r="A101" t="s">
        <v>126</v>
      </c>
      <c r="B101" s="1" t="s">
        <v>40</v>
      </c>
      <c r="C101">
        <v>1.2042269E-2</v>
      </c>
      <c r="D101">
        <v>2.4849830000000001E-3</v>
      </c>
      <c r="E101">
        <v>0.21998909</v>
      </c>
      <c r="F101">
        <v>5.1316019999999999E-3</v>
      </c>
      <c r="G101">
        <v>3.2627977000000002E-2</v>
      </c>
      <c r="H101">
        <v>0.72523768399999999</v>
      </c>
      <c r="I101">
        <v>99.9</v>
      </c>
      <c r="J101">
        <f t="shared" si="6"/>
        <v>0.99900000000000011</v>
      </c>
      <c r="K101">
        <v>22.3</v>
      </c>
      <c r="L101">
        <f t="shared" si="7"/>
        <v>295.45</v>
      </c>
      <c r="M101">
        <v>125</v>
      </c>
      <c r="N101">
        <v>0.25</v>
      </c>
      <c r="O101" s="2">
        <f t="shared" si="8"/>
        <v>6.0211344999999996</v>
      </c>
      <c r="P101">
        <f t="shared" si="9"/>
        <v>1.2424915000000001</v>
      </c>
      <c r="Q101">
        <f t="shared" si="10"/>
        <v>0.24810088295027186</v>
      </c>
      <c r="R101">
        <f t="shared" si="11"/>
        <v>51.196869661059353</v>
      </c>
      <c r="S101">
        <v>1.2459881750002679</v>
      </c>
      <c r="T101">
        <f>AVERAGE(413,878.9)</f>
        <v>645.95000000000005</v>
      </c>
      <c r="X101" s="1">
        <v>0.67462962962962969</v>
      </c>
    </row>
    <row r="102" spans="1:24" x14ac:dyDescent="0.25">
      <c r="A102" t="s">
        <v>127</v>
      </c>
      <c r="B102" s="1" t="s">
        <v>47</v>
      </c>
      <c r="C102">
        <v>0.18945717500000001</v>
      </c>
      <c r="D102">
        <v>1.7721912999999999E-2</v>
      </c>
      <c r="E102">
        <v>1.1046905359999999</v>
      </c>
      <c r="F102">
        <v>1.2516835E-2</v>
      </c>
      <c r="G102">
        <v>0.248726115</v>
      </c>
      <c r="H102">
        <v>0.95756222800000002</v>
      </c>
      <c r="I102">
        <v>99.9</v>
      </c>
      <c r="J102">
        <f t="shared" si="6"/>
        <v>0.99900000000000011</v>
      </c>
      <c r="K102">
        <v>8.5</v>
      </c>
      <c r="L102">
        <f t="shared" si="7"/>
        <v>281.64999999999998</v>
      </c>
      <c r="M102">
        <v>125</v>
      </c>
      <c r="N102">
        <v>0.25</v>
      </c>
      <c r="O102" s="2">
        <f t="shared" si="8"/>
        <v>94.728587500000003</v>
      </c>
      <c r="P102">
        <f t="shared" si="9"/>
        <v>8.8609564999999986</v>
      </c>
      <c r="Q102">
        <f t="shared" si="10"/>
        <v>4.0945415411359187</v>
      </c>
      <c r="R102">
        <f t="shared" si="11"/>
        <v>383.00533599161207</v>
      </c>
      <c r="S102">
        <v>0.22592982074374524</v>
      </c>
      <c r="T102">
        <v>111.7</v>
      </c>
      <c r="X102" s="1">
        <v>0.54579861111111116</v>
      </c>
    </row>
    <row r="103" spans="1:24" x14ac:dyDescent="0.25">
      <c r="A103" t="s">
        <v>128</v>
      </c>
      <c r="B103" s="1" t="s">
        <v>47</v>
      </c>
      <c r="C103">
        <v>5.4260289999999997E-3</v>
      </c>
      <c r="D103">
        <v>2.2754171E-2</v>
      </c>
      <c r="E103">
        <v>0.25071406600000001</v>
      </c>
      <c r="F103">
        <v>1.0814348E-2</v>
      </c>
      <c r="G103">
        <v>5.2445160000000003E-3</v>
      </c>
      <c r="H103">
        <v>0.98032714399999998</v>
      </c>
      <c r="I103">
        <v>99.9</v>
      </c>
      <c r="J103">
        <f t="shared" si="6"/>
        <v>0.99900000000000011</v>
      </c>
      <c r="K103">
        <v>8.5</v>
      </c>
      <c r="L103">
        <f t="shared" si="7"/>
        <v>281.64999999999998</v>
      </c>
      <c r="M103">
        <v>125</v>
      </c>
      <c r="N103">
        <v>0.25</v>
      </c>
      <c r="O103" s="2">
        <f t="shared" si="8"/>
        <v>2.7130144999999999</v>
      </c>
      <c r="P103">
        <f t="shared" si="9"/>
        <v>11.3770855</v>
      </c>
      <c r="Q103">
        <f t="shared" si="10"/>
        <v>0.11726714041792391</v>
      </c>
      <c r="R103">
        <f t="shared" si="11"/>
        <v>491.7623119504986</v>
      </c>
      <c r="S103">
        <v>0.22592982074374524</v>
      </c>
      <c r="T103">
        <v>111.7</v>
      </c>
      <c r="X103" s="1">
        <v>0.54113425925925929</v>
      </c>
    </row>
    <row r="104" spans="1:24" x14ac:dyDescent="0.25">
      <c r="A104" t="s">
        <v>129</v>
      </c>
      <c r="B104" s="1" t="s">
        <v>47</v>
      </c>
      <c r="C104">
        <v>0.12882091200000001</v>
      </c>
      <c r="D104">
        <v>8.8031150000000002E-3</v>
      </c>
      <c r="E104">
        <v>0.29071749600000002</v>
      </c>
      <c r="F104">
        <v>1.1552229000000001E-2</v>
      </c>
      <c r="G104">
        <v>0.68848358300000001</v>
      </c>
      <c r="H104">
        <v>0.86730660699999995</v>
      </c>
      <c r="I104">
        <v>99.9</v>
      </c>
      <c r="J104">
        <f t="shared" si="6"/>
        <v>0.99900000000000011</v>
      </c>
      <c r="K104">
        <v>9</v>
      </c>
      <c r="L104">
        <f t="shared" si="7"/>
        <v>282.14999999999998</v>
      </c>
      <c r="M104">
        <v>125</v>
      </c>
      <c r="N104">
        <v>0.25</v>
      </c>
      <c r="O104" s="2">
        <f t="shared" si="8"/>
        <v>64.410456000000011</v>
      </c>
      <c r="P104">
        <f t="shared" si="9"/>
        <v>4.4015575</v>
      </c>
      <c r="Q104">
        <f t="shared" si="10"/>
        <v>2.7791391664635645</v>
      </c>
      <c r="R104">
        <f t="shared" si="11"/>
        <v>189.91545164175594</v>
      </c>
      <c r="S104">
        <v>0.24386348192302065</v>
      </c>
      <c r="T104">
        <v>166.6</v>
      </c>
      <c r="X104" s="1">
        <v>0.52651620370370367</v>
      </c>
    </row>
    <row r="105" spans="1:24" x14ac:dyDescent="0.25">
      <c r="A105" t="s">
        <v>130</v>
      </c>
      <c r="B105" s="1" t="s">
        <v>47</v>
      </c>
      <c r="C105">
        <v>5.6146830000000002E-2</v>
      </c>
      <c r="D105">
        <v>2.1012236E-2</v>
      </c>
      <c r="E105">
        <v>0.26220526</v>
      </c>
      <c r="F105">
        <v>1.4370374999999999E-2</v>
      </c>
      <c r="G105">
        <v>0.34042120799999998</v>
      </c>
      <c r="H105">
        <v>0.96010414399999999</v>
      </c>
      <c r="I105">
        <v>99.9</v>
      </c>
      <c r="J105">
        <f t="shared" si="6"/>
        <v>0.99900000000000011</v>
      </c>
      <c r="K105">
        <v>8.75</v>
      </c>
      <c r="L105">
        <f t="shared" si="7"/>
        <v>281.89999999999998</v>
      </c>
      <c r="M105">
        <v>125</v>
      </c>
      <c r="N105">
        <v>0.25</v>
      </c>
      <c r="O105" s="2">
        <f t="shared" si="8"/>
        <v>28.073415000000001</v>
      </c>
      <c r="P105">
        <f t="shared" si="9"/>
        <v>10.506118000000001</v>
      </c>
      <c r="Q105">
        <f t="shared" si="10"/>
        <v>1.2123671085459322</v>
      </c>
      <c r="R105">
        <f t="shared" si="11"/>
        <v>453.7129487703001</v>
      </c>
      <c r="S105">
        <v>0.2347825648491928</v>
      </c>
      <c r="T105">
        <f>AVERAGE(166.6,111.7)</f>
        <v>139.15</v>
      </c>
      <c r="X105" s="1">
        <v>0.53207175925925931</v>
      </c>
    </row>
    <row r="106" spans="1:24" x14ac:dyDescent="0.25">
      <c r="A106" t="s">
        <v>131</v>
      </c>
      <c r="B106" s="1" t="s">
        <v>47</v>
      </c>
      <c r="C106">
        <v>-2.3299220999999998E-2</v>
      </c>
      <c r="D106">
        <v>3.5127919999999998E-3</v>
      </c>
      <c r="E106">
        <v>0.113075751</v>
      </c>
      <c r="F106">
        <v>2.5350350000000002E-3</v>
      </c>
      <c r="G106">
        <v>0.32335872500000001</v>
      </c>
      <c r="H106">
        <v>0.95577803900000002</v>
      </c>
      <c r="I106">
        <v>99.9</v>
      </c>
      <c r="J106">
        <f t="shared" si="6"/>
        <v>0.99900000000000011</v>
      </c>
      <c r="K106">
        <v>9.9</v>
      </c>
      <c r="L106">
        <f t="shared" si="7"/>
        <v>283.04999999999995</v>
      </c>
      <c r="M106">
        <v>125</v>
      </c>
      <c r="N106">
        <v>0.25</v>
      </c>
      <c r="O106" s="2">
        <f t="shared" si="8"/>
        <v>-11.6496105</v>
      </c>
      <c r="P106">
        <f t="shared" si="9"/>
        <v>1.7563959999999998</v>
      </c>
      <c r="Q106">
        <f t="shared" si="10"/>
        <v>-0.50105133259738233</v>
      </c>
      <c r="R106">
        <f t="shared" si="11"/>
        <v>75.542830927155194</v>
      </c>
      <c r="S106">
        <v>-468.2418000922317</v>
      </c>
      <c r="T106">
        <f>AVERAGE(230,194.1)</f>
        <v>212.05</v>
      </c>
      <c r="X106" s="1">
        <v>0.48936342592592591</v>
      </c>
    </row>
    <row r="107" spans="1:24" x14ac:dyDescent="0.25">
      <c r="A107" t="s">
        <v>132</v>
      </c>
      <c r="B107" s="1" t="s">
        <v>47</v>
      </c>
      <c r="C107">
        <v>4.3888765000000003E-2</v>
      </c>
      <c r="D107">
        <v>1.4420466999999999E-2</v>
      </c>
      <c r="E107">
        <v>0.23498407399999999</v>
      </c>
      <c r="F107">
        <v>8.116112E-3</v>
      </c>
      <c r="G107">
        <v>0.281947532</v>
      </c>
      <c r="H107">
        <v>0.97262828099999998</v>
      </c>
      <c r="I107">
        <v>99.9</v>
      </c>
      <c r="J107">
        <f t="shared" si="6"/>
        <v>0.99900000000000011</v>
      </c>
      <c r="K107">
        <v>8.1</v>
      </c>
      <c r="L107">
        <f t="shared" si="7"/>
        <v>281.25</v>
      </c>
      <c r="M107">
        <v>125</v>
      </c>
      <c r="N107">
        <v>0.25</v>
      </c>
      <c r="O107" s="2">
        <f t="shared" si="8"/>
        <v>21.944382500000003</v>
      </c>
      <c r="P107">
        <f t="shared" si="9"/>
        <v>7.2102334999999993</v>
      </c>
      <c r="Q107">
        <f t="shared" si="10"/>
        <v>0.94987139458932512</v>
      </c>
      <c r="R107">
        <f t="shared" si="11"/>
        <v>312.09784781866927</v>
      </c>
      <c r="S107">
        <v>0.20606803037321031</v>
      </c>
      <c r="T107">
        <v>148.30000000000001</v>
      </c>
      <c r="X107" s="1">
        <v>0.56262731481481476</v>
      </c>
    </row>
    <row r="108" spans="1:24" x14ac:dyDescent="0.25">
      <c r="A108" t="s">
        <v>133</v>
      </c>
      <c r="B108" s="1" t="s">
        <v>47</v>
      </c>
      <c r="C108">
        <v>0.73129032299999996</v>
      </c>
      <c r="D108">
        <v>4.2620690000000003E-2</v>
      </c>
      <c r="E108">
        <v>2.0689948359999999</v>
      </c>
      <c r="F108">
        <v>6.8655282999999998E-2</v>
      </c>
      <c r="G108">
        <v>0.58440470799999999</v>
      </c>
      <c r="H108">
        <v>0.81265891599999995</v>
      </c>
      <c r="I108">
        <v>99.9</v>
      </c>
      <c r="J108">
        <f t="shared" si="6"/>
        <v>0.99900000000000011</v>
      </c>
      <c r="K108">
        <v>9.6999999999999993</v>
      </c>
      <c r="L108">
        <f t="shared" si="7"/>
        <v>282.84999999999997</v>
      </c>
      <c r="M108">
        <v>125</v>
      </c>
      <c r="N108">
        <v>0.25</v>
      </c>
      <c r="O108" s="2">
        <f t="shared" si="8"/>
        <v>365.64516149999997</v>
      </c>
      <c r="P108">
        <f t="shared" si="9"/>
        <v>21.310345000000002</v>
      </c>
      <c r="Q108">
        <f t="shared" si="10"/>
        <v>15.737568135729472</v>
      </c>
      <c r="R108">
        <f t="shared" si="11"/>
        <v>917.20892752303507</v>
      </c>
      <c r="S108">
        <v>0.34675911852384678</v>
      </c>
      <c r="T108">
        <v>206.9</v>
      </c>
      <c r="X108" s="1">
        <v>0.73172453703703699</v>
      </c>
    </row>
    <row r="109" spans="1:24" x14ac:dyDescent="0.25">
      <c r="A109" t="s">
        <v>134</v>
      </c>
      <c r="B109" s="1" t="s">
        <v>47</v>
      </c>
      <c r="C109">
        <v>0.17663626299999999</v>
      </c>
      <c r="D109">
        <v>1.0629588000000001E-2</v>
      </c>
      <c r="E109">
        <v>0.31283908100000002</v>
      </c>
      <c r="F109">
        <v>1.67478E-2</v>
      </c>
      <c r="G109">
        <v>0.78205876399999996</v>
      </c>
      <c r="H109">
        <v>0.81930504500000001</v>
      </c>
      <c r="I109">
        <v>99.9</v>
      </c>
      <c r="J109">
        <f t="shared" si="6"/>
        <v>0.99900000000000011</v>
      </c>
      <c r="K109">
        <v>9.5</v>
      </c>
      <c r="L109">
        <f t="shared" si="7"/>
        <v>282.64999999999998</v>
      </c>
      <c r="M109">
        <v>125</v>
      </c>
      <c r="N109">
        <v>0.25</v>
      </c>
      <c r="O109" s="2">
        <f t="shared" si="8"/>
        <v>88.318131499999993</v>
      </c>
      <c r="P109">
        <f t="shared" si="9"/>
        <v>5.314794</v>
      </c>
      <c r="Q109">
        <f t="shared" si="10"/>
        <v>3.80395051070612</v>
      </c>
      <c r="R109">
        <f t="shared" si="11"/>
        <v>228.91350855399182</v>
      </c>
      <c r="S109">
        <v>0.34096281063205269</v>
      </c>
      <c r="T109">
        <f>AVERAGE(206.9,157.5)</f>
        <v>182.2</v>
      </c>
      <c r="X109" s="1">
        <v>0.73842592592592593</v>
      </c>
    </row>
    <row r="110" spans="1:24" x14ac:dyDescent="0.25">
      <c r="A110" t="s">
        <v>135</v>
      </c>
      <c r="B110" s="1" t="s">
        <v>47</v>
      </c>
      <c r="C110">
        <v>8.9939933E-2</v>
      </c>
      <c r="D110">
        <v>3.2008899E-2</v>
      </c>
      <c r="E110">
        <v>0.61812976799999997</v>
      </c>
      <c r="F110">
        <v>2.4494544E-2</v>
      </c>
      <c r="G110">
        <v>0.192442684</v>
      </c>
      <c r="H110">
        <v>0.950547437</v>
      </c>
      <c r="I110">
        <v>99.9</v>
      </c>
      <c r="J110">
        <f t="shared" si="6"/>
        <v>0.99900000000000011</v>
      </c>
      <c r="K110">
        <v>9.3000000000000007</v>
      </c>
      <c r="L110">
        <f t="shared" si="7"/>
        <v>282.45</v>
      </c>
      <c r="M110">
        <v>125</v>
      </c>
      <c r="N110">
        <v>0.25</v>
      </c>
      <c r="O110" s="2">
        <f t="shared" si="8"/>
        <v>44.969966499999998</v>
      </c>
      <c r="P110">
        <f t="shared" si="9"/>
        <v>16.0044495</v>
      </c>
      <c r="Q110">
        <f t="shared" si="10"/>
        <v>1.9382730645128516</v>
      </c>
      <c r="R110">
        <f t="shared" si="11"/>
        <v>689.81579913354346</v>
      </c>
      <c r="S110">
        <v>0.33525225721474305</v>
      </c>
      <c r="T110">
        <v>157.5</v>
      </c>
      <c r="X110" s="1">
        <v>0.74704861111111109</v>
      </c>
    </row>
    <row r="111" spans="1:24" x14ac:dyDescent="0.25">
      <c r="A111" t="s">
        <v>136</v>
      </c>
      <c r="B111" s="1" t="s">
        <v>47</v>
      </c>
      <c r="C111">
        <v>9.1265850999999995E-2</v>
      </c>
      <c r="D111">
        <v>2.5577308E-2</v>
      </c>
      <c r="E111">
        <v>0.19254068899999999</v>
      </c>
      <c r="F111">
        <v>1.424517E-2</v>
      </c>
      <c r="G111">
        <v>0.71663593999999997</v>
      </c>
      <c r="H111">
        <v>0.97318133600000001</v>
      </c>
      <c r="I111">
        <v>99.9</v>
      </c>
      <c r="J111">
        <f t="shared" si="6"/>
        <v>0.99900000000000011</v>
      </c>
      <c r="K111">
        <v>9.3000000000000007</v>
      </c>
      <c r="L111">
        <f t="shared" si="7"/>
        <v>282.45</v>
      </c>
      <c r="M111">
        <v>125</v>
      </c>
      <c r="N111">
        <v>0.25</v>
      </c>
      <c r="O111" s="2">
        <f t="shared" si="8"/>
        <v>45.632925499999999</v>
      </c>
      <c r="P111">
        <f t="shared" si="9"/>
        <v>12.788653999999999</v>
      </c>
      <c r="Q111">
        <f t="shared" si="10"/>
        <v>1.9668475926387818</v>
      </c>
      <c r="R111">
        <f t="shared" si="11"/>
        <v>551.21018557073069</v>
      </c>
      <c r="S111">
        <v>0.33525225721474305</v>
      </c>
      <c r="T111">
        <v>157.5</v>
      </c>
      <c r="X111" s="1">
        <v>0.74997685185185192</v>
      </c>
    </row>
    <row r="112" spans="1:24" x14ac:dyDescent="0.25">
      <c r="A112" t="s">
        <v>137</v>
      </c>
      <c r="B112" s="1" t="s">
        <v>25</v>
      </c>
      <c r="C112">
        <v>-1.6716352E-2</v>
      </c>
      <c r="D112">
        <v>9.9955510000000001E-3</v>
      </c>
      <c r="E112">
        <v>0.29509069500000001</v>
      </c>
      <c r="F112">
        <v>6.2018409999999996E-3</v>
      </c>
      <c r="G112">
        <v>3.4861327999999997E-2</v>
      </c>
      <c r="H112">
        <v>0.96692952899999995</v>
      </c>
      <c r="I112">
        <v>99.9</v>
      </c>
      <c r="J112">
        <f t="shared" si="6"/>
        <v>0.99900000000000011</v>
      </c>
      <c r="K112">
        <v>5.6</v>
      </c>
      <c r="L112">
        <f t="shared" si="7"/>
        <v>278.75</v>
      </c>
      <c r="M112">
        <v>125</v>
      </c>
      <c r="N112">
        <v>0.25</v>
      </c>
      <c r="O112" s="2">
        <f t="shared" si="8"/>
        <v>-8.3581760000000003</v>
      </c>
      <c r="P112">
        <f t="shared" si="9"/>
        <v>4.9977755000000004</v>
      </c>
      <c r="Q112">
        <f t="shared" si="10"/>
        <v>-0.36503172562130526</v>
      </c>
      <c r="R112">
        <f t="shared" si="11"/>
        <v>218.2709020524193</v>
      </c>
      <c r="S112">
        <v>0.15655437034844366</v>
      </c>
      <c r="T112">
        <v>80.599999999999994</v>
      </c>
      <c r="X112" s="1">
        <v>0.88243055555555561</v>
      </c>
    </row>
    <row r="113" spans="1:24" x14ac:dyDescent="0.25">
      <c r="A113" t="s">
        <v>138</v>
      </c>
      <c r="B113" s="1" t="s">
        <v>25</v>
      </c>
      <c r="C113">
        <v>4.1884315999999998E-2</v>
      </c>
      <c r="D113">
        <v>7.3815349999999998E-3</v>
      </c>
      <c r="E113">
        <v>0.189501063</v>
      </c>
      <c r="F113">
        <v>8.8974589999999999E-3</v>
      </c>
      <c r="G113">
        <v>0.35478553000000002</v>
      </c>
      <c r="H113">
        <v>0.88567743200000004</v>
      </c>
      <c r="I113">
        <v>99.9</v>
      </c>
      <c r="J113">
        <f t="shared" si="6"/>
        <v>0.99900000000000011</v>
      </c>
      <c r="K113">
        <v>5</v>
      </c>
      <c r="L113">
        <f t="shared" si="7"/>
        <v>278.14999999999998</v>
      </c>
      <c r="M113">
        <v>125</v>
      </c>
      <c r="N113">
        <v>0.25</v>
      </c>
      <c r="O113" s="2">
        <f t="shared" si="8"/>
        <v>20.942157999999999</v>
      </c>
      <c r="P113">
        <f t="shared" si="9"/>
        <v>3.6907674999999998</v>
      </c>
      <c r="Q113">
        <f t="shared" si="10"/>
        <v>0.91659259253093206</v>
      </c>
      <c r="R113">
        <f t="shared" si="11"/>
        <v>161.53684597613611</v>
      </c>
      <c r="S113">
        <v>0.13985869680502105</v>
      </c>
      <c r="T113">
        <v>54.9</v>
      </c>
      <c r="X113" s="1">
        <v>0.89164351851851853</v>
      </c>
    </row>
    <row r="114" spans="1:24" x14ac:dyDescent="0.25">
      <c r="A114" t="s">
        <v>139</v>
      </c>
      <c r="B114" s="1" t="s">
        <v>25</v>
      </c>
      <c r="C114">
        <v>0.125977753</v>
      </c>
      <c r="D114">
        <v>8.4961069999999993E-3</v>
      </c>
      <c r="E114">
        <v>0.24954414499999999</v>
      </c>
      <c r="F114">
        <v>5.9980429999999998E-3</v>
      </c>
      <c r="G114">
        <v>0.741510852</v>
      </c>
      <c r="H114">
        <v>0.95759857800000003</v>
      </c>
      <c r="I114">
        <v>99.9</v>
      </c>
      <c r="J114">
        <f t="shared" si="6"/>
        <v>0.99900000000000011</v>
      </c>
      <c r="K114">
        <v>5</v>
      </c>
      <c r="L114">
        <f t="shared" si="7"/>
        <v>278.14999999999998</v>
      </c>
      <c r="M114">
        <v>125</v>
      </c>
      <c r="N114">
        <v>0.25</v>
      </c>
      <c r="O114" s="2">
        <f t="shared" si="8"/>
        <v>62.988876499999996</v>
      </c>
      <c r="P114">
        <f t="shared" si="9"/>
        <v>4.2480534999999993</v>
      </c>
      <c r="Q114">
        <f t="shared" si="10"/>
        <v>2.756885780908811</v>
      </c>
      <c r="R114">
        <f t="shared" si="11"/>
        <v>185.92803906718206</v>
      </c>
      <c r="S114">
        <v>0.13985869680502105</v>
      </c>
      <c r="T114">
        <v>54.9</v>
      </c>
      <c r="X114" s="1">
        <v>0.8959259259259259</v>
      </c>
    </row>
    <row r="115" spans="1:24" x14ac:dyDescent="0.25">
      <c r="A115" t="s">
        <v>140</v>
      </c>
      <c r="B115" s="1" t="s">
        <v>25</v>
      </c>
      <c r="C115">
        <v>-1.9579533E-2</v>
      </c>
      <c r="D115">
        <v>8.0622909999999992E-3</v>
      </c>
      <c r="E115">
        <v>0.33172864899999999</v>
      </c>
      <c r="F115">
        <v>1.1640957E-2</v>
      </c>
      <c r="G115">
        <v>3.7732597999999999E-2</v>
      </c>
      <c r="H115">
        <v>0.84372817300000003</v>
      </c>
      <c r="I115">
        <v>99.9</v>
      </c>
      <c r="J115">
        <f t="shared" si="6"/>
        <v>0.99900000000000011</v>
      </c>
      <c r="K115">
        <v>4.9000000000000004</v>
      </c>
      <c r="L115">
        <f t="shared" si="7"/>
        <v>278.04999999999995</v>
      </c>
      <c r="M115">
        <v>125</v>
      </c>
      <c r="N115">
        <v>0.25</v>
      </c>
      <c r="O115" s="2">
        <f t="shared" si="8"/>
        <v>-9.7897665000000007</v>
      </c>
      <c r="P115">
        <f t="shared" si="9"/>
        <v>4.0311454999999992</v>
      </c>
      <c r="Q115">
        <f t="shared" si="10"/>
        <v>-0.42863083430736071</v>
      </c>
      <c r="R115">
        <f t="shared" si="11"/>
        <v>176.4979030786242</v>
      </c>
      <c r="S115">
        <v>0.13377410163922521</v>
      </c>
      <c r="T115">
        <v>40.299999999999997</v>
      </c>
      <c r="X115" s="1">
        <v>0.91799768518518521</v>
      </c>
    </row>
    <row r="116" spans="1:24" x14ac:dyDescent="0.25">
      <c r="A116" t="s">
        <v>141</v>
      </c>
      <c r="B116" s="1" t="s">
        <v>25</v>
      </c>
      <c r="C116">
        <v>9.8026695999999997E-2</v>
      </c>
      <c r="D116">
        <v>9.3548390000000002E-3</v>
      </c>
      <c r="E116">
        <v>0.58698275899999997</v>
      </c>
      <c r="F116">
        <v>1.2510495E-2</v>
      </c>
      <c r="G116">
        <v>0.238919202</v>
      </c>
      <c r="H116">
        <v>0.86289532400000002</v>
      </c>
      <c r="I116">
        <v>99.9</v>
      </c>
      <c r="J116">
        <f t="shared" si="6"/>
        <v>0.99900000000000011</v>
      </c>
      <c r="K116">
        <v>4.9000000000000004</v>
      </c>
      <c r="L116">
        <f t="shared" si="7"/>
        <v>278.04999999999995</v>
      </c>
      <c r="M116">
        <v>125</v>
      </c>
      <c r="N116">
        <v>0.25</v>
      </c>
      <c r="O116" s="2">
        <f t="shared" si="8"/>
        <v>49.013348000000001</v>
      </c>
      <c r="P116">
        <f t="shared" si="9"/>
        <v>4.6774195000000001</v>
      </c>
      <c r="Q116">
        <f t="shared" si="10"/>
        <v>2.1459788898373628</v>
      </c>
      <c r="R116">
        <f t="shared" si="11"/>
        <v>204.79407988847518</v>
      </c>
      <c r="S116">
        <v>0.13377410163922521</v>
      </c>
      <c r="T116">
        <v>40.299999999999997</v>
      </c>
      <c r="X116" s="1">
        <v>0.92314814814814816</v>
      </c>
    </row>
    <row r="117" spans="1:24" x14ac:dyDescent="0.25">
      <c r="A117" t="s">
        <v>142</v>
      </c>
      <c r="B117" s="1" t="s">
        <v>25</v>
      </c>
      <c r="C117">
        <v>2.8511680000000001E-2</v>
      </c>
      <c r="D117">
        <v>4.4605119999999998E-3</v>
      </c>
      <c r="E117">
        <v>0.19604539600000001</v>
      </c>
      <c r="F117">
        <v>8.8673039999999995E-3</v>
      </c>
      <c r="G117">
        <v>0.19229476200000001</v>
      </c>
      <c r="H117">
        <v>0.74013731699999996</v>
      </c>
      <c r="I117">
        <v>99.9</v>
      </c>
      <c r="J117">
        <f t="shared" si="6"/>
        <v>0.99900000000000011</v>
      </c>
      <c r="K117">
        <v>4.2</v>
      </c>
      <c r="L117">
        <f t="shared" si="7"/>
        <v>277.34999999999997</v>
      </c>
      <c r="M117">
        <v>125</v>
      </c>
      <c r="N117">
        <v>0.25</v>
      </c>
      <c r="O117" s="2">
        <f t="shared" si="8"/>
        <v>14.255840000000001</v>
      </c>
      <c r="P117">
        <f t="shared" si="9"/>
        <v>2.2302559999999998</v>
      </c>
      <c r="Q117">
        <f t="shared" si="10"/>
        <v>0.62574677184194416</v>
      </c>
      <c r="R117">
        <f t="shared" si="11"/>
        <v>97.895002495898297</v>
      </c>
      <c r="S117">
        <v>0.12251062250880762</v>
      </c>
      <c r="T117">
        <v>16.5</v>
      </c>
      <c r="X117" s="1">
        <v>0.95524305555555555</v>
      </c>
    </row>
    <row r="118" spans="1:24" x14ac:dyDescent="0.25">
      <c r="A118" t="s">
        <v>143</v>
      </c>
      <c r="B118" s="1" t="s">
        <v>25</v>
      </c>
      <c r="C118">
        <v>-0.26888987800000003</v>
      </c>
      <c r="D118">
        <v>2.3281423999999998E-2</v>
      </c>
      <c r="E118">
        <v>0.59688990799999997</v>
      </c>
      <c r="F118">
        <v>3.9122755000000002E-2</v>
      </c>
      <c r="G118">
        <v>0.69551601600000001</v>
      </c>
      <c r="H118">
        <v>0.799440331</v>
      </c>
      <c r="I118">
        <v>99.9</v>
      </c>
      <c r="J118">
        <f t="shared" si="6"/>
        <v>0.99900000000000011</v>
      </c>
      <c r="K118">
        <v>4.2</v>
      </c>
      <c r="L118">
        <f t="shared" si="7"/>
        <v>277.34999999999997</v>
      </c>
      <c r="M118">
        <v>125</v>
      </c>
      <c r="N118">
        <v>0.25</v>
      </c>
      <c r="O118" s="2">
        <f t="shared" si="8"/>
        <v>-134.44493900000001</v>
      </c>
      <c r="P118">
        <f t="shared" si="9"/>
        <v>11.640711999999999</v>
      </c>
      <c r="Q118">
        <f t="shared" si="10"/>
        <v>-5.9013349314903296</v>
      </c>
      <c r="R118">
        <f t="shared" si="11"/>
        <v>510.95817264656318</v>
      </c>
      <c r="S118">
        <v>0.12251062250880762</v>
      </c>
      <c r="T118">
        <v>16.5</v>
      </c>
      <c r="X118" s="1">
        <v>0.96035879629629628</v>
      </c>
    </row>
    <row r="119" spans="1:24" x14ac:dyDescent="0.25">
      <c r="A119" t="s">
        <v>144</v>
      </c>
      <c r="B119" s="1" t="s">
        <v>25</v>
      </c>
      <c r="C119">
        <v>2.774416E-2</v>
      </c>
      <c r="D119">
        <v>5.3414910000000003E-3</v>
      </c>
      <c r="E119">
        <v>0.31343239099999998</v>
      </c>
      <c r="F119">
        <v>5.4013760000000003E-3</v>
      </c>
      <c r="G119">
        <v>8.1045974000000007E-2</v>
      </c>
      <c r="H119">
        <v>0.91672042899999995</v>
      </c>
      <c r="I119">
        <v>99.9</v>
      </c>
      <c r="J119">
        <f t="shared" si="6"/>
        <v>0.99900000000000011</v>
      </c>
      <c r="K119">
        <v>4.0999999999999996</v>
      </c>
      <c r="L119">
        <f t="shared" si="7"/>
        <v>277.25</v>
      </c>
      <c r="M119">
        <v>125</v>
      </c>
      <c r="N119">
        <v>0.25</v>
      </c>
      <c r="O119" s="2">
        <f t="shared" si="8"/>
        <v>13.87208</v>
      </c>
      <c r="P119">
        <f t="shared" si="9"/>
        <v>2.6707455000000002</v>
      </c>
      <c r="Q119">
        <f t="shared" si="10"/>
        <v>0.60912160733958998</v>
      </c>
      <c r="R119">
        <f t="shared" si="11"/>
        <v>117.27216046584053</v>
      </c>
      <c r="S119">
        <v>0.12689019441653304</v>
      </c>
      <c r="T119">
        <f>AVERAGE(16.5,7.3)</f>
        <v>11.9</v>
      </c>
      <c r="X119" s="1">
        <v>0.96898148148148155</v>
      </c>
    </row>
    <row r="120" spans="1:24" x14ac:dyDescent="0.25">
      <c r="A120" t="s">
        <v>145</v>
      </c>
      <c r="B120" s="1" t="s">
        <v>25</v>
      </c>
      <c r="C120">
        <v>-4.7254727000000003E-2</v>
      </c>
      <c r="D120">
        <v>1.6576196000000001E-2</v>
      </c>
      <c r="E120">
        <v>0.26061706499999998</v>
      </c>
      <c r="F120">
        <v>6.9592999999999999E-3</v>
      </c>
      <c r="G120">
        <v>0.27010265700000002</v>
      </c>
      <c r="H120">
        <v>0.98458189399999996</v>
      </c>
      <c r="I120">
        <v>99.9</v>
      </c>
      <c r="J120">
        <f t="shared" si="6"/>
        <v>0.99900000000000011</v>
      </c>
      <c r="K120">
        <v>4</v>
      </c>
      <c r="L120">
        <f t="shared" si="7"/>
        <v>277.14999999999998</v>
      </c>
      <c r="M120">
        <v>125</v>
      </c>
      <c r="N120">
        <v>0.25</v>
      </c>
      <c r="O120" s="2">
        <f t="shared" si="8"/>
        <v>-23.627363500000001</v>
      </c>
      <c r="P120">
        <f t="shared" si="9"/>
        <v>8.2880980000000015</v>
      </c>
      <c r="Q120">
        <f t="shared" si="10"/>
        <v>-1.0378494404348713</v>
      </c>
      <c r="R120">
        <f t="shared" si="11"/>
        <v>364.06084291077912</v>
      </c>
      <c r="S120">
        <v>0.13120173187509554</v>
      </c>
      <c r="T120">
        <v>7.3</v>
      </c>
      <c r="X120" s="1">
        <v>0.97567129629629623</v>
      </c>
    </row>
    <row r="121" spans="1:24" x14ac:dyDescent="0.25">
      <c r="A121" t="s">
        <v>146</v>
      </c>
      <c r="B121" s="1" t="s">
        <v>25</v>
      </c>
      <c r="C121">
        <v>-5.8674082000000002E-2</v>
      </c>
      <c r="D121">
        <v>1.0131256999999999E-2</v>
      </c>
      <c r="E121">
        <v>0.28465032299999998</v>
      </c>
      <c r="F121">
        <v>8.7186199999999998E-3</v>
      </c>
      <c r="G121">
        <v>0.32352268299999998</v>
      </c>
      <c r="H121">
        <v>0.93826757400000005</v>
      </c>
      <c r="I121">
        <v>99.9</v>
      </c>
      <c r="J121">
        <f t="shared" si="6"/>
        <v>0.99900000000000011</v>
      </c>
      <c r="K121">
        <v>4.5</v>
      </c>
      <c r="L121">
        <f t="shared" si="7"/>
        <v>277.64999999999998</v>
      </c>
      <c r="M121">
        <v>125</v>
      </c>
      <c r="N121">
        <v>0.25</v>
      </c>
      <c r="O121" s="2">
        <f t="shared" si="8"/>
        <v>-29.337041000000003</v>
      </c>
      <c r="P121">
        <f t="shared" si="9"/>
        <v>5.0656284999999999</v>
      </c>
      <c r="Q121">
        <f t="shared" si="10"/>
        <v>-1.2863306135250687</v>
      </c>
      <c r="R121">
        <f t="shared" si="11"/>
        <v>222.11077853063205</v>
      </c>
      <c r="S121">
        <v>0.13008566002168198</v>
      </c>
      <c r="T121">
        <v>29.3</v>
      </c>
      <c r="X121" s="1">
        <v>0.94444444444444453</v>
      </c>
    </row>
    <row r="122" spans="1:24" x14ac:dyDescent="0.25">
      <c r="A122" t="s">
        <v>147</v>
      </c>
      <c r="B122" s="1" t="s">
        <v>25</v>
      </c>
      <c r="C122">
        <v>-4.9873191999999997E-2</v>
      </c>
      <c r="D122">
        <v>2.2144605000000001E-2</v>
      </c>
      <c r="E122">
        <v>0.23577553000000001</v>
      </c>
      <c r="F122">
        <v>1.4767278E-2</v>
      </c>
      <c r="G122">
        <v>0.33494663499999999</v>
      </c>
      <c r="H122">
        <v>0.96199374800000004</v>
      </c>
      <c r="I122">
        <v>99.9</v>
      </c>
      <c r="J122">
        <f t="shared" si="6"/>
        <v>0.99900000000000011</v>
      </c>
      <c r="K122">
        <v>4.3499999999999996</v>
      </c>
      <c r="L122">
        <f t="shared" si="7"/>
        <v>277.5</v>
      </c>
      <c r="M122">
        <v>125</v>
      </c>
      <c r="N122">
        <v>0.25</v>
      </c>
      <c r="O122" s="2">
        <f t="shared" si="8"/>
        <v>-24.936595999999998</v>
      </c>
      <c r="P122">
        <f t="shared" si="9"/>
        <v>11.072302500000001</v>
      </c>
      <c r="Q122">
        <f t="shared" si="10"/>
        <v>-1.0939769144528395</v>
      </c>
      <c r="R122">
        <f t="shared" si="11"/>
        <v>485.74566171094335</v>
      </c>
      <c r="S122">
        <v>0.12626610962427898</v>
      </c>
      <c r="T122">
        <f>AVERAGE(29.3,16.5)</f>
        <v>22.9</v>
      </c>
      <c r="X122" s="1">
        <v>0.94874999999999998</v>
      </c>
    </row>
    <row r="123" spans="1:24" x14ac:dyDescent="0.25">
      <c r="A123" t="s">
        <v>148</v>
      </c>
      <c r="B123" s="1" t="s">
        <v>25</v>
      </c>
      <c r="C123">
        <v>0.20369744200000001</v>
      </c>
      <c r="D123">
        <v>1.4044493999999999E-2</v>
      </c>
      <c r="E123">
        <v>0.48829873000000001</v>
      </c>
      <c r="F123">
        <v>2.2458954999999999E-2</v>
      </c>
      <c r="G123">
        <v>0.66202108100000001</v>
      </c>
      <c r="H123">
        <v>0.81487133</v>
      </c>
      <c r="I123">
        <v>99.9</v>
      </c>
      <c r="J123">
        <f t="shared" si="6"/>
        <v>0.99900000000000011</v>
      </c>
      <c r="K123">
        <v>4.2</v>
      </c>
      <c r="L123">
        <f t="shared" si="7"/>
        <v>277.34999999999997</v>
      </c>
      <c r="M123">
        <v>125</v>
      </c>
      <c r="N123">
        <v>0.25</v>
      </c>
      <c r="O123" s="2">
        <f t="shared" si="8"/>
        <v>101.848721</v>
      </c>
      <c r="P123">
        <f t="shared" si="9"/>
        <v>7.0222470000000001</v>
      </c>
      <c r="Q123">
        <f t="shared" si="10"/>
        <v>4.4705544101211032</v>
      </c>
      <c r="R123">
        <f t="shared" si="11"/>
        <v>308.23496835870611</v>
      </c>
      <c r="S123">
        <v>0.12251062250880762</v>
      </c>
      <c r="T123">
        <v>16.5</v>
      </c>
      <c r="X123" s="1">
        <v>0.95348379629629632</v>
      </c>
    </row>
    <row r="124" spans="1:24" x14ac:dyDescent="0.25">
      <c r="A124" t="s">
        <v>149</v>
      </c>
      <c r="B124" s="1" t="s">
        <v>40</v>
      </c>
      <c r="C124">
        <v>0.15444048899999999</v>
      </c>
      <c r="D124">
        <v>5.1123469999999997E-3</v>
      </c>
      <c r="E124">
        <v>0.28516216500000002</v>
      </c>
      <c r="F124">
        <v>1.1094929999999999E-2</v>
      </c>
      <c r="G124">
        <v>0.76752685099999995</v>
      </c>
      <c r="H124">
        <v>0.70500321200000005</v>
      </c>
      <c r="I124">
        <v>99.9</v>
      </c>
      <c r="J124">
        <f t="shared" si="6"/>
        <v>0.99900000000000011</v>
      </c>
      <c r="K124">
        <v>8.8000000000000007</v>
      </c>
      <c r="L124">
        <f t="shared" si="7"/>
        <v>281.95</v>
      </c>
      <c r="M124">
        <v>125</v>
      </c>
      <c r="N124">
        <v>0.25</v>
      </c>
      <c r="O124" s="2">
        <f t="shared" si="8"/>
        <v>77.220244499999993</v>
      </c>
      <c r="P124">
        <f t="shared" si="9"/>
        <v>2.5561734999999999</v>
      </c>
      <c r="Q124">
        <f t="shared" si="10"/>
        <v>3.334210762677511</v>
      </c>
      <c r="R124">
        <f t="shared" si="11"/>
        <v>110.37029538246338</v>
      </c>
      <c r="S124">
        <v>0.16596267433932355</v>
      </c>
      <c r="T124">
        <f>AVERAGE(441.3,338.7)</f>
        <v>390</v>
      </c>
      <c r="X124" s="1">
        <v>0.44640046296296299</v>
      </c>
    </row>
    <row r="125" spans="1:24" x14ac:dyDescent="0.25">
      <c r="A125" t="s">
        <v>150</v>
      </c>
      <c r="B125" s="1" t="s">
        <v>40</v>
      </c>
      <c r="C125">
        <v>2.1888765000000001E-2</v>
      </c>
      <c r="D125">
        <v>3.6017800000000002E-3</v>
      </c>
      <c r="E125">
        <v>0.118697477</v>
      </c>
      <c r="F125">
        <v>2.3615900000000002E-3</v>
      </c>
      <c r="G125">
        <v>0.27681573100000001</v>
      </c>
      <c r="H125">
        <v>0.963211335</v>
      </c>
      <c r="I125">
        <v>99.9</v>
      </c>
      <c r="J125">
        <f t="shared" si="6"/>
        <v>0.99900000000000011</v>
      </c>
      <c r="K125">
        <v>8.8000000000000007</v>
      </c>
      <c r="L125">
        <f t="shared" si="7"/>
        <v>281.95</v>
      </c>
      <c r="M125">
        <v>125</v>
      </c>
      <c r="N125">
        <v>0.25</v>
      </c>
      <c r="O125" s="2">
        <f t="shared" si="8"/>
        <v>10.9443825</v>
      </c>
      <c r="P125">
        <f t="shared" si="9"/>
        <v>1.8008900000000001</v>
      </c>
      <c r="Q125">
        <f t="shared" si="10"/>
        <v>0.47255584540864037</v>
      </c>
      <c r="R125">
        <f t="shared" si="11"/>
        <v>77.758712877402317</v>
      </c>
      <c r="S125">
        <v>0.16596267433932355</v>
      </c>
      <c r="T125">
        <f>AVERAGE(441.3,338.7)</f>
        <v>390</v>
      </c>
      <c r="X125" s="1">
        <v>0.44846064814814812</v>
      </c>
    </row>
    <row r="126" spans="1:24" x14ac:dyDescent="0.25">
      <c r="A126" t="s">
        <v>151</v>
      </c>
      <c r="B126" s="1" t="s">
        <v>40</v>
      </c>
      <c r="C126">
        <v>0.179010011</v>
      </c>
      <c r="D126">
        <v>8.3314789999999993E-3</v>
      </c>
      <c r="E126">
        <v>0.29948707299999999</v>
      </c>
      <c r="F126">
        <v>1.0827778E-2</v>
      </c>
      <c r="G126">
        <v>0.80085361899999996</v>
      </c>
      <c r="H126">
        <v>0.86952318900000003</v>
      </c>
      <c r="I126">
        <v>99.9</v>
      </c>
      <c r="J126">
        <f t="shared" si="6"/>
        <v>0.99900000000000011</v>
      </c>
      <c r="K126">
        <v>8.8000000000000007</v>
      </c>
      <c r="L126">
        <f t="shared" si="7"/>
        <v>281.95</v>
      </c>
      <c r="M126">
        <v>125</v>
      </c>
      <c r="N126">
        <v>0.25</v>
      </c>
      <c r="O126" s="2">
        <f t="shared" si="8"/>
        <v>89.505005499999996</v>
      </c>
      <c r="P126">
        <f t="shared" si="9"/>
        <v>4.1657394999999999</v>
      </c>
      <c r="Q126">
        <f t="shared" si="10"/>
        <v>3.8646413849623316</v>
      </c>
      <c r="R126">
        <f t="shared" si="11"/>
        <v>179.86803286294744</v>
      </c>
      <c r="S126">
        <v>0.14925502256019696</v>
      </c>
      <c r="T126">
        <v>441.3</v>
      </c>
      <c r="X126" s="1">
        <v>0.45234953703703701</v>
      </c>
    </row>
    <row r="127" spans="1:24" x14ac:dyDescent="0.25">
      <c r="A127" t="s">
        <v>152</v>
      </c>
      <c r="B127" s="1" t="s">
        <v>40</v>
      </c>
      <c r="C127">
        <v>-8.6727474999999998E-2</v>
      </c>
      <c r="D127">
        <v>1.6932147000000002E-2</v>
      </c>
      <c r="E127">
        <v>0.32131457099999999</v>
      </c>
      <c r="F127">
        <v>1.4389529E-2</v>
      </c>
      <c r="G127">
        <v>0.45056139699999997</v>
      </c>
      <c r="H127">
        <v>0.93970538100000001</v>
      </c>
      <c r="I127">
        <v>99.9</v>
      </c>
      <c r="J127">
        <f t="shared" si="6"/>
        <v>0.99900000000000011</v>
      </c>
      <c r="K127">
        <v>8.8000000000000007</v>
      </c>
      <c r="L127">
        <f t="shared" si="7"/>
        <v>281.95</v>
      </c>
      <c r="M127">
        <v>125</v>
      </c>
      <c r="N127">
        <v>0.25</v>
      </c>
      <c r="O127" s="2">
        <f t="shared" si="8"/>
        <v>-43.363737499999999</v>
      </c>
      <c r="P127">
        <f t="shared" si="9"/>
        <v>8.4660735000000003</v>
      </c>
      <c r="Q127">
        <f t="shared" si="10"/>
        <v>-1.8723566756179129</v>
      </c>
      <c r="R127">
        <f t="shared" si="11"/>
        <v>365.54757841149893</v>
      </c>
      <c r="S127">
        <v>0.14925502256019696</v>
      </c>
      <c r="T127">
        <v>441.3</v>
      </c>
      <c r="X127" s="1">
        <v>0.45954861111111112</v>
      </c>
    </row>
    <row r="128" spans="1:24" x14ac:dyDescent="0.25">
      <c r="A128" t="s">
        <v>153</v>
      </c>
      <c r="B128" s="1" t="s">
        <v>40</v>
      </c>
      <c r="C128">
        <v>2.046941E-2</v>
      </c>
      <c r="D128">
        <v>1.2901001E-2</v>
      </c>
      <c r="E128">
        <v>0.22977472700000001</v>
      </c>
      <c r="F128">
        <v>1.2939674999999999E-2</v>
      </c>
      <c r="G128">
        <v>8.2002986E-2</v>
      </c>
      <c r="H128">
        <v>0.91795726899999996</v>
      </c>
      <c r="I128">
        <v>99.9</v>
      </c>
      <c r="J128">
        <f t="shared" si="6"/>
        <v>0.99900000000000011</v>
      </c>
      <c r="K128">
        <v>8.8000000000000007</v>
      </c>
      <c r="L128">
        <f t="shared" si="7"/>
        <v>281.95</v>
      </c>
      <c r="M128">
        <v>125</v>
      </c>
      <c r="N128">
        <v>0.25</v>
      </c>
      <c r="O128" s="2">
        <f t="shared" si="8"/>
        <v>10.234705</v>
      </c>
      <c r="P128">
        <f t="shared" si="9"/>
        <v>6.4505005000000004</v>
      </c>
      <c r="Q128">
        <f t="shared" si="10"/>
        <v>0.44191343584556175</v>
      </c>
      <c r="R128">
        <f t="shared" si="11"/>
        <v>278.51929673385933</v>
      </c>
      <c r="S128">
        <v>0.14925502256019696</v>
      </c>
      <c r="T128">
        <v>441.3</v>
      </c>
      <c r="X128" s="1">
        <v>0.46358796296296295</v>
      </c>
    </row>
    <row r="129" spans="1:24" x14ac:dyDescent="0.25">
      <c r="A129" t="s">
        <v>154</v>
      </c>
      <c r="B129" s="1" t="s">
        <v>47</v>
      </c>
      <c r="C129">
        <v>0.117254727</v>
      </c>
      <c r="D129">
        <v>6.0582869999999997E-2</v>
      </c>
      <c r="E129">
        <v>0.33730781300000001</v>
      </c>
      <c r="F129">
        <v>1.8266431999999999E-2</v>
      </c>
      <c r="G129">
        <v>0.57630000800000003</v>
      </c>
      <c r="H129">
        <v>0.99198816499999998</v>
      </c>
      <c r="I129">
        <v>99.9</v>
      </c>
      <c r="J129">
        <f t="shared" si="6"/>
        <v>0.99900000000000011</v>
      </c>
      <c r="K129">
        <v>21</v>
      </c>
      <c r="L129">
        <f t="shared" si="7"/>
        <v>294.14999999999998</v>
      </c>
      <c r="M129">
        <v>125</v>
      </c>
      <c r="N129">
        <v>0.25</v>
      </c>
      <c r="O129" s="2">
        <f t="shared" si="8"/>
        <v>58.627363500000001</v>
      </c>
      <c r="P129">
        <f t="shared" si="9"/>
        <v>30.291435</v>
      </c>
      <c r="Q129">
        <f t="shared" si="10"/>
        <v>2.426417262564438</v>
      </c>
      <c r="R129">
        <f t="shared" si="11"/>
        <v>1253.6750146004538</v>
      </c>
      <c r="S129">
        <v>1.6973876796852836</v>
      </c>
      <c r="T129">
        <v>194.1</v>
      </c>
      <c r="X129" s="1">
        <v>0.4586689814814815</v>
      </c>
    </row>
    <row r="130" spans="1:24" x14ac:dyDescent="0.25">
      <c r="A130" t="s">
        <v>155</v>
      </c>
      <c r="B130" s="1" t="s">
        <v>47</v>
      </c>
      <c r="C130">
        <v>0.13283203599999999</v>
      </c>
      <c r="D130">
        <v>1.2858731999999999E-2</v>
      </c>
      <c r="E130">
        <v>0.36366168799999998</v>
      </c>
      <c r="F130">
        <v>2.0720773000000001E-2</v>
      </c>
      <c r="G130">
        <v>0.60027713100000002</v>
      </c>
      <c r="H130">
        <v>0.81255069700000004</v>
      </c>
      <c r="I130">
        <v>99.9</v>
      </c>
      <c r="J130">
        <f t="shared" ref="J130:J193" si="12">I130/100</f>
        <v>0.99900000000000011</v>
      </c>
      <c r="K130">
        <v>21.2</v>
      </c>
      <c r="L130">
        <f t="shared" ref="L130:L193" si="13">K130+273.15</f>
        <v>294.34999999999997</v>
      </c>
      <c r="M130">
        <v>125</v>
      </c>
      <c r="N130">
        <v>0.25</v>
      </c>
      <c r="O130" s="2">
        <f t="shared" si="8"/>
        <v>66.416017999999994</v>
      </c>
      <c r="P130">
        <f t="shared" si="9"/>
        <v>6.4293659999999999</v>
      </c>
      <c r="Q130">
        <f t="shared" si="10"/>
        <v>2.746899492890746</v>
      </c>
      <c r="R130">
        <f t="shared" si="11"/>
        <v>265.91209074005326</v>
      </c>
      <c r="S130">
        <v>1.6886551638776144</v>
      </c>
      <c r="T130">
        <v>234.4</v>
      </c>
      <c r="X130" s="1">
        <v>0.44365740740740739</v>
      </c>
    </row>
    <row r="131" spans="1:24" x14ac:dyDescent="0.25">
      <c r="A131" t="s">
        <v>156</v>
      </c>
      <c r="B131" s="1" t="s">
        <v>47</v>
      </c>
      <c r="C131">
        <v>-1.5196885E-2</v>
      </c>
      <c r="D131">
        <v>8.1601779999999999E-2</v>
      </c>
      <c r="E131">
        <v>0.25228444700000002</v>
      </c>
      <c r="F131">
        <v>2.3204539999999999E-2</v>
      </c>
      <c r="G131">
        <v>3.9239686000000003E-2</v>
      </c>
      <c r="H131">
        <v>0.99286727299999999</v>
      </c>
      <c r="I131">
        <v>99.9</v>
      </c>
      <c r="J131">
        <f t="shared" si="12"/>
        <v>0.99900000000000011</v>
      </c>
      <c r="K131">
        <v>21.1</v>
      </c>
      <c r="L131">
        <f t="shared" si="13"/>
        <v>294.25</v>
      </c>
      <c r="M131">
        <v>125</v>
      </c>
      <c r="N131">
        <v>0.25</v>
      </c>
      <c r="O131" s="2">
        <f t="shared" ref="O131:O194" si="14">C131*M131/N131</f>
        <v>-7.5984425</v>
      </c>
      <c r="P131">
        <f t="shared" ref="P131:P194" si="15">D131*M131/N131</f>
        <v>40.800890000000003</v>
      </c>
      <c r="Q131">
        <f t="shared" ref="Q131:Q194" si="16">(O131*J131)/(0.08206*L131)</f>
        <v>-0.31437071689053608</v>
      </c>
      <c r="R131">
        <f t="shared" ref="R131:R194" si="17">(P131*J131)/(0.08206*L131)*1000</f>
        <v>1688.0571300068279</v>
      </c>
      <c r="S131">
        <v>1.6930841452129886</v>
      </c>
      <c r="T131">
        <f>AVERAGE(194.1,234.4)</f>
        <v>214.25</v>
      </c>
      <c r="X131" s="1">
        <v>0.4508564814814815</v>
      </c>
    </row>
    <row r="132" spans="1:24" x14ac:dyDescent="0.25">
      <c r="A132" t="s">
        <v>157</v>
      </c>
      <c r="B132" s="1" t="s">
        <v>47</v>
      </c>
      <c r="C132">
        <v>9.0447163999999997E-2</v>
      </c>
      <c r="D132">
        <v>3.7474972000000002E-2</v>
      </c>
      <c r="E132">
        <v>0.34187694099999999</v>
      </c>
      <c r="F132">
        <v>1.6089128000000001E-2</v>
      </c>
      <c r="G132">
        <v>0.44066271299999998</v>
      </c>
      <c r="H132">
        <v>0.98388813399999997</v>
      </c>
      <c r="I132">
        <v>99.9</v>
      </c>
      <c r="J132">
        <f t="shared" si="12"/>
        <v>0.99900000000000011</v>
      </c>
      <c r="K132">
        <v>21</v>
      </c>
      <c r="L132">
        <f t="shared" si="13"/>
        <v>294.14999999999998</v>
      </c>
      <c r="M132">
        <v>125</v>
      </c>
      <c r="N132">
        <v>0.25</v>
      </c>
      <c r="O132" s="2">
        <f t="shared" si="14"/>
        <v>45.223582</v>
      </c>
      <c r="P132">
        <f t="shared" si="15"/>
        <v>18.737486000000001</v>
      </c>
      <c r="Q132">
        <f t="shared" si="16"/>
        <v>1.8716734556858998</v>
      </c>
      <c r="R132">
        <f t="shared" si="17"/>
        <v>775.4904326792639</v>
      </c>
      <c r="S132">
        <v>1.6973876796852836</v>
      </c>
      <c r="T132">
        <v>194.1</v>
      </c>
      <c r="X132" s="1">
        <v>0.45547453703703705</v>
      </c>
    </row>
    <row r="133" spans="1:24" x14ac:dyDescent="0.25">
      <c r="A133" t="s">
        <v>158</v>
      </c>
      <c r="B133" s="1" t="s">
        <v>47</v>
      </c>
      <c r="C133">
        <v>0.16774193500000001</v>
      </c>
      <c r="D133">
        <v>8.2157949999999997E-3</v>
      </c>
      <c r="E133">
        <v>0.25485000400000002</v>
      </c>
      <c r="F133">
        <v>1.5139433000000001E-2</v>
      </c>
      <c r="G133">
        <v>0.82982678899999995</v>
      </c>
      <c r="H133">
        <v>0.76824155900000002</v>
      </c>
      <c r="I133">
        <v>99.9</v>
      </c>
      <c r="J133">
        <f t="shared" si="12"/>
        <v>0.99900000000000011</v>
      </c>
      <c r="K133">
        <v>22.8</v>
      </c>
      <c r="L133">
        <f t="shared" si="13"/>
        <v>295.95</v>
      </c>
      <c r="M133">
        <v>125</v>
      </c>
      <c r="N133">
        <v>0.25</v>
      </c>
      <c r="O133" s="2">
        <f t="shared" si="14"/>
        <v>83.870967500000006</v>
      </c>
      <c r="P133">
        <f t="shared" si="15"/>
        <v>4.1078975</v>
      </c>
      <c r="Q133">
        <f t="shared" si="16"/>
        <v>3.4500650541387463</v>
      </c>
      <c r="R133">
        <f t="shared" si="17"/>
        <v>168.97997046157738</v>
      </c>
      <c r="S133">
        <v>2.0201199906792855</v>
      </c>
      <c r="T133">
        <v>276.5</v>
      </c>
      <c r="X133" s="1">
        <v>0.54021990740740744</v>
      </c>
    </row>
    <row r="134" spans="1:24" x14ac:dyDescent="0.25">
      <c r="A134" t="s">
        <v>159</v>
      </c>
      <c r="B134" s="1" t="s">
        <v>47</v>
      </c>
      <c r="C134">
        <v>0.218131257</v>
      </c>
      <c r="D134">
        <v>3.3919910999999997E-2</v>
      </c>
      <c r="E134">
        <v>0.28448907699999998</v>
      </c>
      <c r="F134">
        <v>1.3639388000000001E-2</v>
      </c>
      <c r="G134">
        <v>0.86872147200000005</v>
      </c>
      <c r="H134">
        <v>0.98583867400000003</v>
      </c>
      <c r="I134">
        <v>99.9</v>
      </c>
      <c r="J134">
        <f t="shared" si="12"/>
        <v>0.99900000000000011</v>
      </c>
      <c r="K134">
        <v>22</v>
      </c>
      <c r="L134">
        <f t="shared" si="13"/>
        <v>295.14999999999998</v>
      </c>
      <c r="M134">
        <v>125</v>
      </c>
      <c r="N134">
        <v>0.25</v>
      </c>
      <c r="O134" s="2">
        <f t="shared" si="14"/>
        <v>109.0656285</v>
      </c>
      <c r="P134">
        <f t="shared" si="15"/>
        <v>16.9599555</v>
      </c>
      <c r="Q134">
        <f t="shared" si="16"/>
        <v>4.4986177697745706</v>
      </c>
      <c r="R134">
        <f t="shared" si="17"/>
        <v>699.54538598643796</v>
      </c>
      <c r="S134">
        <v>1.8617807636121846</v>
      </c>
      <c r="T134">
        <v>551.1</v>
      </c>
      <c r="X134" s="1">
        <v>0.52045138888888887</v>
      </c>
    </row>
    <row r="135" spans="1:24" x14ac:dyDescent="0.25">
      <c r="A135" t="s">
        <v>160</v>
      </c>
      <c r="B135" s="1" t="s">
        <v>47</v>
      </c>
      <c r="C135">
        <v>0.19209343700000001</v>
      </c>
      <c r="D135">
        <v>5.0393770999999997E-2</v>
      </c>
      <c r="E135">
        <v>0.30192528200000002</v>
      </c>
      <c r="F135">
        <v>1.8383732E-2</v>
      </c>
      <c r="G135">
        <v>0.82002276699999999</v>
      </c>
      <c r="H135">
        <v>0.98831505100000006</v>
      </c>
      <c r="I135">
        <v>99.9</v>
      </c>
      <c r="J135">
        <f t="shared" si="12"/>
        <v>0.99900000000000011</v>
      </c>
      <c r="K135">
        <v>22</v>
      </c>
      <c r="L135">
        <f t="shared" si="13"/>
        <v>295.14999999999998</v>
      </c>
      <c r="M135">
        <v>125</v>
      </c>
      <c r="N135">
        <v>0.25</v>
      </c>
      <c r="O135" s="2">
        <f t="shared" si="14"/>
        <v>96.046718499999997</v>
      </c>
      <c r="P135">
        <f t="shared" si="15"/>
        <v>25.196885499999997</v>
      </c>
      <c r="Q135">
        <f t="shared" si="16"/>
        <v>3.9616282463602723</v>
      </c>
      <c r="R135">
        <f t="shared" si="17"/>
        <v>1039.2931156425252</v>
      </c>
      <c r="S135">
        <v>1.8617807636121846</v>
      </c>
      <c r="T135">
        <v>551.1</v>
      </c>
      <c r="X135" s="1">
        <v>0.52512731481481478</v>
      </c>
    </row>
    <row r="136" spans="1:24" x14ac:dyDescent="0.25">
      <c r="A136" t="s">
        <v>161</v>
      </c>
      <c r="B136" s="1" t="s">
        <v>47</v>
      </c>
      <c r="C136">
        <v>-7.9488319999999994E-3</v>
      </c>
      <c r="D136">
        <v>2.6598442999999999E-2</v>
      </c>
      <c r="E136">
        <v>0.215786905</v>
      </c>
      <c r="F136">
        <v>1.1914621E-2</v>
      </c>
      <c r="G136">
        <v>1.5043735000000001E-2</v>
      </c>
      <c r="H136">
        <v>0.98248572999999995</v>
      </c>
      <c r="I136">
        <v>99.9</v>
      </c>
      <c r="J136">
        <f t="shared" si="12"/>
        <v>0.99900000000000011</v>
      </c>
      <c r="K136">
        <v>22.4</v>
      </c>
      <c r="L136">
        <f t="shared" si="13"/>
        <v>295.54999999999995</v>
      </c>
      <c r="M136">
        <v>125</v>
      </c>
      <c r="N136">
        <v>0.25</v>
      </c>
      <c r="O136" s="2">
        <f t="shared" si="14"/>
        <v>-3.9744159999999997</v>
      </c>
      <c r="P136">
        <f t="shared" si="15"/>
        <v>13.2992215</v>
      </c>
      <c r="Q136">
        <f t="shared" si="16"/>
        <v>-0.16371042442752981</v>
      </c>
      <c r="R136">
        <f t="shared" si="17"/>
        <v>547.80908599420127</v>
      </c>
      <c r="S136">
        <v>1.9396702774061731</v>
      </c>
      <c r="T136">
        <f>AVERAGE(551.1,276.5)</f>
        <v>413.8</v>
      </c>
      <c r="X136" s="1">
        <v>0.53083333333333338</v>
      </c>
    </row>
    <row r="137" spans="1:24" x14ac:dyDescent="0.25">
      <c r="A137" t="s">
        <v>162</v>
      </c>
      <c r="B137" s="1" t="s">
        <v>47</v>
      </c>
      <c r="C137">
        <v>0.171005562</v>
      </c>
      <c r="D137">
        <v>0.10620244700000001</v>
      </c>
      <c r="E137">
        <v>0.36274271800000002</v>
      </c>
      <c r="F137">
        <v>4.6885246999999998E-2</v>
      </c>
      <c r="G137">
        <v>0.71441036899999999</v>
      </c>
      <c r="H137">
        <v>0.98297975900000001</v>
      </c>
      <c r="I137">
        <v>99.9</v>
      </c>
      <c r="J137">
        <f t="shared" si="12"/>
        <v>0.99900000000000011</v>
      </c>
      <c r="K137">
        <v>22.4</v>
      </c>
      <c r="L137">
        <f t="shared" si="13"/>
        <v>295.54999999999995</v>
      </c>
      <c r="M137">
        <v>125</v>
      </c>
      <c r="N137">
        <v>0.25</v>
      </c>
      <c r="O137" s="2">
        <f t="shared" si="14"/>
        <v>85.502780999999999</v>
      </c>
      <c r="P137">
        <f t="shared" si="15"/>
        <v>53.101223500000003</v>
      </c>
      <c r="Q137">
        <f t="shared" si="16"/>
        <v>3.521950537448554</v>
      </c>
      <c r="R137">
        <f t="shared" si="17"/>
        <v>2187.2959038022491</v>
      </c>
      <c r="S137">
        <v>-722.04758952894633</v>
      </c>
      <c r="T137">
        <v>413.8</v>
      </c>
      <c r="X137" s="1">
        <v>0.53431712962962963</v>
      </c>
    </row>
    <row r="138" spans="1:24" x14ac:dyDescent="0.25">
      <c r="A138" t="s">
        <v>163</v>
      </c>
      <c r="B138" s="1" t="s">
        <v>40</v>
      </c>
      <c r="C138">
        <v>7.1724140000000002E-3</v>
      </c>
      <c r="D138">
        <v>9.9599560000000007E-3</v>
      </c>
      <c r="E138">
        <v>0.23189003699999999</v>
      </c>
      <c r="F138">
        <v>1.0467166999999999E-2</v>
      </c>
      <c r="G138">
        <v>1.0653618E-2</v>
      </c>
      <c r="H138">
        <v>0.91064658700000001</v>
      </c>
      <c r="I138">
        <v>99.9</v>
      </c>
      <c r="J138">
        <f t="shared" si="12"/>
        <v>0.99900000000000011</v>
      </c>
      <c r="K138">
        <v>21.9</v>
      </c>
      <c r="L138">
        <f t="shared" si="13"/>
        <v>295.04999999999995</v>
      </c>
      <c r="M138">
        <v>125</v>
      </c>
      <c r="N138">
        <v>0.25</v>
      </c>
      <c r="O138" s="2">
        <f t="shared" si="14"/>
        <v>3.5862069999999999</v>
      </c>
      <c r="P138">
        <f t="shared" si="15"/>
        <v>4.979978</v>
      </c>
      <c r="Q138">
        <f t="shared" si="16"/>
        <v>0.14797001251827469</v>
      </c>
      <c r="R138">
        <f t="shared" si="17"/>
        <v>205.47821333256348</v>
      </c>
      <c r="S138">
        <v>1.8556226889934073</v>
      </c>
      <c r="T138">
        <v>900.9</v>
      </c>
      <c r="X138" s="1">
        <v>0.47706018518518517</v>
      </c>
    </row>
    <row r="139" spans="1:24" x14ac:dyDescent="0.25">
      <c r="A139" t="s">
        <v>164</v>
      </c>
      <c r="B139" s="1" t="s">
        <v>40</v>
      </c>
      <c r="C139">
        <v>0.103679644</v>
      </c>
      <c r="D139">
        <v>8.5813126000000003E-2</v>
      </c>
      <c r="E139">
        <v>0.28868703400000001</v>
      </c>
      <c r="F139">
        <v>1.9859189999999999E-2</v>
      </c>
      <c r="G139">
        <v>0.59214078000000003</v>
      </c>
      <c r="H139">
        <v>0.99526443399999998</v>
      </c>
      <c r="I139">
        <v>99.9</v>
      </c>
      <c r="J139">
        <f t="shared" si="12"/>
        <v>0.99900000000000011</v>
      </c>
      <c r="K139">
        <v>21.9</v>
      </c>
      <c r="L139">
        <f t="shared" si="13"/>
        <v>295.04999999999995</v>
      </c>
      <c r="M139">
        <v>125</v>
      </c>
      <c r="N139">
        <v>0.25</v>
      </c>
      <c r="O139" s="2">
        <f t="shared" si="14"/>
        <v>51.839821999999998</v>
      </c>
      <c r="P139">
        <f t="shared" si="15"/>
        <v>42.906562999999998</v>
      </c>
      <c r="Q139">
        <f t="shared" si="16"/>
        <v>2.1389560363596223</v>
      </c>
      <c r="R139">
        <f t="shared" si="17"/>
        <v>1770.3620187641545</v>
      </c>
      <c r="S139">
        <v>1.8556226889934073</v>
      </c>
      <c r="T139">
        <v>900.9</v>
      </c>
      <c r="X139" s="1">
        <v>0.47991898148148149</v>
      </c>
    </row>
    <row r="140" spans="1:24" x14ac:dyDescent="0.25">
      <c r="A140" t="s">
        <v>165</v>
      </c>
      <c r="B140" s="1" t="s">
        <v>40</v>
      </c>
      <c r="C140">
        <v>7.6462739999999998E-3</v>
      </c>
      <c r="D140">
        <v>8.2164627000000004E-2</v>
      </c>
      <c r="E140">
        <v>0.37852260399999998</v>
      </c>
      <c r="F140">
        <v>1.6687878999999999E-2</v>
      </c>
      <c r="G140">
        <v>4.5720200000000004E-3</v>
      </c>
      <c r="H140">
        <v>0.99634858199999998</v>
      </c>
      <c r="I140">
        <v>99.9</v>
      </c>
      <c r="J140">
        <f t="shared" si="12"/>
        <v>0.99900000000000011</v>
      </c>
      <c r="K140">
        <v>21.9</v>
      </c>
      <c r="L140">
        <f t="shared" si="13"/>
        <v>295.04999999999995</v>
      </c>
      <c r="M140">
        <v>125</v>
      </c>
      <c r="N140">
        <v>0.25</v>
      </c>
      <c r="O140" s="2">
        <f t="shared" si="14"/>
        <v>3.823137</v>
      </c>
      <c r="P140">
        <f t="shared" si="15"/>
        <v>41.082313500000005</v>
      </c>
      <c r="Q140">
        <f t="shared" si="16"/>
        <v>0.15774594989889854</v>
      </c>
      <c r="R140">
        <f t="shared" si="17"/>
        <v>1695.091901520098</v>
      </c>
      <c r="S140">
        <v>1.8556226889934073</v>
      </c>
      <c r="T140">
        <v>900.9</v>
      </c>
      <c r="X140" s="1">
        <v>0.48440972222222217</v>
      </c>
    </row>
    <row r="141" spans="1:24" x14ac:dyDescent="0.25">
      <c r="A141" t="s">
        <v>166</v>
      </c>
      <c r="B141" s="1" t="s">
        <v>40</v>
      </c>
      <c r="C141">
        <v>-0.15436040000000001</v>
      </c>
      <c r="D141">
        <v>6.8213571000000001E-2</v>
      </c>
      <c r="E141">
        <v>1.136102382</v>
      </c>
      <c r="F141">
        <v>0.102215207</v>
      </c>
      <c r="G141">
        <v>0.172039679</v>
      </c>
      <c r="H141">
        <v>0.83369209399999999</v>
      </c>
      <c r="I141">
        <v>99.9</v>
      </c>
      <c r="J141">
        <f t="shared" si="12"/>
        <v>0.99900000000000011</v>
      </c>
      <c r="K141">
        <v>21.7</v>
      </c>
      <c r="L141">
        <f t="shared" si="13"/>
        <v>294.84999999999997</v>
      </c>
      <c r="M141">
        <v>125</v>
      </c>
      <c r="N141">
        <v>0.25</v>
      </c>
      <c r="O141" s="2">
        <f t="shared" si="14"/>
        <v>-77.180199999999999</v>
      </c>
      <c r="P141">
        <f t="shared" si="15"/>
        <v>34.106785500000001</v>
      </c>
      <c r="Q141">
        <f t="shared" si="16"/>
        <v>-3.1866821164411032</v>
      </c>
      <c r="R141">
        <f t="shared" si="17"/>
        <v>1408.2301341813411</v>
      </c>
      <c r="S141">
        <v>1.8050033608922953</v>
      </c>
      <c r="T141">
        <f>AVERAGE(900.9,474.2)</f>
        <v>687.55</v>
      </c>
      <c r="X141" s="1">
        <v>0.48949074074074073</v>
      </c>
    </row>
    <row r="142" spans="1:24" x14ac:dyDescent="0.25">
      <c r="A142" t="s">
        <v>167</v>
      </c>
      <c r="B142" s="1" t="s">
        <v>40</v>
      </c>
      <c r="C142">
        <v>0.159848721</v>
      </c>
      <c r="D142">
        <v>8.4725250000000002E-2</v>
      </c>
      <c r="E142">
        <v>0.283520934</v>
      </c>
      <c r="F142">
        <v>2.4324044999999999E-2</v>
      </c>
      <c r="G142">
        <v>0.78156006200000006</v>
      </c>
      <c r="H142">
        <v>0.99273065900000002</v>
      </c>
      <c r="I142">
        <v>99.9</v>
      </c>
      <c r="J142">
        <f t="shared" si="12"/>
        <v>0.99900000000000011</v>
      </c>
      <c r="K142">
        <v>21.5</v>
      </c>
      <c r="L142">
        <f t="shared" si="13"/>
        <v>294.64999999999998</v>
      </c>
      <c r="M142">
        <v>125</v>
      </c>
      <c r="N142">
        <v>0.25</v>
      </c>
      <c r="O142" s="2">
        <f t="shared" si="14"/>
        <v>79.924360500000006</v>
      </c>
      <c r="P142">
        <f t="shared" si="15"/>
        <v>42.362625000000001</v>
      </c>
      <c r="Q142">
        <f t="shared" si="16"/>
        <v>3.3022252982435707</v>
      </c>
      <c r="R142">
        <f t="shared" si="17"/>
        <v>1750.2915393987487</v>
      </c>
      <c r="S142">
        <v>1.7553071529622144</v>
      </c>
      <c r="T142">
        <v>474.2</v>
      </c>
      <c r="X142" s="1">
        <v>0.49766203703703704</v>
      </c>
    </row>
    <row r="143" spans="1:24" x14ac:dyDescent="0.25">
      <c r="A143" t="s">
        <v>168</v>
      </c>
      <c r="B143" s="1" t="s">
        <v>47</v>
      </c>
      <c r="C143">
        <v>0.20217797600000001</v>
      </c>
      <c r="D143">
        <v>3.3499444000000003E-2</v>
      </c>
      <c r="E143">
        <v>0.24775998199999999</v>
      </c>
      <c r="F143">
        <v>1.5624806999999999E-2</v>
      </c>
      <c r="G143">
        <v>0.88228751699999997</v>
      </c>
      <c r="H143">
        <v>0.98103913200000004</v>
      </c>
      <c r="I143">
        <v>99.9</v>
      </c>
      <c r="J143">
        <f t="shared" si="12"/>
        <v>0.99900000000000011</v>
      </c>
      <c r="K143">
        <v>13.7</v>
      </c>
      <c r="L143">
        <f t="shared" si="13"/>
        <v>286.84999999999997</v>
      </c>
      <c r="M143">
        <v>125</v>
      </c>
      <c r="N143">
        <v>0.25</v>
      </c>
      <c r="O143" s="2">
        <f t="shared" si="14"/>
        <v>101.088988</v>
      </c>
      <c r="P143">
        <f t="shared" si="15"/>
        <v>16.749722000000002</v>
      </c>
      <c r="Q143">
        <f t="shared" si="16"/>
        <v>4.2902536575290178</v>
      </c>
      <c r="R143">
        <f t="shared" si="17"/>
        <v>710.86433344346347</v>
      </c>
      <c r="S143">
        <v>0.19269345324889287</v>
      </c>
      <c r="T143">
        <v>43.9</v>
      </c>
      <c r="X143" s="1">
        <v>0.81577546296296299</v>
      </c>
    </row>
    <row r="144" spans="1:24" x14ac:dyDescent="0.25">
      <c r="A144" t="s">
        <v>169</v>
      </c>
      <c r="B144" s="1" t="s">
        <v>47</v>
      </c>
      <c r="C144">
        <v>0.15269632899999999</v>
      </c>
      <c r="D144">
        <v>4.0380422999999999E-2</v>
      </c>
      <c r="E144">
        <v>1.4845224930000001</v>
      </c>
      <c r="F144">
        <v>3.3314809000000001E-2</v>
      </c>
      <c r="G144">
        <v>0.106414758</v>
      </c>
      <c r="H144">
        <v>0.94297678699999998</v>
      </c>
      <c r="I144">
        <v>99.9</v>
      </c>
      <c r="J144">
        <f t="shared" si="12"/>
        <v>0.99900000000000011</v>
      </c>
      <c r="K144">
        <v>13.7</v>
      </c>
      <c r="L144">
        <f t="shared" si="13"/>
        <v>286.84999999999997</v>
      </c>
      <c r="M144">
        <v>125</v>
      </c>
      <c r="N144">
        <v>0.25</v>
      </c>
      <c r="O144" s="2">
        <f t="shared" si="14"/>
        <v>76.348164499999996</v>
      </c>
      <c r="P144">
        <f t="shared" si="15"/>
        <v>20.1902115</v>
      </c>
      <c r="Q144">
        <f t="shared" si="16"/>
        <v>3.2402440510310786</v>
      </c>
      <c r="R144">
        <f t="shared" si="17"/>
        <v>856.87996732304248</v>
      </c>
      <c r="S144">
        <v>0.19269345324889287</v>
      </c>
      <c r="T144">
        <v>42</v>
      </c>
      <c r="X144" s="1">
        <v>0.82012731481481482</v>
      </c>
    </row>
    <row r="145" spans="1:24" x14ac:dyDescent="0.25">
      <c r="A145" t="s">
        <v>170</v>
      </c>
      <c r="B145" s="1" t="s">
        <v>47</v>
      </c>
      <c r="C145">
        <v>0.22074749699999999</v>
      </c>
      <c r="D145">
        <v>5.7052279999999997E-2</v>
      </c>
      <c r="E145">
        <v>0.265423458</v>
      </c>
      <c r="F145">
        <v>5.5547863000000003E-2</v>
      </c>
      <c r="G145">
        <v>0.88617810799999996</v>
      </c>
      <c r="H145">
        <v>0.922323487</v>
      </c>
      <c r="I145">
        <v>99.9</v>
      </c>
      <c r="J145">
        <f t="shared" si="12"/>
        <v>0.99900000000000011</v>
      </c>
      <c r="K145">
        <f>AVERAGE(14.5,13.7)</f>
        <v>14.1</v>
      </c>
      <c r="L145">
        <f t="shared" si="13"/>
        <v>287.25</v>
      </c>
      <c r="M145">
        <v>125</v>
      </c>
      <c r="N145">
        <v>0.25</v>
      </c>
      <c r="O145" s="2">
        <f t="shared" si="14"/>
        <v>110.37374849999999</v>
      </c>
      <c r="P145">
        <f t="shared" si="15"/>
        <v>28.526139999999998</v>
      </c>
      <c r="Q145">
        <f t="shared" si="16"/>
        <v>4.6777793298414405</v>
      </c>
      <c r="R145">
        <f t="shared" si="17"/>
        <v>1208.973962247582</v>
      </c>
      <c r="S145">
        <v>0.223869522925771</v>
      </c>
      <c r="T145">
        <f>AVERAGE(86.1,43.9)</f>
        <v>65</v>
      </c>
      <c r="X145" s="1">
        <v>0.80548611111111112</v>
      </c>
    </row>
    <row r="146" spans="1:24" x14ac:dyDescent="0.25">
      <c r="A146" t="s">
        <v>171</v>
      </c>
      <c r="B146" s="1" t="s">
        <v>47</v>
      </c>
      <c r="C146">
        <v>0.54084760799999998</v>
      </c>
      <c r="D146">
        <v>9.1034480000000001E-3</v>
      </c>
      <c r="E146">
        <v>0.429739484</v>
      </c>
      <c r="F146">
        <v>1.1656471E-2</v>
      </c>
      <c r="G146">
        <v>0.94688980700000003</v>
      </c>
      <c r="H146">
        <v>0.87285937099999999</v>
      </c>
      <c r="I146">
        <v>99.9</v>
      </c>
      <c r="J146">
        <f t="shared" si="12"/>
        <v>0.99900000000000011</v>
      </c>
      <c r="K146">
        <v>13.7</v>
      </c>
      <c r="L146">
        <f t="shared" si="13"/>
        <v>286.84999999999997</v>
      </c>
      <c r="M146">
        <v>125</v>
      </c>
      <c r="N146">
        <v>0.25</v>
      </c>
      <c r="O146" s="2">
        <f t="shared" si="14"/>
        <v>270.42380400000002</v>
      </c>
      <c r="P146">
        <f t="shared" si="15"/>
        <v>4.5517240000000001</v>
      </c>
      <c r="Q146">
        <f t="shared" si="16"/>
        <v>11.476885238913564</v>
      </c>
      <c r="R146">
        <f t="shared" si="17"/>
        <v>193.17683286197908</v>
      </c>
      <c r="S146">
        <v>0.19269345324889287</v>
      </c>
      <c r="T146">
        <v>43.9</v>
      </c>
      <c r="X146" s="1">
        <v>0.81194444444444447</v>
      </c>
    </row>
    <row r="147" spans="1:24" x14ac:dyDescent="0.25">
      <c r="A147" t="s">
        <v>172</v>
      </c>
      <c r="B147" s="1" t="s">
        <v>47</v>
      </c>
      <c r="C147">
        <v>0.203463849</v>
      </c>
      <c r="D147">
        <v>1.5973304000000001E-2</v>
      </c>
      <c r="E147">
        <v>0.39403983300000001</v>
      </c>
      <c r="F147">
        <v>1.6224163999999999E-2</v>
      </c>
      <c r="G147">
        <v>0.750067021</v>
      </c>
      <c r="H147">
        <v>0.91604089700000002</v>
      </c>
      <c r="I147">
        <v>99.9</v>
      </c>
      <c r="J147">
        <f t="shared" si="12"/>
        <v>0.99900000000000011</v>
      </c>
      <c r="K147">
        <v>12.9</v>
      </c>
      <c r="L147">
        <f t="shared" si="13"/>
        <v>286.04999999999995</v>
      </c>
      <c r="M147">
        <v>125</v>
      </c>
      <c r="N147">
        <v>0.25</v>
      </c>
      <c r="O147" s="2">
        <f t="shared" si="14"/>
        <v>101.73192450000001</v>
      </c>
      <c r="P147">
        <f t="shared" si="15"/>
        <v>7.9866520000000003</v>
      </c>
      <c r="Q147">
        <f t="shared" si="16"/>
        <v>4.3296150422504125</v>
      </c>
      <c r="R147">
        <f t="shared" si="17"/>
        <v>339.90439880471678</v>
      </c>
      <c r="S147">
        <v>0.15509327117531013</v>
      </c>
      <c r="T147">
        <v>38.5</v>
      </c>
      <c r="X147" s="1">
        <v>0.87262731481481481</v>
      </c>
    </row>
    <row r="148" spans="1:24" x14ac:dyDescent="0.25">
      <c r="A148" t="s">
        <v>173</v>
      </c>
      <c r="B148" s="1" t="s">
        <v>47</v>
      </c>
      <c r="C148">
        <v>8.9081200999999999E-2</v>
      </c>
      <c r="D148">
        <v>6.8631810000000003E-3</v>
      </c>
      <c r="E148">
        <v>0.31992716199999999</v>
      </c>
      <c r="F148">
        <v>8.5993240000000002E-3</v>
      </c>
      <c r="G148">
        <v>0.46600429199999999</v>
      </c>
      <c r="H148">
        <v>0.87759737800000004</v>
      </c>
      <c r="I148">
        <v>99.9</v>
      </c>
      <c r="J148">
        <f t="shared" si="12"/>
        <v>0.99900000000000011</v>
      </c>
      <c r="K148">
        <v>12.9</v>
      </c>
      <c r="L148">
        <f t="shared" si="13"/>
        <v>286.04999999999995</v>
      </c>
      <c r="M148">
        <v>125</v>
      </c>
      <c r="N148">
        <v>0.25</v>
      </c>
      <c r="O148" s="2">
        <f t="shared" si="14"/>
        <v>44.540600499999996</v>
      </c>
      <c r="P148">
        <f t="shared" si="15"/>
        <v>3.4315905</v>
      </c>
      <c r="Q148">
        <f t="shared" si="16"/>
        <v>1.8956060731522504</v>
      </c>
      <c r="R148">
        <f t="shared" si="17"/>
        <v>146.04526475505349</v>
      </c>
      <c r="S148">
        <v>0.15509327117531013</v>
      </c>
      <c r="T148">
        <v>38.5</v>
      </c>
      <c r="X148" s="1">
        <v>0.8825115740740741</v>
      </c>
    </row>
    <row r="149" spans="1:24" x14ac:dyDescent="0.25">
      <c r="A149" t="s">
        <v>174</v>
      </c>
      <c r="B149" s="1" t="s">
        <v>47</v>
      </c>
      <c r="C149">
        <v>0.17476306999999999</v>
      </c>
      <c r="D149">
        <v>2.2952169000000001E-2</v>
      </c>
      <c r="E149">
        <v>0.246816544</v>
      </c>
      <c r="F149">
        <v>1.3057231000000001E-2</v>
      </c>
      <c r="G149">
        <v>0.849472373</v>
      </c>
      <c r="H149">
        <v>0.97205129700000004</v>
      </c>
      <c r="I149">
        <v>99.9</v>
      </c>
      <c r="J149">
        <f t="shared" si="12"/>
        <v>0.99900000000000011</v>
      </c>
      <c r="K149">
        <v>12.75</v>
      </c>
      <c r="L149">
        <f t="shared" si="13"/>
        <v>285.89999999999998</v>
      </c>
      <c r="M149">
        <v>125</v>
      </c>
      <c r="N149">
        <v>0.25</v>
      </c>
      <c r="O149" s="2">
        <f t="shared" si="14"/>
        <v>87.381535</v>
      </c>
      <c r="P149">
        <f t="shared" si="15"/>
        <v>11.476084500000001</v>
      </c>
      <c r="Q149">
        <f t="shared" si="16"/>
        <v>3.7208271012764449</v>
      </c>
      <c r="R149">
        <f t="shared" si="17"/>
        <v>488.66761409190798</v>
      </c>
      <c r="S149">
        <v>0.15067941043517386</v>
      </c>
      <c r="T149">
        <f>AVERAGE(38.5,18.3)</f>
        <v>28.4</v>
      </c>
      <c r="X149" s="1">
        <v>0.8872916666666667</v>
      </c>
    </row>
    <row r="150" spans="1:24" x14ac:dyDescent="0.25">
      <c r="A150" t="s">
        <v>175</v>
      </c>
      <c r="B150" s="1" t="s">
        <v>47</v>
      </c>
      <c r="C150">
        <v>0.260967742</v>
      </c>
      <c r="D150">
        <v>6.1112346999999997E-2</v>
      </c>
      <c r="E150">
        <v>0.34653719100000002</v>
      </c>
      <c r="F150">
        <v>4.0441441000000002E-2</v>
      </c>
      <c r="G150">
        <v>0.864562159</v>
      </c>
      <c r="H150">
        <v>0.96255128199999995</v>
      </c>
      <c r="I150">
        <v>99.9</v>
      </c>
      <c r="J150">
        <f t="shared" si="12"/>
        <v>0.99900000000000011</v>
      </c>
      <c r="K150">
        <v>14.35</v>
      </c>
      <c r="L150">
        <f t="shared" si="13"/>
        <v>287.5</v>
      </c>
      <c r="M150">
        <v>125</v>
      </c>
      <c r="N150">
        <v>0.25</v>
      </c>
      <c r="O150" s="2">
        <f t="shared" si="14"/>
        <v>130.48387099999999</v>
      </c>
      <c r="P150">
        <f t="shared" si="15"/>
        <v>30.5561735</v>
      </c>
      <c r="Q150">
        <f t="shared" si="16"/>
        <v>5.5252630473566526</v>
      </c>
      <c r="R150">
        <f t="shared" si="17"/>
        <v>1293.883259396624</v>
      </c>
      <c r="S150">
        <v>0.1712462926521674</v>
      </c>
      <c r="T150">
        <v>100.75</v>
      </c>
      <c r="X150" s="1">
        <v>0.78357638888888881</v>
      </c>
    </row>
    <row r="151" spans="1:24" x14ac:dyDescent="0.25">
      <c r="A151" t="s">
        <v>176</v>
      </c>
      <c r="B151" s="1" t="s">
        <v>47</v>
      </c>
      <c r="C151">
        <v>0.48081201299999998</v>
      </c>
      <c r="D151">
        <v>6.7997774999999996E-2</v>
      </c>
      <c r="E151">
        <v>0.87040637200000004</v>
      </c>
      <c r="F151">
        <v>5.9229223999999997E-2</v>
      </c>
      <c r="G151">
        <v>0.774505577</v>
      </c>
      <c r="H151">
        <v>0.936850391</v>
      </c>
      <c r="I151">
        <v>99.9</v>
      </c>
      <c r="J151">
        <f t="shared" si="12"/>
        <v>0.99900000000000011</v>
      </c>
      <c r="K151">
        <v>14.3</v>
      </c>
      <c r="L151">
        <f t="shared" si="13"/>
        <v>287.45</v>
      </c>
      <c r="M151">
        <v>125</v>
      </c>
      <c r="N151">
        <v>0.25</v>
      </c>
      <c r="O151" s="2">
        <f t="shared" si="14"/>
        <v>240.40600649999999</v>
      </c>
      <c r="P151">
        <f t="shared" si="15"/>
        <v>33.998887499999995</v>
      </c>
      <c r="Q151">
        <f t="shared" si="16"/>
        <v>10.181622172080752</v>
      </c>
      <c r="R151">
        <f t="shared" si="17"/>
        <v>1439.9133858416265</v>
      </c>
      <c r="S151">
        <v>0.13623383779166276</v>
      </c>
      <c r="T151">
        <v>115.4</v>
      </c>
      <c r="X151" s="1">
        <v>0.76646990740740739</v>
      </c>
    </row>
    <row r="152" spans="1:24" x14ac:dyDescent="0.25">
      <c r="A152" t="s">
        <v>177</v>
      </c>
      <c r="B152" s="1" t="s">
        <v>47</v>
      </c>
      <c r="C152">
        <v>0.32284983299999997</v>
      </c>
      <c r="D152">
        <v>5.9232480999999997E-2</v>
      </c>
      <c r="E152">
        <v>0.52591663600000005</v>
      </c>
      <c r="F152">
        <v>4.2490272000000003E-2</v>
      </c>
      <c r="G152">
        <v>0.80922561599999998</v>
      </c>
      <c r="H152">
        <v>0.95628174700000002</v>
      </c>
      <c r="I152">
        <v>99.9</v>
      </c>
      <c r="J152">
        <f t="shared" si="12"/>
        <v>0.99900000000000011</v>
      </c>
      <c r="K152">
        <v>14.3</v>
      </c>
      <c r="L152">
        <f t="shared" si="13"/>
        <v>287.45</v>
      </c>
      <c r="M152">
        <v>125</v>
      </c>
      <c r="N152">
        <v>0.25</v>
      </c>
      <c r="O152" s="2">
        <f t="shared" si="14"/>
        <v>161.42491649999999</v>
      </c>
      <c r="P152">
        <f t="shared" si="15"/>
        <v>29.6162405</v>
      </c>
      <c r="Q152">
        <f t="shared" si="16"/>
        <v>6.8366324655980835</v>
      </c>
      <c r="R152">
        <f t="shared" si="17"/>
        <v>1254.300486574889</v>
      </c>
      <c r="S152">
        <v>0.13623383779166276</v>
      </c>
      <c r="T152">
        <v>115.4</v>
      </c>
      <c r="X152" s="1">
        <v>0.77021990740740742</v>
      </c>
    </row>
    <row r="153" spans="1:24" x14ac:dyDescent="0.25">
      <c r="A153" t="s">
        <v>178</v>
      </c>
      <c r="B153" s="1" t="s">
        <v>47</v>
      </c>
      <c r="C153">
        <v>0.45701223600000002</v>
      </c>
      <c r="D153">
        <v>1.8553949E-2</v>
      </c>
      <c r="E153">
        <v>0.59800006000000006</v>
      </c>
      <c r="F153">
        <v>2.0457788000000001E-2</v>
      </c>
      <c r="G153">
        <v>0.86797088600000005</v>
      </c>
      <c r="H153">
        <v>0.90251924699999997</v>
      </c>
      <c r="I153">
        <v>99.9</v>
      </c>
      <c r="J153">
        <f t="shared" si="12"/>
        <v>0.99900000000000011</v>
      </c>
      <c r="K153">
        <v>14.3</v>
      </c>
      <c r="L153">
        <f t="shared" si="13"/>
        <v>287.45</v>
      </c>
      <c r="M153">
        <v>125</v>
      </c>
      <c r="N153">
        <v>0.25</v>
      </c>
      <c r="O153" s="2">
        <f t="shared" si="14"/>
        <v>228.50611800000001</v>
      </c>
      <c r="P153">
        <f t="shared" si="15"/>
        <v>9.2769744999999997</v>
      </c>
      <c r="Q153">
        <f t="shared" si="16"/>
        <v>9.6776407185354607</v>
      </c>
      <c r="R153">
        <f t="shared" si="17"/>
        <v>392.89637823182983</v>
      </c>
      <c r="S153">
        <v>0.13623383779166276</v>
      </c>
      <c r="T153">
        <v>115.4</v>
      </c>
      <c r="X153" s="1">
        <v>0.77174768518518511</v>
      </c>
    </row>
    <row r="154" spans="1:24" x14ac:dyDescent="0.25">
      <c r="A154" t="s">
        <v>179</v>
      </c>
      <c r="B154" s="1" t="s">
        <v>47</v>
      </c>
      <c r="C154">
        <v>0.26892769700000002</v>
      </c>
      <c r="D154">
        <v>6.8006674000000003E-2</v>
      </c>
      <c r="E154">
        <v>0.43179910700000002</v>
      </c>
      <c r="F154">
        <v>4.6416392000000001E-2</v>
      </c>
      <c r="G154">
        <v>0.81364357700000001</v>
      </c>
      <c r="H154">
        <v>0.96025838200000002</v>
      </c>
      <c r="I154">
        <v>99.9</v>
      </c>
      <c r="J154">
        <f t="shared" si="12"/>
        <v>0.99900000000000011</v>
      </c>
      <c r="K154">
        <v>14.3</v>
      </c>
      <c r="L154">
        <f t="shared" si="13"/>
        <v>287.45</v>
      </c>
      <c r="M154">
        <v>125</v>
      </c>
      <c r="N154">
        <v>0.25</v>
      </c>
      <c r="O154" s="2">
        <f t="shared" si="14"/>
        <v>134.46384850000001</v>
      </c>
      <c r="P154">
        <f t="shared" si="15"/>
        <v>34.003337000000002</v>
      </c>
      <c r="Q154">
        <f t="shared" si="16"/>
        <v>5.694783259214895</v>
      </c>
      <c r="R154">
        <f t="shared" si="17"/>
        <v>1440.1018300844071</v>
      </c>
      <c r="S154">
        <v>0.13623383779166276</v>
      </c>
      <c r="T154">
        <v>115.4</v>
      </c>
      <c r="X154" s="1">
        <v>0.77473379629629635</v>
      </c>
    </row>
    <row r="155" spans="1:24" x14ac:dyDescent="0.25">
      <c r="A155" t="s">
        <v>180</v>
      </c>
      <c r="B155" s="1" t="s">
        <v>40</v>
      </c>
      <c r="C155">
        <v>7.6525027999999995E-2</v>
      </c>
      <c r="D155">
        <v>1.2981090000000001E-2</v>
      </c>
      <c r="E155">
        <v>0.29696431699999998</v>
      </c>
      <c r="F155">
        <v>9.4805500000000008E-3</v>
      </c>
      <c r="G155">
        <v>0.427736746</v>
      </c>
      <c r="H155">
        <v>0.95475660799999995</v>
      </c>
      <c r="I155">
        <v>99.9</v>
      </c>
      <c r="J155">
        <f t="shared" si="12"/>
        <v>0.99900000000000011</v>
      </c>
      <c r="K155">
        <v>13.2</v>
      </c>
      <c r="L155">
        <f t="shared" si="13"/>
        <v>286.34999999999997</v>
      </c>
      <c r="M155">
        <v>125</v>
      </c>
      <c r="N155">
        <v>0.25</v>
      </c>
      <c r="O155" s="2">
        <f t="shared" si="14"/>
        <v>38.262513999999996</v>
      </c>
      <c r="P155">
        <f t="shared" si="15"/>
        <v>6.490545</v>
      </c>
      <c r="Q155">
        <f t="shared" si="16"/>
        <v>1.6267105738598304</v>
      </c>
      <c r="R155">
        <f t="shared" si="17"/>
        <v>275.94209260826545</v>
      </c>
      <c r="S155">
        <v>0.19248403988829677</v>
      </c>
      <c r="T155">
        <v>69.599999999999994</v>
      </c>
      <c r="X155" s="1">
        <v>0.83262731481481478</v>
      </c>
    </row>
    <row r="156" spans="1:24" x14ac:dyDescent="0.25">
      <c r="A156" t="s">
        <v>181</v>
      </c>
      <c r="B156" s="1" t="s">
        <v>40</v>
      </c>
      <c r="C156">
        <v>0.30255839800000001</v>
      </c>
      <c r="D156">
        <v>4.4344828000000003E-2</v>
      </c>
      <c r="E156">
        <v>0.612445982</v>
      </c>
      <c r="F156">
        <v>2.8133812000000001E-2</v>
      </c>
      <c r="G156">
        <v>0.73312272700000003</v>
      </c>
      <c r="H156">
        <v>0.96547528400000004</v>
      </c>
      <c r="I156">
        <v>99.9</v>
      </c>
      <c r="J156">
        <f t="shared" si="12"/>
        <v>0.99900000000000011</v>
      </c>
      <c r="K156">
        <v>13</v>
      </c>
      <c r="L156">
        <f t="shared" si="13"/>
        <v>286.14999999999998</v>
      </c>
      <c r="M156">
        <v>125</v>
      </c>
      <c r="N156">
        <v>0.25</v>
      </c>
      <c r="O156" s="2">
        <f t="shared" si="14"/>
        <v>151.27919900000001</v>
      </c>
      <c r="P156">
        <f t="shared" si="15"/>
        <v>22.172414</v>
      </c>
      <c r="Q156">
        <f t="shared" si="16"/>
        <v>6.4360504788265178</v>
      </c>
      <c r="R156">
        <f t="shared" si="17"/>
        <v>943.30731974221919</v>
      </c>
      <c r="S156">
        <v>0.20323931466426259</v>
      </c>
      <c r="T156">
        <v>56.8</v>
      </c>
      <c r="X156" s="1">
        <v>0.85753472222222227</v>
      </c>
    </row>
    <row r="157" spans="1:24" x14ac:dyDescent="0.25">
      <c r="A157" t="s">
        <v>182</v>
      </c>
      <c r="B157" s="1" t="s">
        <v>40</v>
      </c>
      <c r="C157">
        <v>0.178856507</v>
      </c>
      <c r="D157">
        <v>2.8304783E-2</v>
      </c>
      <c r="E157">
        <v>1.322105348</v>
      </c>
      <c r="F157">
        <v>6.2093693999999998E-2</v>
      </c>
      <c r="G157">
        <v>0.17081012300000001</v>
      </c>
      <c r="H157">
        <v>0.70049787600000002</v>
      </c>
      <c r="I157">
        <v>99.9</v>
      </c>
      <c r="J157">
        <f t="shared" si="12"/>
        <v>0.99900000000000011</v>
      </c>
      <c r="K157">
        <v>13</v>
      </c>
      <c r="L157">
        <f t="shared" si="13"/>
        <v>286.14999999999998</v>
      </c>
      <c r="M157">
        <v>125</v>
      </c>
      <c r="N157">
        <v>0.25</v>
      </c>
      <c r="O157" s="2">
        <f t="shared" si="14"/>
        <v>89.428253499999997</v>
      </c>
      <c r="P157">
        <f t="shared" si="15"/>
        <v>14.1523915</v>
      </c>
      <c r="Q157">
        <f t="shared" si="16"/>
        <v>3.8046523088696036</v>
      </c>
      <c r="R157">
        <f t="shared" si="17"/>
        <v>602.10198554868964</v>
      </c>
      <c r="S157">
        <v>0.20323931466426259</v>
      </c>
      <c r="T157">
        <v>56.8</v>
      </c>
      <c r="X157" s="1">
        <v>0.85268518518518521</v>
      </c>
    </row>
    <row r="158" spans="1:24" x14ac:dyDescent="0.25">
      <c r="A158" t="s">
        <v>183</v>
      </c>
      <c r="B158" s="1" t="s">
        <v>40</v>
      </c>
      <c r="C158">
        <v>0.23465406</v>
      </c>
      <c r="D158">
        <v>1.5837596999999998E-2</v>
      </c>
      <c r="E158">
        <v>0.19492258100000001</v>
      </c>
      <c r="F158">
        <v>2.325669E-2</v>
      </c>
      <c r="G158">
        <v>0.94223745999999997</v>
      </c>
      <c r="H158">
        <v>0.83922659700000002</v>
      </c>
      <c r="I158">
        <v>99.9</v>
      </c>
      <c r="J158">
        <f t="shared" si="12"/>
        <v>0.99900000000000011</v>
      </c>
      <c r="K158">
        <v>12.4</v>
      </c>
      <c r="L158">
        <f t="shared" si="13"/>
        <v>285.54999999999995</v>
      </c>
      <c r="M158">
        <v>125</v>
      </c>
      <c r="N158">
        <v>0.25</v>
      </c>
      <c r="O158" s="2">
        <f t="shared" si="14"/>
        <v>117.32702999999999</v>
      </c>
      <c r="P158">
        <f t="shared" si="15"/>
        <v>7.9187984999999994</v>
      </c>
      <c r="Q158">
        <f t="shared" si="16"/>
        <v>5.0020714188869686</v>
      </c>
      <c r="R158">
        <f t="shared" si="17"/>
        <v>337.60673605029456</v>
      </c>
      <c r="S158">
        <v>0.18194865155827777</v>
      </c>
      <c r="T158">
        <f>AVERAGE(34.8,22)</f>
        <v>28.4</v>
      </c>
      <c r="X158" s="1">
        <v>0.90702546296296294</v>
      </c>
    </row>
    <row r="159" spans="1:24" x14ac:dyDescent="0.25">
      <c r="A159" t="s">
        <v>184</v>
      </c>
      <c r="B159" s="1" t="s">
        <v>40</v>
      </c>
      <c r="C159">
        <v>0.27892102299999999</v>
      </c>
      <c r="D159">
        <v>4.5294769999999996E-3</v>
      </c>
      <c r="E159">
        <v>0.20915476299999999</v>
      </c>
      <c r="F159">
        <v>9.8459059999999998E-3</v>
      </c>
      <c r="G159">
        <v>0.95242053800000004</v>
      </c>
      <c r="H159">
        <v>0.70432909200000005</v>
      </c>
      <c r="I159">
        <v>99.9</v>
      </c>
      <c r="J159">
        <f t="shared" si="12"/>
        <v>0.99900000000000011</v>
      </c>
      <c r="K159">
        <v>12.1</v>
      </c>
      <c r="L159">
        <f t="shared" si="13"/>
        <v>285.25</v>
      </c>
      <c r="M159">
        <v>125</v>
      </c>
      <c r="N159">
        <v>0.25</v>
      </c>
      <c r="O159" s="2">
        <f t="shared" si="14"/>
        <v>139.4605115</v>
      </c>
      <c r="P159">
        <f t="shared" si="15"/>
        <v>2.2647385</v>
      </c>
      <c r="Q159">
        <f t="shared" si="16"/>
        <v>5.9519541392192252</v>
      </c>
      <c r="R159">
        <f t="shared" si="17"/>
        <v>96.655458554833558</v>
      </c>
      <c r="S159">
        <v>0.16798064267175938</v>
      </c>
      <c r="T159">
        <v>22</v>
      </c>
      <c r="X159" s="1">
        <v>0.91393518518518524</v>
      </c>
    </row>
    <row r="160" spans="1:24" x14ac:dyDescent="0.25">
      <c r="A160" t="s">
        <v>185</v>
      </c>
      <c r="B160" s="1" t="s">
        <v>40</v>
      </c>
      <c r="C160">
        <v>0.30941490500000002</v>
      </c>
      <c r="D160">
        <v>8.6740819999999996E-3</v>
      </c>
      <c r="E160">
        <v>0.34542308100000002</v>
      </c>
      <c r="F160">
        <v>1.0156093999999999E-2</v>
      </c>
      <c r="G160">
        <v>0.90031444800000004</v>
      </c>
      <c r="H160">
        <v>0.89142965799999996</v>
      </c>
      <c r="I160">
        <v>99.9</v>
      </c>
      <c r="J160">
        <f t="shared" si="12"/>
        <v>0.99900000000000011</v>
      </c>
      <c r="K160">
        <v>12.1</v>
      </c>
      <c r="L160">
        <f t="shared" si="13"/>
        <v>285.25</v>
      </c>
      <c r="M160">
        <v>125</v>
      </c>
      <c r="N160">
        <v>0.25</v>
      </c>
      <c r="O160" s="2">
        <f t="shared" si="14"/>
        <v>154.70745250000002</v>
      </c>
      <c r="P160">
        <f t="shared" si="15"/>
        <v>4.3370410000000001</v>
      </c>
      <c r="Q160">
        <f t="shared" si="16"/>
        <v>6.6026694751900195</v>
      </c>
      <c r="R160">
        <f t="shared" si="17"/>
        <v>185.09805287723677</v>
      </c>
      <c r="S160">
        <v>0.16798064267175938</v>
      </c>
      <c r="T160">
        <v>22</v>
      </c>
      <c r="X160" s="1">
        <v>0.91620370370370363</v>
      </c>
    </row>
    <row r="161" spans="1:24" x14ac:dyDescent="0.25">
      <c r="A161" t="s">
        <v>186</v>
      </c>
      <c r="B161" s="1" t="s">
        <v>25</v>
      </c>
      <c r="C161">
        <v>0.24919021099999999</v>
      </c>
      <c r="D161">
        <v>1.4771968999999999E-2</v>
      </c>
      <c r="E161">
        <v>1.8467158189999999</v>
      </c>
      <c r="F161">
        <v>8.5969570000000006E-3</v>
      </c>
      <c r="G161">
        <v>0.17008879099999999</v>
      </c>
      <c r="H161">
        <v>0.97078841999999999</v>
      </c>
      <c r="I161">
        <v>99.9</v>
      </c>
      <c r="J161">
        <f t="shared" si="12"/>
        <v>0.99900000000000011</v>
      </c>
      <c r="K161">
        <f>AVERAGE(18.7,19.7)</f>
        <v>19.2</v>
      </c>
      <c r="L161">
        <f t="shared" si="13"/>
        <v>292.34999999999997</v>
      </c>
      <c r="M161">
        <v>125</v>
      </c>
      <c r="N161">
        <v>0.25</v>
      </c>
      <c r="O161" s="2">
        <f t="shared" si="14"/>
        <v>124.5951055</v>
      </c>
      <c r="P161">
        <f t="shared" si="15"/>
        <v>7.3859844999999993</v>
      </c>
      <c r="Q161">
        <f t="shared" si="16"/>
        <v>5.1883809918583159</v>
      </c>
      <c r="R161">
        <f t="shared" si="17"/>
        <v>307.56666910932665</v>
      </c>
      <c r="S161">
        <v>0.68701594013584844</v>
      </c>
      <c r="T161">
        <f>AVERAGE(1115.1,761.7)</f>
        <v>938.4</v>
      </c>
      <c r="X161" s="1">
        <v>0.61371527777777779</v>
      </c>
    </row>
    <row r="162" spans="1:24" x14ac:dyDescent="0.25">
      <c r="A162" t="s">
        <v>187</v>
      </c>
      <c r="B162" s="1" t="s">
        <v>25</v>
      </c>
      <c r="C162">
        <v>-9.1256949999999996E-3</v>
      </c>
      <c r="D162">
        <v>5.1190209999999996E-3</v>
      </c>
      <c r="E162">
        <v>0.22145690000000001</v>
      </c>
      <c r="F162">
        <v>1.0385332000000001E-2</v>
      </c>
      <c r="G162">
        <v>1.8754836E-2</v>
      </c>
      <c r="H162">
        <v>0.73224341900000001</v>
      </c>
      <c r="I162">
        <v>99.9</v>
      </c>
      <c r="J162">
        <f t="shared" si="12"/>
        <v>0.99900000000000011</v>
      </c>
      <c r="K162">
        <v>19.7</v>
      </c>
      <c r="L162">
        <f t="shared" si="13"/>
        <v>292.84999999999997</v>
      </c>
      <c r="M162">
        <v>125</v>
      </c>
      <c r="N162">
        <v>0.25</v>
      </c>
      <c r="O162" s="2">
        <f t="shared" si="14"/>
        <v>-4.5628475000000002</v>
      </c>
      <c r="P162">
        <f t="shared" si="15"/>
        <v>2.5595105</v>
      </c>
      <c r="Q162">
        <f t="shared" si="16"/>
        <v>-0.18968138025242198</v>
      </c>
      <c r="R162">
        <f t="shared" si="17"/>
        <v>106.40098850784882</v>
      </c>
      <c r="S162">
        <v>0.7516030931119666</v>
      </c>
      <c r="T162">
        <v>761.7</v>
      </c>
      <c r="X162" s="1">
        <v>0.62249999999999994</v>
      </c>
    </row>
    <row r="163" spans="1:24" x14ac:dyDescent="0.25">
      <c r="A163" t="s">
        <v>188</v>
      </c>
      <c r="B163" s="1" t="s">
        <v>25</v>
      </c>
      <c r="C163">
        <v>0.39043603999999998</v>
      </c>
      <c r="D163">
        <v>7.406007E-3</v>
      </c>
      <c r="E163">
        <v>0.60235205400000003</v>
      </c>
      <c r="F163">
        <v>6.4694440000000004E-3</v>
      </c>
      <c r="G163">
        <v>0.82545342899999996</v>
      </c>
      <c r="H163">
        <v>0.93651129</v>
      </c>
      <c r="I163">
        <v>99.9</v>
      </c>
      <c r="J163">
        <f t="shared" si="12"/>
        <v>0.99900000000000011</v>
      </c>
      <c r="K163">
        <v>18.7</v>
      </c>
      <c r="L163">
        <f t="shared" si="13"/>
        <v>291.84999999999997</v>
      </c>
      <c r="M163">
        <v>125</v>
      </c>
      <c r="N163">
        <v>0.25</v>
      </c>
      <c r="O163" s="2">
        <f t="shared" si="14"/>
        <v>195.21802</v>
      </c>
      <c r="P163">
        <f t="shared" si="15"/>
        <v>3.7030034999999999</v>
      </c>
      <c r="Q163">
        <f t="shared" si="16"/>
        <v>8.1431827537032451</v>
      </c>
      <c r="R163">
        <f t="shared" si="17"/>
        <v>154.46439953700357</v>
      </c>
      <c r="S163">
        <v>0.69346688640202925</v>
      </c>
      <c r="T163">
        <f>AVERAGE(717.8,734.3)</f>
        <v>726.05</v>
      </c>
      <c r="X163" s="1">
        <v>0.69704861111111116</v>
      </c>
    </row>
    <row r="164" spans="1:24" x14ac:dyDescent="0.25">
      <c r="A164" t="s">
        <v>189</v>
      </c>
      <c r="B164" s="1" t="s">
        <v>25</v>
      </c>
      <c r="C164">
        <v>7.5130144999999995E-2</v>
      </c>
      <c r="D164">
        <v>5.8820909999999999E-3</v>
      </c>
      <c r="E164">
        <v>0.38715746600000001</v>
      </c>
      <c r="F164">
        <v>7.7863020000000002E-3</v>
      </c>
      <c r="G164">
        <v>0.29769001299999998</v>
      </c>
      <c r="H164">
        <v>0.86529576200000002</v>
      </c>
      <c r="I164">
        <v>99.9</v>
      </c>
      <c r="J164">
        <f t="shared" si="12"/>
        <v>0.99900000000000011</v>
      </c>
      <c r="K164">
        <v>18.7</v>
      </c>
      <c r="L164">
        <f t="shared" si="13"/>
        <v>291.84999999999997</v>
      </c>
      <c r="M164">
        <v>125</v>
      </c>
      <c r="N164">
        <v>0.25</v>
      </c>
      <c r="O164" s="2">
        <f t="shared" si="14"/>
        <v>37.565072499999999</v>
      </c>
      <c r="P164">
        <f t="shared" si="15"/>
        <v>2.9410455</v>
      </c>
      <c r="Q164">
        <f t="shared" si="16"/>
        <v>1.5669621611960416</v>
      </c>
      <c r="R164">
        <f t="shared" si="17"/>
        <v>122.68063672327247</v>
      </c>
      <c r="S164">
        <v>0.69346688640202925</v>
      </c>
      <c r="T164">
        <f>AVERAGE(717.8,734.3)</f>
        <v>726.05</v>
      </c>
      <c r="X164" s="1">
        <v>0.7003935185185185</v>
      </c>
    </row>
    <row r="165" spans="1:24" x14ac:dyDescent="0.25">
      <c r="A165" t="s">
        <v>190</v>
      </c>
      <c r="B165" s="1" t="s">
        <v>25</v>
      </c>
      <c r="C165">
        <v>0.58691434899999995</v>
      </c>
      <c r="D165">
        <v>1.7023358999999998E-2</v>
      </c>
      <c r="E165">
        <v>0.23582335900000001</v>
      </c>
      <c r="F165">
        <v>7.1026329999999997E-3</v>
      </c>
      <c r="G165">
        <v>0.98585975000000003</v>
      </c>
      <c r="H165">
        <v>0.98476996800000005</v>
      </c>
      <c r="I165">
        <v>99.9</v>
      </c>
      <c r="J165">
        <f t="shared" si="12"/>
        <v>0.99900000000000011</v>
      </c>
      <c r="K165">
        <v>18.7</v>
      </c>
      <c r="L165">
        <f t="shared" si="13"/>
        <v>291.84999999999997</v>
      </c>
      <c r="M165">
        <v>125</v>
      </c>
      <c r="N165">
        <v>0.25</v>
      </c>
      <c r="O165" s="2">
        <f t="shared" si="14"/>
        <v>293.45717449999995</v>
      </c>
      <c r="P165">
        <f t="shared" si="15"/>
        <v>8.5116794999999996</v>
      </c>
      <c r="Q165">
        <f t="shared" si="16"/>
        <v>12.241059520729099</v>
      </c>
      <c r="R165">
        <f t="shared" si="17"/>
        <v>355.05001899645049</v>
      </c>
      <c r="S165">
        <v>0.71255313098190154</v>
      </c>
      <c r="T165">
        <v>734.3</v>
      </c>
      <c r="X165" s="1">
        <v>0.70240740740740737</v>
      </c>
    </row>
    <row r="166" spans="1:24" x14ac:dyDescent="0.25">
      <c r="A166" t="s">
        <v>191</v>
      </c>
      <c r="B166" s="1" t="s">
        <v>25</v>
      </c>
      <c r="C166">
        <v>0.49320578399999998</v>
      </c>
      <c r="D166">
        <v>7.9577309999999991E-3</v>
      </c>
      <c r="E166">
        <v>0.26298207400000001</v>
      </c>
      <c r="F166">
        <v>9.7477699999999994E-3</v>
      </c>
      <c r="G166">
        <v>0.97536343299999995</v>
      </c>
      <c r="H166">
        <v>0.88237418999999995</v>
      </c>
      <c r="I166">
        <v>99.9</v>
      </c>
      <c r="J166">
        <f t="shared" si="12"/>
        <v>0.99900000000000011</v>
      </c>
      <c r="K166">
        <v>19</v>
      </c>
      <c r="L166">
        <f t="shared" si="13"/>
        <v>292.14999999999998</v>
      </c>
      <c r="M166">
        <v>125</v>
      </c>
      <c r="N166">
        <v>0.25</v>
      </c>
      <c r="O166" s="2">
        <f t="shared" si="14"/>
        <v>246.602892</v>
      </c>
      <c r="P166">
        <f t="shared" si="15"/>
        <v>3.9788654999999995</v>
      </c>
      <c r="Q166">
        <f t="shared" si="16"/>
        <v>10.276050984930279</v>
      </c>
      <c r="R166">
        <f t="shared" si="17"/>
        <v>165.80107560206591</v>
      </c>
      <c r="S166">
        <v>0.6849817681192798</v>
      </c>
      <c r="T166">
        <v>690.3</v>
      </c>
      <c r="X166" s="1">
        <v>0.64719907407407407</v>
      </c>
    </row>
    <row r="167" spans="1:24" x14ac:dyDescent="0.25">
      <c r="A167" t="s">
        <v>192</v>
      </c>
      <c r="B167" s="1" t="s">
        <v>25</v>
      </c>
      <c r="C167">
        <v>-0.241739711</v>
      </c>
      <c r="D167">
        <v>1.1750834E-2</v>
      </c>
      <c r="E167">
        <v>0.68062104499999998</v>
      </c>
      <c r="F167">
        <v>7.2793679999999996E-3</v>
      </c>
      <c r="G167">
        <v>0.58676521999999998</v>
      </c>
      <c r="H167">
        <v>0.96703082600000001</v>
      </c>
      <c r="I167">
        <v>99.9</v>
      </c>
      <c r="J167">
        <f t="shared" si="12"/>
        <v>0.99900000000000011</v>
      </c>
      <c r="K167">
        <v>19</v>
      </c>
      <c r="L167">
        <f t="shared" si="13"/>
        <v>292.14999999999998</v>
      </c>
      <c r="M167">
        <v>125</v>
      </c>
      <c r="N167">
        <v>0.25</v>
      </c>
      <c r="O167" s="2">
        <f t="shared" si="14"/>
        <v>-120.8698555</v>
      </c>
      <c r="P167">
        <f t="shared" si="15"/>
        <v>5.8754169999999997</v>
      </c>
      <c r="Q167">
        <f t="shared" si="16"/>
        <v>-5.0367000467259544</v>
      </c>
      <c r="R167">
        <f t="shared" si="17"/>
        <v>244.83121085914149</v>
      </c>
      <c r="S167">
        <v>0.6849817681192798</v>
      </c>
      <c r="T167">
        <v>690.3</v>
      </c>
      <c r="X167" s="1">
        <v>0.65021990740740743</v>
      </c>
    </row>
    <row r="168" spans="1:24" x14ac:dyDescent="0.25">
      <c r="A168" t="s">
        <v>193</v>
      </c>
      <c r="B168" s="1" t="s">
        <v>25</v>
      </c>
      <c r="C168">
        <v>0.352556174</v>
      </c>
      <c r="D168">
        <v>1.2994438000000001E-2</v>
      </c>
      <c r="E168">
        <v>0.70726442099999998</v>
      </c>
      <c r="F168">
        <v>7.0747819999999999E-3</v>
      </c>
      <c r="G168">
        <v>0.73662650399999996</v>
      </c>
      <c r="H168">
        <v>0.97434099399999996</v>
      </c>
      <c r="I168">
        <v>99.9</v>
      </c>
      <c r="J168">
        <f t="shared" si="12"/>
        <v>0.99900000000000011</v>
      </c>
      <c r="K168">
        <v>19</v>
      </c>
      <c r="L168">
        <f t="shared" si="13"/>
        <v>292.14999999999998</v>
      </c>
      <c r="M168">
        <v>125</v>
      </c>
      <c r="N168">
        <v>0.25</v>
      </c>
      <c r="O168" s="2">
        <f t="shared" si="14"/>
        <v>176.278087</v>
      </c>
      <c r="P168">
        <f t="shared" si="15"/>
        <v>6.4972190000000003</v>
      </c>
      <c r="Q168">
        <f t="shared" si="16"/>
        <v>7.3455854262162319</v>
      </c>
      <c r="R168">
        <f t="shared" si="17"/>
        <v>270.74197371642231</v>
      </c>
      <c r="S168">
        <v>0.6849817681192798</v>
      </c>
      <c r="T168">
        <v>690.3</v>
      </c>
      <c r="X168" s="1">
        <v>0.6522916666666666</v>
      </c>
    </row>
    <row r="169" spans="1:24" x14ac:dyDescent="0.25">
      <c r="A169" t="s">
        <v>194</v>
      </c>
      <c r="B169" s="1" t="s">
        <v>40</v>
      </c>
      <c r="C169">
        <v>0.13174416</v>
      </c>
      <c r="D169">
        <v>8.1557290000000005E-3</v>
      </c>
      <c r="E169">
        <v>0.27424997299999998</v>
      </c>
      <c r="F169">
        <v>1.2465240000000001E-2</v>
      </c>
      <c r="G169">
        <v>0.72202745400000001</v>
      </c>
      <c r="H169">
        <v>0.82813264499999995</v>
      </c>
      <c r="I169">
        <v>99.9</v>
      </c>
      <c r="J169">
        <f t="shared" si="12"/>
        <v>0.99900000000000011</v>
      </c>
      <c r="K169">
        <v>18.100000000000001</v>
      </c>
      <c r="L169">
        <f t="shared" si="13"/>
        <v>291.25</v>
      </c>
      <c r="M169">
        <v>125</v>
      </c>
      <c r="N169">
        <v>0.25</v>
      </c>
      <c r="O169" s="2">
        <f t="shared" si="14"/>
        <v>65.872079999999997</v>
      </c>
      <c r="P169">
        <f t="shared" si="15"/>
        <v>4.0778645000000004</v>
      </c>
      <c r="Q169">
        <f t="shared" si="16"/>
        <v>2.7534007010467589</v>
      </c>
      <c r="R169">
        <f t="shared" si="17"/>
        <v>170.45150195763807</v>
      </c>
      <c r="S169">
        <v>0.52693560914847848</v>
      </c>
      <c r="T169">
        <v>388.2</v>
      </c>
      <c r="X169" s="1">
        <v>0.59037037037037032</v>
      </c>
    </row>
    <row r="170" spans="1:24" x14ac:dyDescent="0.25">
      <c r="A170" t="s">
        <v>195</v>
      </c>
      <c r="B170" s="1" t="s">
        <v>25</v>
      </c>
      <c r="C170">
        <v>5.3759732999999997E-2</v>
      </c>
      <c r="D170">
        <v>1.3474972E-2</v>
      </c>
      <c r="E170">
        <v>1.731000815</v>
      </c>
      <c r="F170">
        <v>1.0867195E-2</v>
      </c>
      <c r="G170">
        <v>1.0740197999999999E-2</v>
      </c>
      <c r="H170">
        <v>0.94537385699999998</v>
      </c>
      <c r="I170">
        <v>99.9</v>
      </c>
      <c r="J170">
        <f t="shared" si="12"/>
        <v>0.99900000000000011</v>
      </c>
      <c r="K170">
        <v>13.3</v>
      </c>
      <c r="L170">
        <f t="shared" si="13"/>
        <v>286.45</v>
      </c>
      <c r="M170">
        <v>125</v>
      </c>
      <c r="N170">
        <v>0.25</v>
      </c>
      <c r="O170" s="2">
        <f t="shared" si="14"/>
        <v>26.879866499999999</v>
      </c>
      <c r="P170">
        <f t="shared" si="15"/>
        <v>6.7374859999999996</v>
      </c>
      <c r="Q170">
        <f t="shared" si="16"/>
        <v>1.1423843804160176</v>
      </c>
      <c r="R170">
        <f t="shared" si="17"/>
        <v>286.34066205915093</v>
      </c>
      <c r="S170">
        <v>0.21326922924085645</v>
      </c>
      <c r="T170">
        <v>75.099999999999994</v>
      </c>
      <c r="X170" s="1">
        <v>0.81309027777777787</v>
      </c>
    </row>
    <row r="171" spans="1:24" x14ac:dyDescent="0.25">
      <c r="A171" t="s">
        <v>196</v>
      </c>
      <c r="B171" s="1" t="s">
        <v>25</v>
      </c>
      <c r="C171">
        <v>0.35578198</v>
      </c>
      <c r="D171">
        <v>8.0778640000000006E-3</v>
      </c>
      <c r="E171">
        <v>0.909325351</v>
      </c>
      <c r="F171">
        <v>1.0973268E-2</v>
      </c>
      <c r="G171">
        <v>0.63277204200000003</v>
      </c>
      <c r="H171">
        <v>0.859147569</v>
      </c>
      <c r="I171">
        <v>99.9</v>
      </c>
      <c r="J171">
        <f t="shared" si="12"/>
        <v>0.99900000000000011</v>
      </c>
      <c r="K171">
        <f>AVERAGE(13.3,12.8)</f>
        <v>13.05</v>
      </c>
      <c r="L171">
        <f t="shared" si="13"/>
        <v>286.2</v>
      </c>
      <c r="M171">
        <v>125</v>
      </c>
      <c r="N171">
        <v>0.25</v>
      </c>
      <c r="O171" s="2">
        <f t="shared" si="14"/>
        <v>177.89098999999999</v>
      </c>
      <c r="P171">
        <f t="shared" si="15"/>
        <v>4.038932</v>
      </c>
      <c r="Q171">
        <f t="shared" si="16"/>
        <v>7.5669052901926355</v>
      </c>
      <c r="R171">
        <f t="shared" si="17"/>
        <v>171.80305712801038</v>
      </c>
      <c r="S171">
        <v>0.19873339548142566</v>
      </c>
      <c r="T171">
        <f>AVERAGE(75.1,58.6)</f>
        <v>66.849999999999994</v>
      </c>
      <c r="X171" s="1">
        <v>0.82305555555555554</v>
      </c>
    </row>
    <row r="172" spans="1:24" x14ac:dyDescent="0.25">
      <c r="A172" t="s">
        <v>197</v>
      </c>
      <c r="B172" s="1" t="s">
        <v>25</v>
      </c>
      <c r="C172">
        <v>-6.9588430000000001E-3</v>
      </c>
      <c r="D172">
        <v>4.4338149999999998E-3</v>
      </c>
      <c r="E172">
        <v>0.25631279800000001</v>
      </c>
      <c r="F172">
        <v>9.1600239999999993E-3</v>
      </c>
      <c r="G172">
        <v>8.2286259999999993E-3</v>
      </c>
      <c r="H172">
        <v>0.72506378199999999</v>
      </c>
      <c r="I172">
        <v>99.9</v>
      </c>
      <c r="J172">
        <f t="shared" si="12"/>
        <v>0.99900000000000011</v>
      </c>
      <c r="K172">
        <v>14.6</v>
      </c>
      <c r="L172">
        <f t="shared" si="13"/>
        <v>287.75</v>
      </c>
      <c r="M172">
        <v>125</v>
      </c>
      <c r="N172">
        <v>0.25</v>
      </c>
      <c r="O172" s="2">
        <f t="shared" si="14"/>
        <v>-3.4794214999999999</v>
      </c>
      <c r="P172">
        <f t="shared" si="15"/>
        <v>2.2169075</v>
      </c>
      <c r="Q172">
        <f t="shared" si="16"/>
        <v>-0.14720605903205322</v>
      </c>
      <c r="R172">
        <f t="shared" si="17"/>
        <v>93.792090528152897</v>
      </c>
      <c r="S172">
        <v>0.34480479670608033</v>
      </c>
      <c r="T172">
        <v>794.7</v>
      </c>
      <c r="X172" s="1">
        <v>0.62233796296296295</v>
      </c>
    </row>
    <row r="173" spans="1:24" x14ac:dyDescent="0.25">
      <c r="A173" t="s">
        <v>198</v>
      </c>
      <c r="B173" s="1" t="s">
        <v>25</v>
      </c>
      <c r="C173">
        <v>0.44775973299999999</v>
      </c>
      <c r="D173">
        <v>7.0767520000000004E-3</v>
      </c>
      <c r="E173">
        <v>0.28758569899999997</v>
      </c>
      <c r="F173">
        <v>1.1221009000000001E-2</v>
      </c>
      <c r="G173">
        <v>0.96464665500000002</v>
      </c>
      <c r="H173">
        <v>0.81741804200000001</v>
      </c>
      <c r="I173">
        <v>99.9</v>
      </c>
      <c r="J173">
        <f t="shared" si="12"/>
        <v>0.99900000000000011</v>
      </c>
      <c r="K173">
        <v>14.6</v>
      </c>
      <c r="L173">
        <f t="shared" si="13"/>
        <v>287.75</v>
      </c>
      <c r="M173">
        <v>125</v>
      </c>
      <c r="N173">
        <v>0.25</v>
      </c>
      <c r="O173" s="2">
        <f t="shared" si="14"/>
        <v>223.87986649999999</v>
      </c>
      <c r="P173">
        <f t="shared" si="15"/>
        <v>3.5383760000000004</v>
      </c>
      <c r="Q173">
        <f t="shared" si="16"/>
        <v>9.4718253721451102</v>
      </c>
      <c r="R173">
        <f t="shared" si="17"/>
        <v>149.70028389305534</v>
      </c>
      <c r="S173">
        <v>0.34480479670608033</v>
      </c>
      <c r="T173">
        <v>794.7</v>
      </c>
      <c r="X173" s="1">
        <v>0.62785879629629626</v>
      </c>
    </row>
    <row r="174" spans="1:24" x14ac:dyDescent="0.25">
      <c r="A174" t="s">
        <v>199</v>
      </c>
      <c r="B174" s="1" t="s">
        <v>25</v>
      </c>
      <c r="C174">
        <v>0.38539265900000003</v>
      </c>
      <c r="D174">
        <v>1.2329255000000001E-2</v>
      </c>
      <c r="E174">
        <v>0.30262971399999999</v>
      </c>
      <c r="F174">
        <v>1.2286683E-2</v>
      </c>
      <c r="G174">
        <v>0.94806364099999996</v>
      </c>
      <c r="H174">
        <v>0.91892388599999997</v>
      </c>
      <c r="I174">
        <v>99.9</v>
      </c>
      <c r="J174">
        <f t="shared" si="12"/>
        <v>0.99900000000000011</v>
      </c>
      <c r="K174">
        <v>17.2</v>
      </c>
      <c r="L174">
        <f t="shared" si="13"/>
        <v>290.34999999999997</v>
      </c>
      <c r="M174">
        <v>125</v>
      </c>
      <c r="N174">
        <v>0.25</v>
      </c>
      <c r="O174" s="2">
        <f t="shared" si="14"/>
        <v>192.69632950000002</v>
      </c>
      <c r="P174">
        <f t="shared" si="15"/>
        <v>6.1646275000000008</v>
      </c>
      <c r="Q174">
        <f t="shared" si="16"/>
        <v>8.0795205048484426</v>
      </c>
      <c r="R174">
        <f t="shared" si="17"/>
        <v>258.47526219228058</v>
      </c>
      <c r="S174">
        <v>0.54223995645704481</v>
      </c>
      <c r="T174">
        <v>695.8</v>
      </c>
      <c r="X174" s="1">
        <v>0.72321759259259266</v>
      </c>
    </row>
    <row r="175" spans="1:24" x14ac:dyDescent="0.25">
      <c r="A175" t="s">
        <v>200</v>
      </c>
      <c r="B175" s="1" t="s">
        <v>25</v>
      </c>
      <c r="C175">
        <v>-8.9850945000000002E-2</v>
      </c>
      <c r="D175">
        <v>1.3926585E-2</v>
      </c>
      <c r="E175">
        <v>1.0134554710000001</v>
      </c>
      <c r="F175">
        <v>1.5139303E-2</v>
      </c>
      <c r="G175">
        <v>8.1283041E-2</v>
      </c>
      <c r="H175">
        <v>0.90498708699999997</v>
      </c>
      <c r="I175">
        <v>99.9</v>
      </c>
      <c r="J175">
        <f t="shared" si="12"/>
        <v>0.99900000000000011</v>
      </c>
      <c r="K175">
        <v>16.2</v>
      </c>
      <c r="L175">
        <f t="shared" si="13"/>
        <v>289.34999999999997</v>
      </c>
      <c r="M175">
        <v>125</v>
      </c>
      <c r="N175">
        <v>0.25</v>
      </c>
      <c r="O175" s="2">
        <f t="shared" si="14"/>
        <v>-44.925472499999998</v>
      </c>
      <c r="P175">
        <f t="shared" si="15"/>
        <v>6.9632924999999997</v>
      </c>
      <c r="Q175">
        <f t="shared" si="16"/>
        <v>-1.8901799076198469</v>
      </c>
      <c r="R175">
        <f t="shared" si="17"/>
        <v>292.97133323149745</v>
      </c>
      <c r="S175">
        <v>0.47264105903441544</v>
      </c>
      <c r="T175">
        <v>820.3</v>
      </c>
      <c r="X175" s="1">
        <v>0.70370370370370372</v>
      </c>
    </row>
    <row r="176" spans="1:24" x14ac:dyDescent="0.25">
      <c r="A176" t="s">
        <v>201</v>
      </c>
      <c r="B176" s="1" t="s">
        <v>25</v>
      </c>
      <c r="C176">
        <v>0.34726807599999998</v>
      </c>
      <c r="D176">
        <v>7.4171300000000001E-3</v>
      </c>
      <c r="E176">
        <v>0.14005815899999999</v>
      </c>
      <c r="F176">
        <v>1.0971761E-2</v>
      </c>
      <c r="G176">
        <v>0.98575463200000002</v>
      </c>
      <c r="H176">
        <v>0.83723970400000003</v>
      </c>
      <c r="I176">
        <v>99.9</v>
      </c>
      <c r="J176">
        <f t="shared" si="12"/>
        <v>0.99900000000000011</v>
      </c>
      <c r="K176">
        <v>16.2</v>
      </c>
      <c r="L176">
        <f t="shared" si="13"/>
        <v>289.34999999999997</v>
      </c>
      <c r="M176">
        <v>125</v>
      </c>
      <c r="N176">
        <v>0.25</v>
      </c>
      <c r="O176" s="2">
        <f t="shared" si="14"/>
        <v>173.634038</v>
      </c>
      <c r="P176">
        <f t="shared" si="15"/>
        <v>3.7085650000000001</v>
      </c>
      <c r="Q176">
        <f t="shared" si="16"/>
        <v>7.3054227733832073</v>
      </c>
      <c r="R176">
        <f t="shared" si="17"/>
        <v>156.03297325592285</v>
      </c>
      <c r="S176">
        <v>0.47264105903441544</v>
      </c>
      <c r="T176">
        <v>820.3</v>
      </c>
      <c r="X176" s="1">
        <v>0.70574074074074078</v>
      </c>
    </row>
    <row r="177" spans="1:24" x14ac:dyDescent="0.25">
      <c r="A177" t="s">
        <v>202</v>
      </c>
      <c r="B177" s="1" t="s">
        <v>25</v>
      </c>
      <c r="C177">
        <v>-0.202113459</v>
      </c>
      <c r="D177">
        <v>5.9777529999999997E-3</v>
      </c>
      <c r="E177">
        <v>0.26608947799999999</v>
      </c>
      <c r="F177">
        <v>1.0251832000000001E-2</v>
      </c>
      <c r="G177">
        <v>0.86656125399999995</v>
      </c>
      <c r="H177">
        <v>0.792830751</v>
      </c>
      <c r="I177">
        <v>99.9</v>
      </c>
      <c r="J177">
        <f t="shared" si="12"/>
        <v>0.99900000000000011</v>
      </c>
      <c r="K177">
        <v>16.2</v>
      </c>
      <c r="L177">
        <f t="shared" si="13"/>
        <v>289.34999999999997</v>
      </c>
      <c r="M177">
        <v>125</v>
      </c>
      <c r="N177">
        <v>0.25</v>
      </c>
      <c r="O177" s="2">
        <f t="shared" si="14"/>
        <v>-101.0567295</v>
      </c>
      <c r="P177">
        <f t="shared" si="15"/>
        <v>2.9888764999999999</v>
      </c>
      <c r="Q177">
        <f t="shared" si="16"/>
        <v>-4.251828394919472</v>
      </c>
      <c r="R177">
        <f t="shared" si="17"/>
        <v>125.75303034725194</v>
      </c>
      <c r="S177">
        <v>0.47264105903441544</v>
      </c>
      <c r="T177">
        <v>820.3</v>
      </c>
      <c r="X177" s="1">
        <v>0.7088078703703703</v>
      </c>
    </row>
    <row r="178" spans="1:24" x14ac:dyDescent="0.25">
      <c r="A178" t="s">
        <v>203</v>
      </c>
      <c r="B178" s="1" t="s">
        <v>25</v>
      </c>
      <c r="C178">
        <v>-5.2880979999999998E-3</v>
      </c>
      <c r="D178">
        <v>1.4197998E-2</v>
      </c>
      <c r="E178">
        <v>0.270017336</v>
      </c>
      <c r="F178">
        <v>1.2841851E-2</v>
      </c>
      <c r="G178">
        <v>4.2985999999999996E-3</v>
      </c>
      <c r="H178">
        <v>0.93224390700000004</v>
      </c>
      <c r="I178">
        <v>99.9</v>
      </c>
      <c r="J178">
        <f t="shared" si="12"/>
        <v>0.99900000000000011</v>
      </c>
      <c r="K178">
        <v>16.8</v>
      </c>
      <c r="L178">
        <f t="shared" si="13"/>
        <v>289.95</v>
      </c>
      <c r="M178">
        <v>125</v>
      </c>
      <c r="N178">
        <v>0.25</v>
      </c>
      <c r="O178" s="2">
        <f t="shared" si="14"/>
        <v>-2.6440489999999999</v>
      </c>
      <c r="P178">
        <f t="shared" si="15"/>
        <v>7.0989990000000001</v>
      </c>
      <c r="Q178">
        <f t="shared" si="16"/>
        <v>-0.11101466732416278</v>
      </c>
      <c r="R178">
        <f t="shared" si="17"/>
        <v>298.06293768366788</v>
      </c>
      <c r="S178">
        <v>0.50985007042149033</v>
      </c>
      <c r="T178">
        <f>AVERAGE(820.3,695.8)</f>
        <v>758.05</v>
      </c>
      <c r="X178" s="1">
        <v>0.71804398148148152</v>
      </c>
    </row>
    <row r="179" spans="1:24" x14ac:dyDescent="0.25">
      <c r="A179" t="s">
        <v>204</v>
      </c>
      <c r="B179" s="1" t="s">
        <v>40</v>
      </c>
      <c r="C179">
        <v>0.262062291</v>
      </c>
      <c r="D179">
        <v>2.7403782000000002E-2</v>
      </c>
      <c r="E179">
        <v>0.42459443200000002</v>
      </c>
      <c r="F179">
        <v>1.5431431000000001E-2</v>
      </c>
      <c r="G179">
        <v>0.81088833199999999</v>
      </c>
      <c r="H179">
        <v>0.97260044000000001</v>
      </c>
      <c r="I179">
        <v>99.9</v>
      </c>
      <c r="J179">
        <f t="shared" si="12"/>
        <v>0.99900000000000011</v>
      </c>
      <c r="K179">
        <v>12</v>
      </c>
      <c r="L179">
        <f t="shared" si="13"/>
        <v>285.14999999999998</v>
      </c>
      <c r="M179">
        <v>125</v>
      </c>
      <c r="N179">
        <v>0.25</v>
      </c>
      <c r="O179" s="2">
        <f t="shared" si="14"/>
        <v>131.03114550000001</v>
      </c>
      <c r="P179">
        <f t="shared" si="15"/>
        <v>13.701891000000002</v>
      </c>
      <c r="Q179">
        <f t="shared" si="16"/>
        <v>5.5941632694441159</v>
      </c>
      <c r="R179">
        <f t="shared" si="17"/>
        <v>584.98012103639053</v>
      </c>
      <c r="S179">
        <v>7.999080375960621E-2</v>
      </c>
      <c r="T179">
        <f>AVERAGE(18.3,9.2)</f>
        <v>13.75</v>
      </c>
      <c r="X179" s="1">
        <v>0.92555555555555558</v>
      </c>
    </row>
    <row r="180" spans="1:24" x14ac:dyDescent="0.25">
      <c r="A180" t="s">
        <v>205</v>
      </c>
      <c r="B180" s="1" t="s">
        <v>40</v>
      </c>
      <c r="C180">
        <v>9.4391546000000007E-2</v>
      </c>
      <c r="D180">
        <v>1.6102335999999998E-2</v>
      </c>
      <c r="E180">
        <v>0.30080116499999998</v>
      </c>
      <c r="F180">
        <v>1.1825604E-2</v>
      </c>
      <c r="G180">
        <v>0.52570262300000004</v>
      </c>
      <c r="H180">
        <v>0.95427435100000002</v>
      </c>
      <c r="I180">
        <v>99.9</v>
      </c>
      <c r="J180">
        <f t="shared" si="12"/>
        <v>0.99900000000000011</v>
      </c>
      <c r="K180">
        <v>12.1</v>
      </c>
      <c r="L180">
        <f t="shared" si="13"/>
        <v>285.25</v>
      </c>
      <c r="M180">
        <v>125</v>
      </c>
      <c r="N180">
        <v>0.25</v>
      </c>
      <c r="O180" s="2">
        <f t="shared" si="14"/>
        <v>47.195773000000003</v>
      </c>
      <c r="P180">
        <f t="shared" si="15"/>
        <v>8.0511679999999988</v>
      </c>
      <c r="Q180">
        <f t="shared" si="16"/>
        <v>2.0142409735891507</v>
      </c>
      <c r="R180">
        <f t="shared" si="17"/>
        <v>343.61112108175053</v>
      </c>
      <c r="S180">
        <v>8.8849265545393408E-2</v>
      </c>
      <c r="T180">
        <v>18.3</v>
      </c>
      <c r="X180" s="1">
        <v>0.91317129629629623</v>
      </c>
    </row>
    <row r="181" spans="1:24" x14ac:dyDescent="0.25">
      <c r="A181" t="s">
        <v>206</v>
      </c>
      <c r="B181" s="1" t="s">
        <v>40</v>
      </c>
      <c r="C181">
        <v>4.8894327000000001E-2</v>
      </c>
      <c r="D181">
        <v>3.0302558E-2</v>
      </c>
      <c r="E181">
        <v>0.27426932500000001</v>
      </c>
      <c r="F181">
        <v>1.3251132000000001E-2</v>
      </c>
      <c r="G181">
        <v>0.26347178100000002</v>
      </c>
      <c r="H181">
        <v>0.983294907</v>
      </c>
      <c r="I181">
        <v>99.9</v>
      </c>
      <c r="J181">
        <f t="shared" si="12"/>
        <v>0.99900000000000011</v>
      </c>
      <c r="K181">
        <v>12.1</v>
      </c>
      <c r="L181">
        <f t="shared" si="13"/>
        <v>285.25</v>
      </c>
      <c r="M181">
        <v>125</v>
      </c>
      <c r="N181">
        <v>0.25</v>
      </c>
      <c r="O181" s="2">
        <f t="shared" si="14"/>
        <v>24.447163500000002</v>
      </c>
      <c r="P181">
        <f t="shared" si="15"/>
        <v>15.151279000000001</v>
      </c>
      <c r="Q181">
        <f t="shared" si="16"/>
        <v>1.0433662864200393</v>
      </c>
      <c r="R181">
        <f t="shared" si="17"/>
        <v>646.63263305552493</v>
      </c>
      <c r="S181">
        <v>8.8849265545393408E-2</v>
      </c>
      <c r="T181">
        <v>18.3</v>
      </c>
      <c r="X181" s="1">
        <v>0.91743055555555564</v>
      </c>
    </row>
    <row r="182" spans="1:24" x14ac:dyDescent="0.25">
      <c r="A182" t="s">
        <v>207</v>
      </c>
      <c r="B182" s="1" t="s">
        <v>40</v>
      </c>
      <c r="C182">
        <v>0.149926585</v>
      </c>
      <c r="D182">
        <v>5.0809789000000001E-2</v>
      </c>
      <c r="E182">
        <v>0.213855239</v>
      </c>
      <c r="F182">
        <v>3.2482208999999998E-2</v>
      </c>
      <c r="G182">
        <v>0.84691278199999998</v>
      </c>
      <c r="H182">
        <v>0.96496316800000004</v>
      </c>
      <c r="I182">
        <v>99.9</v>
      </c>
      <c r="J182">
        <f t="shared" si="12"/>
        <v>0.99900000000000011</v>
      </c>
      <c r="K182">
        <v>12.1</v>
      </c>
      <c r="L182">
        <f t="shared" si="13"/>
        <v>285.25</v>
      </c>
      <c r="M182">
        <v>125</v>
      </c>
      <c r="N182">
        <v>0.25</v>
      </c>
      <c r="O182" s="2">
        <f t="shared" si="14"/>
        <v>74.963292499999994</v>
      </c>
      <c r="P182">
        <f t="shared" si="15"/>
        <v>25.404894500000001</v>
      </c>
      <c r="Q182">
        <f t="shared" si="16"/>
        <v>3.1993148044984507</v>
      </c>
      <c r="R182">
        <f t="shared" si="17"/>
        <v>1084.2407312962046</v>
      </c>
      <c r="S182">
        <v>8.8849265545393408E-2</v>
      </c>
      <c r="T182">
        <v>18.3</v>
      </c>
      <c r="X182" s="1">
        <v>0.92146990740740742</v>
      </c>
    </row>
    <row r="183" spans="1:24" x14ac:dyDescent="0.25">
      <c r="A183" t="s">
        <v>208</v>
      </c>
      <c r="B183" s="1" t="s">
        <v>47</v>
      </c>
      <c r="C183">
        <v>5.7879867000000002E-2</v>
      </c>
      <c r="D183">
        <v>1.0438265E-2</v>
      </c>
      <c r="E183">
        <v>0.23480976100000001</v>
      </c>
      <c r="F183">
        <v>1.2270767E-2</v>
      </c>
      <c r="G183">
        <v>0.406147388</v>
      </c>
      <c r="H183">
        <v>0.89065160799999998</v>
      </c>
      <c r="I183">
        <v>99.9</v>
      </c>
      <c r="J183">
        <f t="shared" si="12"/>
        <v>0.99900000000000011</v>
      </c>
      <c r="K183">
        <v>15.9</v>
      </c>
      <c r="L183">
        <f t="shared" si="13"/>
        <v>289.04999999999995</v>
      </c>
      <c r="M183">
        <v>125</v>
      </c>
      <c r="N183">
        <v>0.25</v>
      </c>
      <c r="O183" s="2">
        <f t="shared" si="14"/>
        <v>28.939933500000002</v>
      </c>
      <c r="P183">
        <f t="shared" si="15"/>
        <v>5.2191325000000006</v>
      </c>
      <c r="Q183">
        <f t="shared" si="16"/>
        <v>1.2188732073725344</v>
      </c>
      <c r="R183">
        <f t="shared" si="17"/>
        <v>219.81601201596521</v>
      </c>
      <c r="S183">
        <v>0.28069058263957092</v>
      </c>
      <c r="T183">
        <v>42.1</v>
      </c>
      <c r="X183" s="1">
        <v>0.8337268518518518</v>
      </c>
    </row>
    <row r="184" spans="1:24" x14ac:dyDescent="0.25">
      <c r="A184" t="s">
        <v>209</v>
      </c>
      <c r="B184" s="1" t="s">
        <v>47</v>
      </c>
      <c r="C184">
        <v>0.434820912</v>
      </c>
      <c r="D184">
        <v>3.4042269E-2</v>
      </c>
      <c r="E184">
        <v>0.54727705999999998</v>
      </c>
      <c r="F184">
        <v>1.6324832000000001E-2</v>
      </c>
      <c r="G184">
        <v>0.87662547700000004</v>
      </c>
      <c r="H184">
        <v>0.97997858500000001</v>
      </c>
      <c r="I184">
        <v>99.9</v>
      </c>
      <c r="J184">
        <f t="shared" si="12"/>
        <v>0.99900000000000011</v>
      </c>
      <c r="K184">
        <v>15.4</v>
      </c>
      <c r="L184">
        <f t="shared" si="13"/>
        <v>288.54999999999995</v>
      </c>
      <c r="M184">
        <v>125</v>
      </c>
      <c r="N184">
        <v>0.25</v>
      </c>
      <c r="O184" s="2">
        <f t="shared" si="14"/>
        <v>217.41045600000001</v>
      </c>
      <c r="P184">
        <f t="shared" si="15"/>
        <v>17.021134499999999</v>
      </c>
      <c r="Q184">
        <f t="shared" si="16"/>
        <v>9.1726183483665089</v>
      </c>
      <c r="R184">
        <f t="shared" si="17"/>
        <v>718.12723958738297</v>
      </c>
      <c r="S184">
        <v>0.22538852072780258</v>
      </c>
      <c r="T184">
        <v>18.3</v>
      </c>
      <c r="X184" s="1">
        <v>0.86145833333333333</v>
      </c>
    </row>
    <row r="185" spans="1:24" x14ac:dyDescent="0.25">
      <c r="A185" t="s">
        <v>210</v>
      </c>
      <c r="B185" s="1" t="s">
        <v>47</v>
      </c>
      <c r="C185">
        <v>0.14876529499999999</v>
      </c>
      <c r="D185">
        <v>6.1646269999999998E-3</v>
      </c>
      <c r="E185">
        <v>0.19288496499999999</v>
      </c>
      <c r="F185">
        <v>1.2179433999999999E-2</v>
      </c>
      <c r="G185">
        <v>0.870055421</v>
      </c>
      <c r="H185">
        <v>0.74250988500000004</v>
      </c>
      <c r="I185">
        <v>99.9</v>
      </c>
      <c r="J185">
        <f t="shared" si="12"/>
        <v>0.99900000000000011</v>
      </c>
      <c r="K185">
        <v>15.7</v>
      </c>
      <c r="L185">
        <f t="shared" si="13"/>
        <v>288.84999999999997</v>
      </c>
      <c r="M185">
        <v>125</v>
      </c>
      <c r="N185">
        <v>0.25</v>
      </c>
      <c r="O185" s="2">
        <f t="shared" si="14"/>
        <v>74.38264749999999</v>
      </c>
      <c r="P185">
        <f t="shared" si="15"/>
        <v>3.0823134999999997</v>
      </c>
      <c r="Q185">
        <f t="shared" si="16"/>
        <v>3.1349688929023474</v>
      </c>
      <c r="R185">
        <f t="shared" si="17"/>
        <v>129.9087524502668</v>
      </c>
      <c r="S185">
        <v>0.25344341063325948</v>
      </c>
      <c r="T185">
        <f>AVERAGE(42.1,18.3)</f>
        <v>30.200000000000003</v>
      </c>
      <c r="X185" s="1">
        <v>0.84249999999999992</v>
      </c>
    </row>
    <row r="186" spans="1:24" x14ac:dyDescent="0.25">
      <c r="A186" t="s">
        <v>211</v>
      </c>
      <c r="B186" s="1" t="s">
        <v>47</v>
      </c>
      <c r="C186">
        <v>0.240680756</v>
      </c>
      <c r="D186">
        <v>4.8658509000000003E-2</v>
      </c>
      <c r="E186">
        <v>0.23187208600000001</v>
      </c>
      <c r="F186">
        <v>2.0919954000000001E-2</v>
      </c>
      <c r="G186">
        <v>0.92382350899999999</v>
      </c>
      <c r="H186">
        <v>0.98384348799999999</v>
      </c>
      <c r="I186">
        <v>99.9</v>
      </c>
      <c r="J186">
        <f t="shared" si="12"/>
        <v>0.99900000000000011</v>
      </c>
      <c r="K186">
        <v>15.7</v>
      </c>
      <c r="L186">
        <f t="shared" si="13"/>
        <v>288.84999999999997</v>
      </c>
      <c r="M186">
        <v>125</v>
      </c>
      <c r="N186">
        <v>0.25</v>
      </c>
      <c r="O186" s="2">
        <f t="shared" si="14"/>
        <v>120.340378</v>
      </c>
      <c r="P186">
        <f t="shared" si="15"/>
        <v>24.329254500000001</v>
      </c>
      <c r="Q186">
        <f t="shared" si="16"/>
        <v>5.0719267768750775</v>
      </c>
      <c r="R186">
        <f t="shared" si="17"/>
        <v>1025.393134131243</v>
      </c>
      <c r="S186">
        <v>0.25344341063325948</v>
      </c>
      <c r="T186">
        <f>AVERAGE(42.1,18.3)</f>
        <v>30.200000000000003</v>
      </c>
      <c r="X186" s="1">
        <v>0.84608796296296296</v>
      </c>
    </row>
    <row r="187" spans="1:24" x14ac:dyDescent="0.25">
      <c r="A187" t="s">
        <v>212</v>
      </c>
      <c r="B187" s="1" t="s">
        <v>47</v>
      </c>
      <c r="C187">
        <v>0.403459399</v>
      </c>
      <c r="D187">
        <v>3.9185761999999999E-2</v>
      </c>
      <c r="E187">
        <v>0.25188464700000002</v>
      </c>
      <c r="F187">
        <v>1.2374736000000001E-2</v>
      </c>
      <c r="G187">
        <v>0.96653140800000004</v>
      </c>
      <c r="H187">
        <v>0.99121782400000003</v>
      </c>
      <c r="I187">
        <v>99.9</v>
      </c>
      <c r="J187">
        <f t="shared" si="12"/>
        <v>0.99900000000000011</v>
      </c>
      <c r="K187">
        <v>15.4</v>
      </c>
      <c r="L187">
        <f t="shared" si="13"/>
        <v>288.54999999999995</v>
      </c>
      <c r="M187">
        <v>125</v>
      </c>
      <c r="N187">
        <v>0.25</v>
      </c>
      <c r="O187" s="2">
        <f t="shared" si="14"/>
        <v>201.72969950000001</v>
      </c>
      <c r="P187">
        <f t="shared" si="15"/>
        <v>19.592880999999998</v>
      </c>
      <c r="Q187">
        <f t="shared" si="16"/>
        <v>8.5110420956210238</v>
      </c>
      <c r="R187">
        <f t="shared" si="17"/>
        <v>826.63006676165355</v>
      </c>
      <c r="S187">
        <v>0.22538852072780258</v>
      </c>
      <c r="T187">
        <v>18.3</v>
      </c>
      <c r="X187" s="1">
        <v>0.85063657407407411</v>
      </c>
    </row>
    <row r="188" spans="1:24" x14ac:dyDescent="0.25">
      <c r="A188" t="s">
        <v>213</v>
      </c>
      <c r="B188" s="1" t="s">
        <v>47</v>
      </c>
      <c r="C188">
        <v>9.8856506999999996E-2</v>
      </c>
      <c r="D188">
        <v>4.7201334999999997E-2</v>
      </c>
      <c r="E188">
        <v>0.21381499400000001</v>
      </c>
      <c r="F188">
        <v>2.4184171000000001E-2</v>
      </c>
      <c r="G188">
        <v>0.70641041800000004</v>
      </c>
      <c r="H188">
        <v>0.97720922200000004</v>
      </c>
      <c r="I188">
        <v>99.9</v>
      </c>
      <c r="J188">
        <f t="shared" si="12"/>
        <v>0.99900000000000011</v>
      </c>
      <c r="K188">
        <v>15.4</v>
      </c>
      <c r="L188">
        <f t="shared" si="13"/>
        <v>288.54999999999995</v>
      </c>
      <c r="M188">
        <v>125</v>
      </c>
      <c r="N188">
        <v>0.25</v>
      </c>
      <c r="O188" s="2">
        <f t="shared" si="14"/>
        <v>49.428253499999997</v>
      </c>
      <c r="P188">
        <f t="shared" si="15"/>
        <v>23.6006675</v>
      </c>
      <c r="Q188">
        <f t="shared" si="16"/>
        <v>2.0853942046918434</v>
      </c>
      <c r="R188">
        <f t="shared" si="17"/>
        <v>995.71989189055898</v>
      </c>
      <c r="S188">
        <v>0.22538852072780258</v>
      </c>
      <c r="T188">
        <v>18.3</v>
      </c>
      <c r="X188" s="1">
        <v>0.8571643518518518</v>
      </c>
    </row>
    <row r="189" spans="1:24" x14ac:dyDescent="0.25">
      <c r="A189" t="s">
        <v>214</v>
      </c>
      <c r="B189" s="1" t="s">
        <v>47</v>
      </c>
      <c r="C189">
        <v>-1.072525E-2</v>
      </c>
      <c r="D189">
        <v>2.7388209E-2</v>
      </c>
      <c r="E189">
        <v>0.25823893199999998</v>
      </c>
      <c r="F189">
        <v>1.3153995E-2</v>
      </c>
      <c r="G189">
        <v>1.9045936999999999E-2</v>
      </c>
      <c r="H189">
        <v>0.97991851600000002</v>
      </c>
      <c r="I189">
        <v>99.9</v>
      </c>
      <c r="J189">
        <f t="shared" si="12"/>
        <v>0.99900000000000011</v>
      </c>
      <c r="K189">
        <v>17</v>
      </c>
      <c r="L189">
        <f t="shared" si="13"/>
        <v>290.14999999999998</v>
      </c>
      <c r="M189">
        <v>125</v>
      </c>
      <c r="N189">
        <v>0.25</v>
      </c>
      <c r="O189" s="2">
        <f t="shared" si="14"/>
        <v>-5.3626250000000004</v>
      </c>
      <c r="P189">
        <f t="shared" si="15"/>
        <v>13.6941045</v>
      </c>
      <c r="Q189">
        <f t="shared" si="16"/>
        <v>-0.22500326967456855</v>
      </c>
      <c r="R189">
        <f t="shared" si="17"/>
        <v>574.57276758401372</v>
      </c>
      <c r="S189">
        <v>0.36011836423221255</v>
      </c>
      <c r="T189">
        <v>115.4</v>
      </c>
      <c r="X189" s="1">
        <v>0.6827199074074074</v>
      </c>
    </row>
    <row r="190" spans="1:24" x14ac:dyDescent="0.25">
      <c r="A190" t="s">
        <v>215</v>
      </c>
      <c r="B190" s="1" t="s">
        <v>47</v>
      </c>
      <c r="C190">
        <v>0.27559510599999998</v>
      </c>
      <c r="D190">
        <v>7.3259179999999998E-3</v>
      </c>
      <c r="E190">
        <v>0.86992603099999999</v>
      </c>
      <c r="F190">
        <v>1.0218366E-2</v>
      </c>
      <c r="G190">
        <v>0.530448845</v>
      </c>
      <c r="H190">
        <v>0.85262765699999998</v>
      </c>
      <c r="I190">
        <v>99.9</v>
      </c>
      <c r="J190">
        <f t="shared" si="12"/>
        <v>0.99900000000000011</v>
      </c>
      <c r="K190">
        <v>17.899999999999999</v>
      </c>
      <c r="L190">
        <f t="shared" si="13"/>
        <v>291.04999999999995</v>
      </c>
      <c r="M190">
        <v>125</v>
      </c>
      <c r="N190">
        <v>0.25</v>
      </c>
      <c r="O190" s="2">
        <f t="shared" si="14"/>
        <v>137.79755299999999</v>
      </c>
      <c r="P190">
        <f t="shared" si="15"/>
        <v>3.6629589999999999</v>
      </c>
      <c r="Q190">
        <f t="shared" si="16"/>
        <v>5.7637863934706912</v>
      </c>
      <c r="R190">
        <f t="shared" si="17"/>
        <v>153.21399244325485</v>
      </c>
      <c r="S190">
        <v>0.41345491162058234</v>
      </c>
      <c r="T190">
        <v>128.19999999999999</v>
      </c>
      <c r="X190" s="1">
        <v>0.66711805555555559</v>
      </c>
    </row>
    <row r="191" spans="1:24" x14ac:dyDescent="0.25">
      <c r="A191" t="s">
        <v>216</v>
      </c>
      <c r="B191" s="1" t="s">
        <v>47</v>
      </c>
      <c r="C191">
        <v>0.27959288100000002</v>
      </c>
      <c r="D191">
        <v>1.7750834E-2</v>
      </c>
      <c r="E191">
        <v>0.81415899400000002</v>
      </c>
      <c r="F191">
        <v>1.4451459999999999E-2</v>
      </c>
      <c r="G191">
        <v>0.57034401099999998</v>
      </c>
      <c r="H191">
        <v>0.94438973800000003</v>
      </c>
      <c r="I191">
        <v>99.9</v>
      </c>
      <c r="J191">
        <f t="shared" si="12"/>
        <v>0.99900000000000011</v>
      </c>
      <c r="K191">
        <v>14.6</v>
      </c>
      <c r="L191">
        <f t="shared" si="13"/>
        <v>287.75</v>
      </c>
      <c r="M191">
        <v>125</v>
      </c>
      <c r="N191">
        <v>0.25</v>
      </c>
      <c r="O191" s="2">
        <f t="shared" si="14"/>
        <v>139.79644050000002</v>
      </c>
      <c r="P191">
        <f t="shared" si="15"/>
        <v>8.8754170000000006</v>
      </c>
      <c r="Q191">
        <f t="shared" si="16"/>
        <v>5.914455340554146</v>
      </c>
      <c r="R191">
        <f t="shared" si="17"/>
        <v>375.49781158623318</v>
      </c>
      <c r="S191">
        <v>0.15851215772743976</v>
      </c>
      <c r="T191">
        <v>3.7</v>
      </c>
      <c r="X191" s="1">
        <v>0.89634259259259252</v>
      </c>
    </row>
    <row r="192" spans="1:24" x14ac:dyDescent="0.25">
      <c r="A192" t="s">
        <v>217</v>
      </c>
      <c r="B192" s="1" t="s">
        <v>47</v>
      </c>
      <c r="C192">
        <v>0.34208898799999998</v>
      </c>
      <c r="D192">
        <v>3.0202447E-2</v>
      </c>
      <c r="E192">
        <v>0.74645299499999995</v>
      </c>
      <c r="F192">
        <v>2.5963973000000001E-2</v>
      </c>
      <c r="G192">
        <v>0.70273870299999996</v>
      </c>
      <c r="H192">
        <v>0.938388942</v>
      </c>
      <c r="I192">
        <v>99.9</v>
      </c>
      <c r="J192">
        <f t="shared" si="12"/>
        <v>0.99900000000000011</v>
      </c>
      <c r="K192">
        <v>14.4</v>
      </c>
      <c r="L192">
        <f t="shared" si="13"/>
        <v>287.54999999999995</v>
      </c>
      <c r="M192">
        <v>125</v>
      </c>
      <c r="N192">
        <v>0.25</v>
      </c>
      <c r="O192" s="2">
        <f t="shared" si="14"/>
        <v>171.04449399999999</v>
      </c>
      <c r="P192">
        <f t="shared" si="15"/>
        <v>15.1012235</v>
      </c>
      <c r="Q192">
        <f t="shared" si="16"/>
        <v>7.2415194630288866</v>
      </c>
      <c r="R192">
        <f t="shared" si="17"/>
        <v>639.34126924190377</v>
      </c>
      <c r="S192">
        <v>0.13711830955622117</v>
      </c>
      <c r="T192">
        <v>1.8</v>
      </c>
      <c r="X192" s="1">
        <v>0.91993055555555558</v>
      </c>
    </row>
    <row r="193" spans="1:24" x14ac:dyDescent="0.25">
      <c r="A193" t="s">
        <v>218</v>
      </c>
      <c r="B193" s="1" t="s">
        <v>47</v>
      </c>
      <c r="C193">
        <v>0.233419355</v>
      </c>
      <c r="D193">
        <v>2.7270300000000001E-2</v>
      </c>
      <c r="E193">
        <v>1.2096275379999999</v>
      </c>
      <c r="F193">
        <v>2.0159763000000001E-2</v>
      </c>
      <c r="G193">
        <v>0.295344789</v>
      </c>
      <c r="H193">
        <v>0.95369597800000006</v>
      </c>
      <c r="I193">
        <v>99.9</v>
      </c>
      <c r="J193">
        <f t="shared" si="12"/>
        <v>0.99900000000000011</v>
      </c>
      <c r="K193">
        <v>14.6</v>
      </c>
      <c r="L193">
        <f t="shared" si="13"/>
        <v>287.75</v>
      </c>
      <c r="M193">
        <v>125</v>
      </c>
      <c r="N193">
        <v>0.25</v>
      </c>
      <c r="O193" s="2">
        <f t="shared" si="14"/>
        <v>116.7096775</v>
      </c>
      <c r="P193">
        <f t="shared" si="15"/>
        <v>13.635150000000001</v>
      </c>
      <c r="Q193">
        <f t="shared" si="16"/>
        <v>4.9377092357671799</v>
      </c>
      <c r="R193">
        <f t="shared" si="17"/>
        <v>576.870809072974</v>
      </c>
      <c r="S193">
        <v>0.15851215772743976</v>
      </c>
      <c r="T193">
        <v>3.7</v>
      </c>
      <c r="X193" s="1">
        <v>0.90127314814814818</v>
      </c>
    </row>
    <row r="194" spans="1:24" x14ac:dyDescent="0.25">
      <c r="A194" t="s">
        <v>219</v>
      </c>
      <c r="B194" s="1" t="s">
        <v>47</v>
      </c>
      <c r="C194">
        <v>0.36560845400000003</v>
      </c>
      <c r="D194">
        <v>3.0807563999999999E-2</v>
      </c>
      <c r="E194">
        <v>0.52896190799999998</v>
      </c>
      <c r="F194">
        <v>2.4151830999999999E-2</v>
      </c>
      <c r="G194">
        <v>0.84319432800000005</v>
      </c>
      <c r="H194">
        <v>0.94822562700000002</v>
      </c>
      <c r="I194">
        <v>99.9</v>
      </c>
      <c r="J194">
        <f t="shared" ref="J194:J257" si="18">I194/100</f>
        <v>0.99900000000000011</v>
      </c>
      <c r="K194">
        <v>14.5</v>
      </c>
      <c r="L194">
        <f t="shared" ref="L194:L257" si="19">K194+273.15</f>
        <v>287.64999999999998</v>
      </c>
      <c r="M194">
        <v>125</v>
      </c>
      <c r="N194">
        <v>0.25</v>
      </c>
      <c r="O194" s="2">
        <f t="shared" si="14"/>
        <v>182.80422700000003</v>
      </c>
      <c r="P194">
        <f t="shared" si="15"/>
        <v>15.403782</v>
      </c>
      <c r="Q194">
        <f t="shared" si="16"/>
        <v>7.736701319986536</v>
      </c>
      <c r="R194">
        <f t="shared" si="17"/>
        <v>651.92398714163664</v>
      </c>
      <c r="S194">
        <v>0.14774955298021131</v>
      </c>
      <c r="T194">
        <f>AVERAGE(3.7,1.8)</f>
        <v>2.75</v>
      </c>
      <c r="X194" s="1">
        <v>0.90622685185185192</v>
      </c>
    </row>
    <row r="195" spans="1:24" x14ac:dyDescent="0.25">
      <c r="A195" t="s">
        <v>220</v>
      </c>
      <c r="B195" s="1" t="s">
        <v>47</v>
      </c>
      <c r="C195">
        <v>0.30454060100000002</v>
      </c>
      <c r="D195">
        <v>3.1563960000000002E-2</v>
      </c>
      <c r="E195">
        <v>0.35180348700000003</v>
      </c>
      <c r="F195">
        <v>1.5564721E-2</v>
      </c>
      <c r="G195">
        <v>0.89400888300000003</v>
      </c>
      <c r="H195">
        <v>0.97885365800000002</v>
      </c>
      <c r="I195">
        <v>99.9</v>
      </c>
      <c r="J195">
        <f t="shared" si="18"/>
        <v>0.99900000000000011</v>
      </c>
      <c r="K195">
        <v>14.4</v>
      </c>
      <c r="L195">
        <f t="shared" si="19"/>
        <v>287.54999999999995</v>
      </c>
      <c r="M195">
        <v>125</v>
      </c>
      <c r="N195">
        <v>0.25</v>
      </c>
      <c r="O195" s="2">
        <f t="shared" ref="O195:O258" si="20">C195*M195/N195</f>
        <v>152.27030050000002</v>
      </c>
      <c r="P195">
        <f t="shared" ref="P195:P258" si="21">D195*M195/N195</f>
        <v>15.781980000000001</v>
      </c>
      <c r="Q195">
        <f t="shared" ref="Q195:Q258" si="22">(O195*J195)/(0.08206*L195)</f>
        <v>6.446675475633886</v>
      </c>
      <c r="R195">
        <f t="shared" ref="R195:R258" si="23">(P195*J195)/(0.08206*L195)*1000</f>
        <v>668.16249189016651</v>
      </c>
      <c r="S195">
        <v>0.13711830955622117</v>
      </c>
      <c r="T195">
        <v>1.8</v>
      </c>
      <c r="X195" s="1">
        <v>0.91057870370370375</v>
      </c>
    </row>
    <row r="196" spans="1:24" x14ac:dyDescent="0.25">
      <c r="A196" t="s">
        <v>221</v>
      </c>
      <c r="B196" s="1" t="s">
        <v>47</v>
      </c>
      <c r="C196">
        <v>0.45472080100000001</v>
      </c>
      <c r="D196">
        <v>5.1612899999999998E-3</v>
      </c>
      <c r="E196">
        <v>2.8165313479999998</v>
      </c>
      <c r="F196">
        <v>8.4357470000000004E-3</v>
      </c>
      <c r="G196">
        <v>0.22683695100000001</v>
      </c>
      <c r="H196">
        <v>0.80819340900000003</v>
      </c>
      <c r="I196">
        <v>99.9</v>
      </c>
      <c r="J196">
        <f t="shared" si="18"/>
        <v>0.99900000000000011</v>
      </c>
      <c r="K196">
        <v>14.4</v>
      </c>
      <c r="L196">
        <f t="shared" si="19"/>
        <v>287.54999999999995</v>
      </c>
      <c r="M196">
        <v>125</v>
      </c>
      <c r="N196">
        <v>0.25</v>
      </c>
      <c r="O196" s="2">
        <f t="shared" si="20"/>
        <v>227.3604005</v>
      </c>
      <c r="P196">
        <f t="shared" si="21"/>
        <v>2.5806450000000001</v>
      </c>
      <c r="Q196">
        <f t="shared" si="22"/>
        <v>9.6257688677356228</v>
      </c>
      <c r="R196">
        <f t="shared" si="23"/>
        <v>109.25689893688237</v>
      </c>
      <c r="S196">
        <v>0.13711830955622117</v>
      </c>
      <c r="T196">
        <v>1.8</v>
      </c>
      <c r="X196" s="1">
        <v>0.91629629629629628</v>
      </c>
    </row>
    <row r="197" spans="1:24" x14ac:dyDescent="0.25">
      <c r="A197" t="s">
        <v>222</v>
      </c>
      <c r="B197" s="1" t="s">
        <v>40</v>
      </c>
      <c r="C197">
        <v>0.42904783099999999</v>
      </c>
      <c r="D197">
        <v>2.7870967999999999E-2</v>
      </c>
      <c r="E197">
        <v>0.92662308199999999</v>
      </c>
      <c r="F197">
        <v>2.7265943000000001E-2</v>
      </c>
      <c r="G197">
        <v>0.70701700300000003</v>
      </c>
      <c r="H197">
        <v>0.92163640999999996</v>
      </c>
      <c r="I197">
        <v>99.9</v>
      </c>
      <c r="J197">
        <f t="shared" si="18"/>
        <v>0.99900000000000011</v>
      </c>
      <c r="K197">
        <v>15.6</v>
      </c>
      <c r="L197">
        <f t="shared" si="19"/>
        <v>288.75</v>
      </c>
      <c r="M197">
        <v>125</v>
      </c>
      <c r="N197">
        <v>0.25</v>
      </c>
      <c r="O197" s="2">
        <f t="shared" si="20"/>
        <v>214.52391549999999</v>
      </c>
      <c r="P197">
        <f t="shared" si="21"/>
        <v>13.935483999999999</v>
      </c>
      <c r="Q197">
        <f t="shared" si="22"/>
        <v>9.0445652831156185</v>
      </c>
      <c r="R197">
        <f t="shared" si="23"/>
        <v>587.53540133763397</v>
      </c>
      <c r="S197">
        <v>0.27709470861024288</v>
      </c>
      <c r="T197">
        <v>194.1</v>
      </c>
      <c r="X197" s="1">
        <v>0.77542824074074079</v>
      </c>
    </row>
    <row r="198" spans="1:24" x14ac:dyDescent="0.25">
      <c r="A198" t="s">
        <v>223</v>
      </c>
      <c r="B198" s="1" t="s">
        <v>40</v>
      </c>
      <c r="C198">
        <v>0.13707897699999999</v>
      </c>
      <c r="D198">
        <v>1.949277E-2</v>
      </c>
      <c r="E198">
        <v>0.212983955</v>
      </c>
      <c r="F198">
        <v>3.2319568E-2</v>
      </c>
      <c r="G198">
        <v>0.82340335399999998</v>
      </c>
      <c r="H198">
        <v>0.80370892800000004</v>
      </c>
      <c r="I198">
        <v>99.9</v>
      </c>
      <c r="J198">
        <f t="shared" si="18"/>
        <v>0.99900000000000011</v>
      </c>
      <c r="K198">
        <v>15.6</v>
      </c>
      <c r="L198">
        <f t="shared" si="19"/>
        <v>288.75</v>
      </c>
      <c r="M198">
        <v>125</v>
      </c>
      <c r="N198">
        <v>0.25</v>
      </c>
      <c r="O198" s="2">
        <f t="shared" si="20"/>
        <v>68.53948849999999</v>
      </c>
      <c r="P198">
        <f t="shared" si="21"/>
        <v>9.7463850000000001</v>
      </c>
      <c r="Q198">
        <f t="shared" si="22"/>
        <v>2.8897005574634971</v>
      </c>
      <c r="R198">
        <f t="shared" si="23"/>
        <v>410.91835938860072</v>
      </c>
      <c r="S198">
        <v>0.285808378692326</v>
      </c>
      <c r="T198">
        <v>219.9</v>
      </c>
      <c r="X198" s="1">
        <v>0.75130787037037028</v>
      </c>
    </row>
    <row r="199" spans="1:24" x14ac:dyDescent="0.25">
      <c r="A199" t="s">
        <v>224</v>
      </c>
      <c r="B199" s="1" t="s">
        <v>40</v>
      </c>
      <c r="C199">
        <v>0.12766407099999999</v>
      </c>
      <c r="D199">
        <v>9.7833147999999995E-2</v>
      </c>
      <c r="E199">
        <v>0.53767015799999995</v>
      </c>
      <c r="F199">
        <v>0.10590825399999999</v>
      </c>
      <c r="G199">
        <v>0.38822280599999998</v>
      </c>
      <c r="H199">
        <v>0.905704328</v>
      </c>
      <c r="I199">
        <v>99.9</v>
      </c>
      <c r="J199">
        <f t="shared" si="18"/>
        <v>0.99900000000000011</v>
      </c>
      <c r="K199">
        <v>15.6</v>
      </c>
      <c r="L199">
        <f t="shared" si="19"/>
        <v>288.75</v>
      </c>
      <c r="M199">
        <v>125</v>
      </c>
      <c r="N199">
        <v>0.25</v>
      </c>
      <c r="O199" s="2">
        <f t="shared" si="20"/>
        <v>63.832035499999996</v>
      </c>
      <c r="P199">
        <f t="shared" si="21"/>
        <v>48.916573999999997</v>
      </c>
      <c r="Q199">
        <f t="shared" si="22"/>
        <v>2.6912291381978979</v>
      </c>
      <c r="R199">
        <f t="shared" si="23"/>
        <v>2062.3768027828864</v>
      </c>
      <c r="S199">
        <v>0.285808378692326</v>
      </c>
      <c r="T199">
        <v>219.9</v>
      </c>
      <c r="X199" s="1">
        <v>0.75542824074074078</v>
      </c>
    </row>
    <row r="200" spans="1:24" x14ac:dyDescent="0.25">
      <c r="A200" t="s">
        <v>225</v>
      </c>
      <c r="B200" s="1" t="s">
        <v>40</v>
      </c>
      <c r="C200">
        <v>0.23888320399999999</v>
      </c>
      <c r="D200">
        <v>1.0771968999999999E-2</v>
      </c>
      <c r="E200">
        <v>0.40448229099999999</v>
      </c>
      <c r="F200">
        <v>9.0436300000000004E-3</v>
      </c>
      <c r="G200">
        <v>0.79699708199999997</v>
      </c>
      <c r="H200">
        <v>0.94107017199999998</v>
      </c>
      <c r="I200">
        <v>99.9</v>
      </c>
      <c r="J200">
        <f t="shared" si="18"/>
        <v>0.99900000000000011</v>
      </c>
      <c r="K200">
        <v>15.6</v>
      </c>
      <c r="L200">
        <f t="shared" si="19"/>
        <v>288.75</v>
      </c>
      <c r="M200">
        <v>125</v>
      </c>
      <c r="N200">
        <v>0.25</v>
      </c>
      <c r="O200" s="2">
        <f t="shared" si="20"/>
        <v>119.44160199999999</v>
      </c>
      <c r="P200">
        <f t="shared" si="21"/>
        <v>5.3859844999999993</v>
      </c>
      <c r="Q200">
        <f t="shared" si="22"/>
        <v>5.0357898991868488</v>
      </c>
      <c r="R200">
        <f t="shared" si="23"/>
        <v>227.07905694597875</v>
      </c>
      <c r="S200">
        <v>0.285808378692326</v>
      </c>
      <c r="T200">
        <v>219.9</v>
      </c>
      <c r="X200" s="1">
        <v>0.75732638888888892</v>
      </c>
    </row>
    <row r="201" spans="1:24" x14ac:dyDescent="0.25">
      <c r="A201" t="s">
        <v>226</v>
      </c>
      <c r="B201" s="1" t="s">
        <v>40</v>
      </c>
      <c r="C201">
        <v>0.34653392700000002</v>
      </c>
      <c r="D201">
        <v>3.9512791999999998E-2</v>
      </c>
      <c r="E201">
        <v>1.0791399429999999</v>
      </c>
      <c r="F201">
        <v>6.1275098E-2</v>
      </c>
      <c r="G201">
        <v>0.53718601899999996</v>
      </c>
      <c r="H201">
        <v>0.82395828999999998</v>
      </c>
      <c r="I201">
        <v>99.9</v>
      </c>
      <c r="J201">
        <f t="shared" si="18"/>
        <v>0.99900000000000011</v>
      </c>
      <c r="K201">
        <v>15.6</v>
      </c>
      <c r="L201">
        <f t="shared" si="19"/>
        <v>288.75</v>
      </c>
      <c r="M201">
        <v>125</v>
      </c>
      <c r="N201">
        <v>0.25</v>
      </c>
      <c r="O201" s="2">
        <f t="shared" si="20"/>
        <v>173.2669635</v>
      </c>
      <c r="P201">
        <f t="shared" si="21"/>
        <v>19.756395999999999</v>
      </c>
      <c r="Q201">
        <f t="shared" si="22"/>
        <v>7.3051266061893285</v>
      </c>
      <c r="R201">
        <f t="shared" si="23"/>
        <v>832.95148219073155</v>
      </c>
      <c r="S201">
        <v>0.28145154365128433</v>
      </c>
      <c r="T201">
        <v>207</v>
      </c>
      <c r="X201" s="1">
        <v>0.76196759259259261</v>
      </c>
    </row>
    <row r="202" spans="1:24" x14ac:dyDescent="0.25">
      <c r="A202" t="s">
        <v>227</v>
      </c>
      <c r="B202" s="1" t="s">
        <v>40</v>
      </c>
      <c r="C202">
        <v>8.6961068000000002E-2</v>
      </c>
      <c r="D202">
        <v>7.9837596999999996E-2</v>
      </c>
      <c r="E202">
        <v>1.011022372</v>
      </c>
      <c r="F202">
        <v>5.8152651E-2</v>
      </c>
      <c r="G202">
        <v>7.6872683999999997E-2</v>
      </c>
      <c r="H202">
        <v>0.95498686499999996</v>
      </c>
      <c r="I202">
        <v>99.9</v>
      </c>
      <c r="J202">
        <f t="shared" si="18"/>
        <v>0.99900000000000011</v>
      </c>
      <c r="K202">
        <v>15.6</v>
      </c>
      <c r="L202">
        <f t="shared" si="19"/>
        <v>288.75</v>
      </c>
      <c r="M202">
        <v>125</v>
      </c>
      <c r="N202">
        <v>0.25</v>
      </c>
      <c r="O202" s="2">
        <f t="shared" si="20"/>
        <v>43.480533999999999</v>
      </c>
      <c r="P202">
        <f t="shared" si="21"/>
        <v>39.918798500000001</v>
      </c>
      <c r="Q202">
        <f t="shared" si="22"/>
        <v>1.8331873506556813</v>
      </c>
      <c r="R202">
        <f t="shared" si="23"/>
        <v>1683.0206469767136</v>
      </c>
      <c r="S202">
        <v>0.27709470861024288</v>
      </c>
      <c r="T202">
        <v>194.1</v>
      </c>
      <c r="X202" s="1">
        <v>0.7650231481481482</v>
      </c>
    </row>
    <row r="203" spans="1:24" x14ac:dyDescent="0.25">
      <c r="A203" t="s">
        <v>228</v>
      </c>
      <c r="B203" s="1" t="s">
        <v>47</v>
      </c>
      <c r="C203">
        <v>0.15231145700000001</v>
      </c>
      <c r="D203">
        <v>2.0525028000000001E-2</v>
      </c>
      <c r="E203">
        <v>0.223260289</v>
      </c>
      <c r="F203">
        <v>1.8143189000000001E-2</v>
      </c>
      <c r="G203">
        <v>0.83971047499999996</v>
      </c>
      <c r="H203">
        <v>0.93508730399999995</v>
      </c>
      <c r="I203">
        <v>99.9</v>
      </c>
      <c r="J203">
        <f t="shared" si="18"/>
        <v>0.99900000000000011</v>
      </c>
      <c r="K203">
        <v>7.9</v>
      </c>
      <c r="L203">
        <f t="shared" si="19"/>
        <v>281.04999999999995</v>
      </c>
      <c r="M203">
        <v>125</v>
      </c>
      <c r="N203">
        <v>0.25</v>
      </c>
      <c r="O203" s="2">
        <f t="shared" si="20"/>
        <v>76.155728500000009</v>
      </c>
      <c r="P203">
        <f t="shared" si="21"/>
        <v>10.262513999999999</v>
      </c>
      <c r="Q203">
        <f t="shared" si="22"/>
        <v>3.2987770379504151</v>
      </c>
      <c r="R203">
        <f t="shared" si="23"/>
        <v>444.53314545923706</v>
      </c>
      <c r="S203">
        <v>0.12259799547624273</v>
      </c>
      <c r="T203">
        <v>23.8</v>
      </c>
      <c r="X203" s="1">
        <v>0.8690162037037038</v>
      </c>
    </row>
    <row r="204" spans="1:24" x14ac:dyDescent="0.25">
      <c r="A204" t="s">
        <v>229</v>
      </c>
      <c r="B204" s="1" t="s">
        <v>47</v>
      </c>
      <c r="C204">
        <v>0.15436485</v>
      </c>
      <c r="D204">
        <v>6.4936595999999999E-2</v>
      </c>
      <c r="E204">
        <v>0.17871447300000001</v>
      </c>
      <c r="F204">
        <v>2.4892599000000001E-2</v>
      </c>
      <c r="G204">
        <v>0.89359082499999998</v>
      </c>
      <c r="H204">
        <v>0.98711316900000001</v>
      </c>
      <c r="I204">
        <v>99.9</v>
      </c>
      <c r="J204">
        <f t="shared" si="18"/>
        <v>0.99900000000000011</v>
      </c>
      <c r="K204">
        <v>7.9</v>
      </c>
      <c r="L204">
        <f t="shared" si="19"/>
        <v>281.04999999999995</v>
      </c>
      <c r="M204">
        <v>125</v>
      </c>
      <c r="N204">
        <v>0.25</v>
      </c>
      <c r="O204" s="2">
        <f t="shared" si="20"/>
        <v>77.182424999999995</v>
      </c>
      <c r="P204">
        <f t="shared" si="21"/>
        <v>32.468297999999997</v>
      </c>
      <c r="Q204">
        <f t="shared" si="22"/>
        <v>3.343249632538543</v>
      </c>
      <c r="R204">
        <f t="shared" si="23"/>
        <v>1406.4034054080564</v>
      </c>
      <c r="S204">
        <v>0.12259799547624273</v>
      </c>
      <c r="T204">
        <v>23.8</v>
      </c>
      <c r="X204" s="1">
        <v>0.87332175925925926</v>
      </c>
    </row>
    <row r="205" spans="1:24" x14ac:dyDescent="0.25">
      <c r="A205" t="s">
        <v>230</v>
      </c>
      <c r="B205" s="1" t="s">
        <v>47</v>
      </c>
      <c r="C205">
        <v>9.6173525999999995E-2</v>
      </c>
      <c r="D205">
        <v>4.1557290000000004E-3</v>
      </c>
      <c r="E205">
        <v>0.30435546800000002</v>
      </c>
      <c r="F205">
        <v>7.9223539999999995E-3</v>
      </c>
      <c r="G205">
        <v>0.52917001100000005</v>
      </c>
      <c r="H205">
        <v>0.75593037500000004</v>
      </c>
      <c r="I205">
        <v>99.9</v>
      </c>
      <c r="J205">
        <f t="shared" si="18"/>
        <v>0.99900000000000011</v>
      </c>
      <c r="K205">
        <v>7.9</v>
      </c>
      <c r="L205">
        <f t="shared" si="19"/>
        <v>281.04999999999995</v>
      </c>
      <c r="M205">
        <v>125</v>
      </c>
      <c r="N205">
        <v>0.25</v>
      </c>
      <c r="O205" s="2">
        <f t="shared" si="20"/>
        <v>48.086762999999998</v>
      </c>
      <c r="P205">
        <f t="shared" si="21"/>
        <v>2.0778645</v>
      </c>
      <c r="Q205">
        <f t="shared" si="22"/>
        <v>2.0829360146395763</v>
      </c>
      <c r="R205">
        <f t="shared" si="23"/>
        <v>90.005201651669836</v>
      </c>
      <c r="S205">
        <v>0.12259799547624273</v>
      </c>
      <c r="T205">
        <v>23.8</v>
      </c>
      <c r="X205" s="1">
        <v>0.87857638888888889</v>
      </c>
    </row>
    <row r="206" spans="1:24" x14ac:dyDescent="0.25">
      <c r="A206" t="s">
        <v>231</v>
      </c>
      <c r="B206" s="1" t="s">
        <v>47</v>
      </c>
      <c r="C206">
        <v>0.159214683</v>
      </c>
      <c r="D206">
        <v>0.101132369</v>
      </c>
      <c r="E206">
        <v>0.26453217099999998</v>
      </c>
      <c r="F206">
        <v>6.0276281000000001E-2</v>
      </c>
      <c r="G206">
        <v>0.80305177900000002</v>
      </c>
      <c r="H206">
        <v>0.96940601900000001</v>
      </c>
      <c r="I206">
        <v>99.9</v>
      </c>
      <c r="J206">
        <f t="shared" si="18"/>
        <v>0.99900000000000011</v>
      </c>
      <c r="K206">
        <v>7.45</v>
      </c>
      <c r="L206">
        <f t="shared" si="19"/>
        <v>280.59999999999997</v>
      </c>
      <c r="M206">
        <v>125</v>
      </c>
      <c r="N206">
        <v>0.25</v>
      </c>
      <c r="O206" s="2">
        <f t="shared" si="20"/>
        <v>79.607341500000004</v>
      </c>
      <c r="P206">
        <f t="shared" si="21"/>
        <v>50.566184499999999</v>
      </c>
      <c r="Q206">
        <f t="shared" si="22"/>
        <v>3.4538178503021548</v>
      </c>
      <c r="R206">
        <f t="shared" si="23"/>
        <v>2193.8477954042987</v>
      </c>
      <c r="S206">
        <v>0.11279375745414866</v>
      </c>
      <c r="T206">
        <v>20</v>
      </c>
      <c r="X206" s="1">
        <v>0.88271990740740736</v>
      </c>
    </row>
    <row r="207" spans="1:24" x14ac:dyDescent="0.25">
      <c r="A207" t="s">
        <v>232</v>
      </c>
      <c r="B207" s="1" t="s">
        <v>47</v>
      </c>
      <c r="C207">
        <v>9.1147941999999996E-2</v>
      </c>
      <c r="D207">
        <v>1.5844271E-2</v>
      </c>
      <c r="E207">
        <v>0.43277110099999999</v>
      </c>
      <c r="F207">
        <v>1.4940775E-2</v>
      </c>
      <c r="G207">
        <v>0.33302101000000001</v>
      </c>
      <c r="H207">
        <v>0.92678525300000003</v>
      </c>
      <c r="I207">
        <v>99.9</v>
      </c>
      <c r="J207">
        <f t="shared" si="18"/>
        <v>0.99900000000000011</v>
      </c>
      <c r="K207">
        <v>8.4</v>
      </c>
      <c r="L207">
        <f t="shared" si="19"/>
        <v>281.54999999999995</v>
      </c>
      <c r="M207">
        <v>125</v>
      </c>
      <c r="N207">
        <v>0.25</v>
      </c>
      <c r="O207" s="2">
        <f t="shared" si="20"/>
        <v>45.573971</v>
      </c>
      <c r="P207">
        <f t="shared" si="21"/>
        <v>7.9221355000000004</v>
      </c>
      <c r="Q207">
        <f t="shared" si="22"/>
        <v>1.9705856485067328</v>
      </c>
      <c r="R207">
        <f t="shared" si="23"/>
        <v>342.54742738625322</v>
      </c>
      <c r="S207">
        <v>0.13984530494077796</v>
      </c>
      <c r="T207">
        <v>60.4</v>
      </c>
      <c r="X207" s="1">
        <v>0.81855324074074076</v>
      </c>
    </row>
    <row r="208" spans="1:24" x14ac:dyDescent="0.25">
      <c r="A208" t="s">
        <v>233</v>
      </c>
      <c r="B208" s="1" t="s">
        <v>47</v>
      </c>
      <c r="C208">
        <v>4.6956617999999999E-2</v>
      </c>
      <c r="D208">
        <v>5.7808676000000003E-2</v>
      </c>
      <c r="E208">
        <v>1.3435666020000001</v>
      </c>
      <c r="F208">
        <v>3.0549171999999999E-2</v>
      </c>
      <c r="G208">
        <v>1.3562108999999999E-2</v>
      </c>
      <c r="H208">
        <v>0.97579042599999999</v>
      </c>
      <c r="I208">
        <v>99.9</v>
      </c>
      <c r="J208">
        <f t="shared" si="18"/>
        <v>0.99900000000000011</v>
      </c>
      <c r="K208">
        <v>8.3000000000000007</v>
      </c>
      <c r="L208">
        <f t="shared" si="19"/>
        <v>281.45</v>
      </c>
      <c r="M208">
        <v>125</v>
      </c>
      <c r="N208">
        <v>0.25</v>
      </c>
      <c r="O208" s="2">
        <f t="shared" si="20"/>
        <v>23.478308999999999</v>
      </c>
      <c r="P208">
        <f t="shared" si="21"/>
        <v>28.904338000000003</v>
      </c>
      <c r="Q208">
        <f t="shared" si="22"/>
        <v>1.0155458521937357</v>
      </c>
      <c r="R208">
        <f t="shared" si="23"/>
        <v>1250.2467944478362</v>
      </c>
      <c r="S208">
        <v>0.14212965940005828</v>
      </c>
      <c r="T208">
        <v>51</v>
      </c>
      <c r="X208" s="1">
        <v>0.82245370370370363</v>
      </c>
    </row>
    <row r="209" spans="1:24" x14ac:dyDescent="0.25">
      <c r="A209" t="s">
        <v>234</v>
      </c>
      <c r="B209" s="1" t="s">
        <v>47</v>
      </c>
      <c r="C209">
        <v>0.235548387</v>
      </c>
      <c r="D209">
        <v>5.37931E-3</v>
      </c>
      <c r="E209">
        <v>0.57854949</v>
      </c>
      <c r="F209">
        <v>1.1163556E-2</v>
      </c>
      <c r="G209">
        <v>0.65105541199999994</v>
      </c>
      <c r="H209">
        <v>0.72326359100000004</v>
      </c>
      <c r="I209">
        <v>99.9</v>
      </c>
      <c r="J209">
        <f t="shared" si="18"/>
        <v>0.99900000000000011</v>
      </c>
      <c r="K209">
        <v>8.4</v>
      </c>
      <c r="L209">
        <f t="shared" si="19"/>
        <v>281.54999999999995</v>
      </c>
      <c r="M209">
        <v>125</v>
      </c>
      <c r="N209">
        <v>0.25</v>
      </c>
      <c r="O209" s="2">
        <f t="shared" si="20"/>
        <v>117.7741935</v>
      </c>
      <c r="P209">
        <f t="shared" si="21"/>
        <v>2.6896550000000001</v>
      </c>
      <c r="Q209">
        <f t="shared" si="22"/>
        <v>5.0924712151055465</v>
      </c>
      <c r="R209">
        <f t="shared" si="23"/>
        <v>116.29874303545716</v>
      </c>
      <c r="S209">
        <v>0.13984530494077796</v>
      </c>
      <c r="T209">
        <v>60.4</v>
      </c>
      <c r="X209" s="1">
        <v>0.8096875</v>
      </c>
    </row>
    <row r="210" spans="1:24" x14ac:dyDescent="0.25">
      <c r="A210" t="s">
        <v>235</v>
      </c>
      <c r="B210" s="1" t="s">
        <v>47</v>
      </c>
      <c r="C210">
        <v>0.25255172399999998</v>
      </c>
      <c r="D210">
        <v>9.3659620000000002E-3</v>
      </c>
      <c r="E210">
        <v>0.57014806200000001</v>
      </c>
      <c r="F210">
        <v>9.7838000000000005E-3</v>
      </c>
      <c r="G210">
        <v>0.68833292499999998</v>
      </c>
      <c r="H210">
        <v>0.91162224400000003</v>
      </c>
      <c r="I210">
        <v>99.9</v>
      </c>
      <c r="J210">
        <f t="shared" si="18"/>
        <v>0.99900000000000011</v>
      </c>
      <c r="K210">
        <v>8.4</v>
      </c>
      <c r="L210">
        <f t="shared" si="19"/>
        <v>281.54999999999995</v>
      </c>
      <c r="M210">
        <v>125</v>
      </c>
      <c r="N210">
        <v>0.25</v>
      </c>
      <c r="O210" s="2">
        <f t="shared" si="20"/>
        <v>126.27586199999999</v>
      </c>
      <c r="P210">
        <f t="shared" si="21"/>
        <v>4.6829809999999998</v>
      </c>
      <c r="Q210">
        <f t="shared" si="22"/>
        <v>5.4600772315850348</v>
      </c>
      <c r="R210">
        <f t="shared" si="23"/>
        <v>202.48872214426316</v>
      </c>
      <c r="S210">
        <v>0.13984530494077796</v>
      </c>
      <c r="T210">
        <v>60.4</v>
      </c>
      <c r="X210" s="1">
        <v>0.81156249999999996</v>
      </c>
    </row>
    <row r="211" spans="1:24" x14ac:dyDescent="0.25">
      <c r="A211" t="s">
        <v>236</v>
      </c>
      <c r="B211" s="1" t="s">
        <v>47</v>
      </c>
      <c r="C211">
        <v>6.6282536000000003E-2</v>
      </c>
      <c r="D211">
        <v>9.6700779000000001E-2</v>
      </c>
      <c r="E211">
        <v>1.4367450639999999</v>
      </c>
      <c r="F211">
        <v>5.0028668999999998E-2</v>
      </c>
      <c r="G211">
        <v>2.3395892000000001E-2</v>
      </c>
      <c r="H211">
        <v>0.97677319600000001</v>
      </c>
      <c r="I211">
        <v>99.9</v>
      </c>
      <c r="J211">
        <f t="shared" si="18"/>
        <v>0.99900000000000011</v>
      </c>
      <c r="K211">
        <v>8.4</v>
      </c>
      <c r="L211">
        <f t="shared" si="19"/>
        <v>281.54999999999995</v>
      </c>
      <c r="M211">
        <v>125</v>
      </c>
      <c r="N211">
        <v>0.25</v>
      </c>
      <c r="O211" s="2">
        <f t="shared" si="20"/>
        <v>33.141268000000004</v>
      </c>
      <c r="P211">
        <f t="shared" si="21"/>
        <v>48.350389499999999</v>
      </c>
      <c r="Q211">
        <f t="shared" si="22"/>
        <v>1.4330045344110005</v>
      </c>
      <c r="R211">
        <f t="shared" si="23"/>
        <v>2090.6359827281808</v>
      </c>
      <c r="S211">
        <v>0.13984530494077796</v>
      </c>
      <c r="T211">
        <v>60.4</v>
      </c>
      <c r="X211" s="1">
        <v>0.81466435185185182</v>
      </c>
    </row>
    <row r="212" spans="1:24" x14ac:dyDescent="0.25">
      <c r="A212" t="s">
        <v>237</v>
      </c>
      <c r="B212" s="1" t="s">
        <v>47</v>
      </c>
      <c r="C212">
        <v>0.12622024500000001</v>
      </c>
      <c r="D212">
        <v>2.0880979000000001E-2</v>
      </c>
      <c r="E212">
        <v>0.23027041400000001</v>
      </c>
      <c r="F212">
        <v>1.8342023999999998E-2</v>
      </c>
      <c r="G212">
        <v>0.77178980699999999</v>
      </c>
      <c r="H212">
        <v>0.93584721699999995</v>
      </c>
      <c r="I212">
        <v>99.9</v>
      </c>
      <c r="J212">
        <f t="shared" si="18"/>
        <v>0.99900000000000011</v>
      </c>
      <c r="K212">
        <v>18.399999999999999</v>
      </c>
      <c r="L212">
        <f t="shared" si="19"/>
        <v>291.54999999999995</v>
      </c>
      <c r="M212">
        <v>125</v>
      </c>
      <c r="N212">
        <v>0.25</v>
      </c>
      <c r="O212" s="2">
        <f t="shared" si="20"/>
        <v>63.110122500000003</v>
      </c>
      <c r="P212">
        <f t="shared" si="21"/>
        <v>10.4404895</v>
      </c>
      <c r="Q212">
        <f t="shared" si="22"/>
        <v>2.6352386591278698</v>
      </c>
      <c r="R212">
        <f t="shared" si="23"/>
        <v>435.95512828577705</v>
      </c>
      <c r="S212">
        <v>0.68472038758363607</v>
      </c>
      <c r="T212">
        <v>42.1</v>
      </c>
      <c r="X212" s="1">
        <v>0.83957175925925931</v>
      </c>
    </row>
    <row r="213" spans="1:24" x14ac:dyDescent="0.25">
      <c r="A213" t="s">
        <v>238</v>
      </c>
      <c r="B213" s="1" t="s">
        <v>47</v>
      </c>
      <c r="C213">
        <v>0.21911234700000001</v>
      </c>
      <c r="D213">
        <v>4.4278087000000001E-2</v>
      </c>
      <c r="E213">
        <v>0.22897477099999999</v>
      </c>
      <c r="F213">
        <v>1.8192219999999999E-2</v>
      </c>
      <c r="G213">
        <v>0.91156077199999996</v>
      </c>
      <c r="H213">
        <v>0.98522434999999997</v>
      </c>
      <c r="I213">
        <v>99.9</v>
      </c>
      <c r="J213">
        <f t="shared" si="18"/>
        <v>0.99900000000000011</v>
      </c>
      <c r="K213">
        <v>18.7</v>
      </c>
      <c r="L213">
        <f t="shared" si="19"/>
        <v>291.84999999999997</v>
      </c>
      <c r="M213">
        <v>125</v>
      </c>
      <c r="N213">
        <v>0.25</v>
      </c>
      <c r="O213" s="2">
        <f t="shared" si="20"/>
        <v>109.5561735</v>
      </c>
      <c r="P213">
        <f t="shared" si="21"/>
        <v>22.1390435</v>
      </c>
      <c r="Q213">
        <f t="shared" si="22"/>
        <v>4.569946681187119</v>
      </c>
      <c r="R213">
        <f t="shared" si="23"/>
        <v>923.49198712642374</v>
      </c>
      <c r="S213">
        <v>0.67438064182215696</v>
      </c>
      <c r="T213">
        <f>AVERAGE(42.1,27.5)</f>
        <v>34.799999999999997</v>
      </c>
      <c r="X213" s="1">
        <v>0.84592592592592597</v>
      </c>
    </row>
    <row r="214" spans="1:24" x14ac:dyDescent="0.25">
      <c r="A214" t="s">
        <v>239</v>
      </c>
      <c r="B214" s="1" t="s">
        <v>47</v>
      </c>
      <c r="C214">
        <v>6.5548387E-2</v>
      </c>
      <c r="D214">
        <v>4.4126807999999997E-2</v>
      </c>
      <c r="E214">
        <v>0.204802716</v>
      </c>
      <c r="F214">
        <v>1.9253840000000001E-2</v>
      </c>
      <c r="G214">
        <v>0.53553498799999999</v>
      </c>
      <c r="H214">
        <v>0.98336728299999998</v>
      </c>
      <c r="I214">
        <v>99.9</v>
      </c>
      <c r="J214">
        <f t="shared" si="18"/>
        <v>0.99900000000000011</v>
      </c>
      <c r="K214">
        <v>17.899999999999999</v>
      </c>
      <c r="L214">
        <f t="shared" si="19"/>
        <v>291.04999999999995</v>
      </c>
      <c r="M214">
        <v>125</v>
      </c>
      <c r="N214">
        <v>0.25</v>
      </c>
      <c r="O214" s="2">
        <f t="shared" si="20"/>
        <v>32.774193500000003</v>
      </c>
      <c r="P214">
        <f t="shared" si="21"/>
        <v>22.063403999999998</v>
      </c>
      <c r="Q214">
        <f t="shared" si="22"/>
        <v>1.3708766697205108</v>
      </c>
      <c r="R214">
        <f t="shared" si="23"/>
        <v>922.86651685931474</v>
      </c>
      <c r="S214">
        <v>0.61917394081716526</v>
      </c>
      <c r="T214">
        <v>27.5</v>
      </c>
      <c r="X214" s="1">
        <v>0.85643518518518524</v>
      </c>
    </row>
    <row r="215" spans="1:24" x14ac:dyDescent="0.25">
      <c r="A215" t="s">
        <v>240</v>
      </c>
      <c r="B215" s="1" t="s">
        <v>47</v>
      </c>
      <c r="C215">
        <v>0.21698331500000001</v>
      </c>
      <c r="D215">
        <v>7.8349276999999995E-2</v>
      </c>
      <c r="E215">
        <v>0.327327225</v>
      </c>
      <c r="F215">
        <v>8.3202931999999993E-2</v>
      </c>
      <c r="G215">
        <v>0.83182504400000001</v>
      </c>
      <c r="H215">
        <v>0.90893378800000002</v>
      </c>
      <c r="I215">
        <v>99.9</v>
      </c>
      <c r="J215">
        <f t="shared" si="18"/>
        <v>0.99900000000000011</v>
      </c>
      <c r="K215">
        <v>17.899999999999999</v>
      </c>
      <c r="L215">
        <f t="shared" si="19"/>
        <v>291.04999999999995</v>
      </c>
      <c r="M215">
        <v>125</v>
      </c>
      <c r="N215">
        <v>0.25</v>
      </c>
      <c r="O215" s="2">
        <f t="shared" si="20"/>
        <v>108.4916575</v>
      </c>
      <c r="P215">
        <f t="shared" si="21"/>
        <v>39.1746385</v>
      </c>
      <c r="Q215">
        <f t="shared" si="22"/>
        <v>4.5379814495224204</v>
      </c>
      <c r="R215">
        <f t="shared" si="23"/>
        <v>1638.59403479707</v>
      </c>
      <c r="S215">
        <v>0.61917394081716526</v>
      </c>
      <c r="T215">
        <v>27.5</v>
      </c>
      <c r="X215" s="1">
        <v>0.86077546296296292</v>
      </c>
    </row>
    <row r="216" spans="1:24" x14ac:dyDescent="0.25">
      <c r="A216" t="s">
        <v>241</v>
      </c>
      <c r="B216" s="1" t="s">
        <v>40</v>
      </c>
      <c r="C216">
        <v>0.204678532</v>
      </c>
      <c r="D216">
        <v>7.9234705000000002E-2</v>
      </c>
      <c r="E216">
        <v>0.64730368800000004</v>
      </c>
      <c r="F216">
        <v>7.8034187000000005E-2</v>
      </c>
      <c r="G216">
        <v>0.52950248600000005</v>
      </c>
      <c r="H216">
        <v>0.92066609600000004</v>
      </c>
      <c r="I216">
        <v>99.9</v>
      </c>
      <c r="J216">
        <f t="shared" si="18"/>
        <v>0.99900000000000011</v>
      </c>
      <c r="K216">
        <f>AVERAGE(19.6,18.8)</f>
        <v>19.200000000000003</v>
      </c>
      <c r="L216">
        <f t="shared" si="19"/>
        <v>292.34999999999997</v>
      </c>
      <c r="M216">
        <v>125</v>
      </c>
      <c r="N216">
        <v>0.25</v>
      </c>
      <c r="O216" s="2">
        <f t="shared" si="20"/>
        <v>102.33926599999999</v>
      </c>
      <c r="P216">
        <f t="shared" si="21"/>
        <v>39.617352500000003</v>
      </c>
      <c r="Q216">
        <f t="shared" si="22"/>
        <v>4.2616048223108738</v>
      </c>
      <c r="R216">
        <f t="shared" si="23"/>
        <v>1649.7431246105455</v>
      </c>
      <c r="S216">
        <v>0.79969530611354323</v>
      </c>
      <c r="T216">
        <f>AVERAGE(97,67.7)</f>
        <v>82.35</v>
      </c>
      <c r="X216" s="1">
        <v>0.82423611111111106</v>
      </c>
    </row>
    <row r="217" spans="1:24" x14ac:dyDescent="0.25">
      <c r="A217" t="s">
        <v>242</v>
      </c>
      <c r="B217" s="1" t="s">
        <v>40</v>
      </c>
      <c r="C217">
        <v>0.27405116800000001</v>
      </c>
      <c r="D217">
        <v>6.5877642E-2</v>
      </c>
      <c r="E217">
        <v>0.32242157700000001</v>
      </c>
      <c r="F217">
        <v>3.0793986999999998E-2</v>
      </c>
      <c r="G217">
        <v>0.890494962</v>
      </c>
      <c r="H217">
        <v>0.98095751099999995</v>
      </c>
      <c r="I217">
        <v>99.9</v>
      </c>
      <c r="J217">
        <f t="shared" si="18"/>
        <v>0.99900000000000011</v>
      </c>
      <c r="K217">
        <v>19.600000000000001</v>
      </c>
      <c r="L217">
        <f t="shared" si="19"/>
        <v>292.75</v>
      </c>
      <c r="M217">
        <v>125</v>
      </c>
      <c r="N217">
        <v>0.25</v>
      </c>
      <c r="O217" s="2">
        <f t="shared" si="20"/>
        <v>137.02558400000001</v>
      </c>
      <c r="P217">
        <f t="shared" si="21"/>
        <v>32.938820999999997</v>
      </c>
      <c r="Q217">
        <f t="shared" si="22"/>
        <v>5.6982137131960489</v>
      </c>
      <c r="R217">
        <f t="shared" si="23"/>
        <v>1369.7620257448416</v>
      </c>
      <c r="S217">
        <v>0.85461796324508965</v>
      </c>
      <c r="T217">
        <v>97</v>
      </c>
      <c r="X217" s="1">
        <v>0.80804398148148149</v>
      </c>
    </row>
    <row r="218" spans="1:24" x14ac:dyDescent="0.25">
      <c r="A218" t="s">
        <v>243</v>
      </c>
      <c r="B218" s="1" t="s">
        <v>40</v>
      </c>
      <c r="C218">
        <v>0.26761290300000001</v>
      </c>
      <c r="D218">
        <v>8.2120132999999998E-2</v>
      </c>
      <c r="E218">
        <v>0.31776434799999997</v>
      </c>
      <c r="F218">
        <v>9.6668975000000004E-2</v>
      </c>
      <c r="G218">
        <v>0.88868314299999995</v>
      </c>
      <c r="H218">
        <v>0.89038488100000002</v>
      </c>
      <c r="I218">
        <v>99.9</v>
      </c>
      <c r="J218">
        <f t="shared" si="18"/>
        <v>0.99900000000000011</v>
      </c>
      <c r="K218">
        <v>19.600000000000001</v>
      </c>
      <c r="L218">
        <f t="shared" si="19"/>
        <v>292.75</v>
      </c>
      <c r="M218">
        <v>125</v>
      </c>
      <c r="N218">
        <v>0.25</v>
      </c>
      <c r="O218" s="2">
        <f t="shared" si="20"/>
        <v>133.80645150000001</v>
      </c>
      <c r="P218">
        <f t="shared" si="21"/>
        <v>41.060066499999998</v>
      </c>
      <c r="Q218">
        <f t="shared" si="22"/>
        <v>5.5643459753574334</v>
      </c>
      <c r="R218">
        <f t="shared" si="23"/>
        <v>1707.4843045006958</v>
      </c>
      <c r="S218">
        <v>0.85461796324508965</v>
      </c>
      <c r="T218">
        <v>97</v>
      </c>
      <c r="X218" s="1">
        <v>0.81192129629629628</v>
      </c>
    </row>
    <row r="219" spans="1:24" x14ac:dyDescent="0.25">
      <c r="A219" t="s">
        <v>244</v>
      </c>
      <c r="B219" s="1" t="s">
        <v>40</v>
      </c>
      <c r="C219">
        <v>0.18730144600000001</v>
      </c>
      <c r="D219">
        <v>6.6907675E-2</v>
      </c>
      <c r="E219">
        <v>0.62693108200000003</v>
      </c>
      <c r="F219">
        <v>2.2626997999999999E-2</v>
      </c>
      <c r="G219">
        <v>0.50116562600000003</v>
      </c>
      <c r="H219">
        <v>0.98994159100000001</v>
      </c>
      <c r="I219">
        <v>99.9</v>
      </c>
      <c r="J219">
        <f t="shared" si="18"/>
        <v>0.99900000000000011</v>
      </c>
      <c r="K219">
        <v>19.600000000000001</v>
      </c>
      <c r="L219">
        <f t="shared" si="19"/>
        <v>292.75</v>
      </c>
      <c r="M219">
        <v>125</v>
      </c>
      <c r="N219">
        <v>0.25</v>
      </c>
      <c r="O219" s="2">
        <f t="shared" si="20"/>
        <v>93.650722999999999</v>
      </c>
      <c r="P219">
        <f t="shared" si="21"/>
        <v>33.453837499999999</v>
      </c>
      <c r="Q219">
        <f t="shared" si="22"/>
        <v>3.894468598282526</v>
      </c>
      <c r="R219">
        <f t="shared" si="23"/>
        <v>1391.1790049479532</v>
      </c>
      <c r="S219">
        <v>0.85461796324508965</v>
      </c>
      <c r="T219">
        <v>97</v>
      </c>
      <c r="X219" s="1">
        <v>0.81598379629629625</v>
      </c>
    </row>
    <row r="220" spans="1:24" x14ac:dyDescent="0.25">
      <c r="A220" t="s">
        <v>245</v>
      </c>
      <c r="B220" s="1" t="s">
        <v>40</v>
      </c>
      <c r="C220">
        <v>0.228803115</v>
      </c>
      <c r="D220">
        <v>8.3870969999999996E-3</v>
      </c>
      <c r="E220">
        <v>0.29993684999999998</v>
      </c>
      <c r="F220">
        <v>1.2213135E-2</v>
      </c>
      <c r="G220">
        <v>0.867551034</v>
      </c>
      <c r="H220">
        <v>0.84147740100000001</v>
      </c>
      <c r="I220">
        <v>99.9</v>
      </c>
      <c r="J220">
        <f t="shared" si="18"/>
        <v>0.99900000000000011</v>
      </c>
      <c r="K220">
        <v>17.3</v>
      </c>
      <c r="L220">
        <f t="shared" si="19"/>
        <v>290.45</v>
      </c>
      <c r="M220">
        <v>125</v>
      </c>
      <c r="N220">
        <v>0.25</v>
      </c>
      <c r="O220" s="2">
        <f t="shared" si="20"/>
        <v>114.4015575</v>
      </c>
      <c r="P220">
        <f t="shared" si="21"/>
        <v>4.1935484999999995</v>
      </c>
      <c r="Q220">
        <f t="shared" si="22"/>
        <v>4.7950653669600163</v>
      </c>
      <c r="R220">
        <f t="shared" si="23"/>
        <v>175.7698025834755</v>
      </c>
      <c r="S220">
        <v>0.58451998188177101</v>
      </c>
      <c r="T220">
        <v>25.6</v>
      </c>
      <c r="X220" s="1">
        <v>0.89413194444444455</v>
      </c>
    </row>
    <row r="221" spans="1:24" x14ac:dyDescent="0.25">
      <c r="A221" t="s">
        <v>246</v>
      </c>
      <c r="B221" s="1" t="s">
        <v>40</v>
      </c>
      <c r="C221">
        <v>6.0409343999999997E-2</v>
      </c>
      <c r="D221">
        <v>7.4304779999999999E-3</v>
      </c>
      <c r="E221">
        <v>0.27351360000000002</v>
      </c>
      <c r="F221">
        <v>1.4409329E-2</v>
      </c>
      <c r="G221">
        <v>0.35445397099999998</v>
      </c>
      <c r="H221">
        <v>0.74957104399999996</v>
      </c>
      <c r="I221">
        <v>99.9</v>
      </c>
      <c r="J221">
        <f t="shared" si="18"/>
        <v>0.99900000000000011</v>
      </c>
      <c r="K221">
        <v>17.3</v>
      </c>
      <c r="L221">
        <f t="shared" si="19"/>
        <v>290.45</v>
      </c>
      <c r="M221">
        <v>125</v>
      </c>
      <c r="N221">
        <v>0.25</v>
      </c>
      <c r="O221" s="2">
        <f t="shared" si="20"/>
        <v>30.204671999999999</v>
      </c>
      <c r="P221">
        <f t="shared" si="21"/>
        <v>3.715239</v>
      </c>
      <c r="Q221">
        <f t="shared" si="22"/>
        <v>1.2660087833820524</v>
      </c>
      <c r="R221">
        <f t="shared" si="23"/>
        <v>155.72177729205447</v>
      </c>
      <c r="S221">
        <v>0.58451998188177101</v>
      </c>
      <c r="T221">
        <v>25.6</v>
      </c>
      <c r="X221" s="1">
        <v>0.89856481481481476</v>
      </c>
    </row>
    <row r="222" spans="1:24" x14ac:dyDescent="0.25">
      <c r="A222" t="s">
        <v>247</v>
      </c>
      <c r="B222" s="1" t="s">
        <v>40</v>
      </c>
      <c r="C222">
        <v>0.16540600699999999</v>
      </c>
      <c r="D222">
        <v>1.9637374999999999E-2</v>
      </c>
      <c r="E222">
        <v>0.24068267300000001</v>
      </c>
      <c r="F222">
        <v>1.722475E-2</v>
      </c>
      <c r="G222">
        <v>0.84167506599999997</v>
      </c>
      <c r="H222">
        <v>0.93602032499999999</v>
      </c>
      <c r="I222">
        <v>99.9</v>
      </c>
      <c r="J222">
        <f t="shared" si="18"/>
        <v>0.99900000000000011</v>
      </c>
      <c r="K222">
        <v>17.600000000000001</v>
      </c>
      <c r="L222">
        <f t="shared" si="19"/>
        <v>290.75</v>
      </c>
      <c r="M222">
        <v>125</v>
      </c>
      <c r="N222">
        <v>0.25</v>
      </c>
      <c r="O222" s="2">
        <f t="shared" si="20"/>
        <v>82.703003499999994</v>
      </c>
      <c r="P222">
        <f t="shared" si="21"/>
        <v>9.8186874999999993</v>
      </c>
      <c r="Q222">
        <f t="shared" si="22"/>
        <v>3.4628647870431828</v>
      </c>
      <c r="R222">
        <f t="shared" si="23"/>
        <v>411.11913424923023</v>
      </c>
      <c r="S222">
        <v>0.60164000276578866</v>
      </c>
      <c r="T222">
        <v>40.299999999999997</v>
      </c>
      <c r="X222" s="1">
        <v>0.8784953703703704</v>
      </c>
    </row>
    <row r="223" spans="1:24" x14ac:dyDescent="0.25">
      <c r="A223" t="s">
        <v>248</v>
      </c>
      <c r="B223" s="1" t="s">
        <v>40</v>
      </c>
      <c r="C223">
        <v>0.201216908</v>
      </c>
      <c r="D223">
        <v>4.7532814E-2</v>
      </c>
      <c r="E223">
        <v>0.216568073</v>
      </c>
      <c r="F223">
        <v>1.4752538000000001E-2</v>
      </c>
      <c r="G223">
        <v>0.90668838100000004</v>
      </c>
      <c r="H223">
        <v>0.99151477399999999</v>
      </c>
      <c r="I223">
        <v>99.9</v>
      </c>
      <c r="J223">
        <f t="shared" si="18"/>
        <v>0.99900000000000011</v>
      </c>
      <c r="K223">
        <v>17.600000000000001</v>
      </c>
      <c r="L223">
        <f t="shared" si="19"/>
        <v>290.75</v>
      </c>
      <c r="M223">
        <v>125</v>
      </c>
      <c r="N223">
        <v>0.25</v>
      </c>
      <c r="O223" s="2">
        <f t="shared" si="20"/>
        <v>100.60845399999999</v>
      </c>
      <c r="P223">
        <f t="shared" si="21"/>
        <v>23.766407000000001</v>
      </c>
      <c r="Q223">
        <f t="shared" si="22"/>
        <v>4.2125854913534537</v>
      </c>
      <c r="R223">
        <f t="shared" si="23"/>
        <v>995.12533320312389</v>
      </c>
      <c r="S223">
        <v>0.60164000276578866</v>
      </c>
      <c r="T223">
        <v>40.299999999999997</v>
      </c>
      <c r="X223" s="1">
        <v>0.88289351851851849</v>
      </c>
    </row>
    <row r="224" spans="1:24" x14ac:dyDescent="0.25">
      <c r="A224" t="s">
        <v>249</v>
      </c>
      <c r="B224" s="1" t="s">
        <v>40</v>
      </c>
      <c r="C224">
        <v>0.38600667399999999</v>
      </c>
      <c r="D224">
        <v>4.8849833000000002E-2</v>
      </c>
      <c r="E224">
        <v>0.36177595699999998</v>
      </c>
      <c r="F224">
        <v>2.2879588999999999E-2</v>
      </c>
      <c r="G224">
        <v>0.92761086999999998</v>
      </c>
      <c r="H224">
        <v>0.98088362699999998</v>
      </c>
      <c r="I224">
        <v>99.9</v>
      </c>
      <c r="J224">
        <f t="shared" si="18"/>
        <v>0.99900000000000011</v>
      </c>
      <c r="K224">
        <f>AVERAGE(17.6,17.3)</f>
        <v>17.450000000000003</v>
      </c>
      <c r="L224">
        <f t="shared" si="19"/>
        <v>290.59999999999997</v>
      </c>
      <c r="M224">
        <v>125</v>
      </c>
      <c r="N224">
        <v>0.25</v>
      </c>
      <c r="O224" s="2">
        <f t="shared" si="20"/>
        <v>193.00333699999999</v>
      </c>
      <c r="P224">
        <f t="shared" si="21"/>
        <v>24.424916500000002</v>
      </c>
      <c r="Q224">
        <f t="shared" si="22"/>
        <v>8.0854311552790943</v>
      </c>
      <c r="R224">
        <f t="shared" si="23"/>
        <v>1023.2257322793879</v>
      </c>
      <c r="S224">
        <v>0.59302876855129538</v>
      </c>
      <c r="T224">
        <f>AVERAGE(40.3,25.6)</f>
        <v>32.950000000000003</v>
      </c>
      <c r="X224" s="1">
        <v>0.88671296296296298</v>
      </c>
    </row>
    <row r="225" spans="1:24" x14ac:dyDescent="0.25">
      <c r="A225" t="s">
        <v>250</v>
      </c>
      <c r="B225" s="1" t="s">
        <v>25</v>
      </c>
      <c r="C225">
        <v>7.0901000000000002E-3</v>
      </c>
      <c r="D225">
        <v>9.8709680000000008E-3</v>
      </c>
      <c r="E225">
        <v>0.23824531500000001</v>
      </c>
      <c r="F225">
        <v>1.1106235000000001E-2</v>
      </c>
      <c r="G225">
        <v>9.8703000000000003E-3</v>
      </c>
      <c r="H225">
        <v>0.89890163199999995</v>
      </c>
      <c r="I225">
        <v>99.9</v>
      </c>
      <c r="J225">
        <f t="shared" si="18"/>
        <v>0.99900000000000011</v>
      </c>
      <c r="K225">
        <v>7.3</v>
      </c>
      <c r="L225">
        <f t="shared" si="19"/>
        <v>280.45</v>
      </c>
      <c r="M225">
        <v>125</v>
      </c>
      <c r="N225">
        <v>0.25</v>
      </c>
      <c r="O225" s="2">
        <f t="shared" si="20"/>
        <v>3.5450500000000003</v>
      </c>
      <c r="P225">
        <f t="shared" si="21"/>
        <v>4.9354840000000006</v>
      </c>
      <c r="Q225">
        <f t="shared" si="22"/>
        <v>0.15388663253022863</v>
      </c>
      <c r="R225">
        <f t="shared" si="23"/>
        <v>214.24380831492448</v>
      </c>
      <c r="S225">
        <v>0.12069449036675761</v>
      </c>
      <c r="T225">
        <v>58.6</v>
      </c>
      <c r="X225" s="1">
        <v>0.82856481481481481</v>
      </c>
    </row>
    <row r="226" spans="1:24" x14ac:dyDescent="0.25">
      <c r="A226" t="s">
        <v>251</v>
      </c>
      <c r="B226" s="1" t="s">
        <v>25</v>
      </c>
      <c r="C226">
        <v>0.20215572900000001</v>
      </c>
      <c r="D226">
        <v>1.0427140999999999E-2</v>
      </c>
      <c r="E226">
        <v>0.22901333199999999</v>
      </c>
      <c r="F226">
        <v>1.294441E-2</v>
      </c>
      <c r="G226">
        <v>0.89765288399999998</v>
      </c>
      <c r="H226">
        <v>0.87957306000000002</v>
      </c>
      <c r="I226">
        <v>99.9</v>
      </c>
      <c r="J226">
        <f t="shared" si="18"/>
        <v>0.99900000000000011</v>
      </c>
      <c r="K226">
        <v>7.5</v>
      </c>
      <c r="L226">
        <f t="shared" si="19"/>
        <v>280.64999999999998</v>
      </c>
      <c r="M226">
        <v>125</v>
      </c>
      <c r="N226">
        <v>0.25</v>
      </c>
      <c r="O226" s="2">
        <f t="shared" si="20"/>
        <v>101.0778645</v>
      </c>
      <c r="P226">
        <f t="shared" si="21"/>
        <v>5.2135704999999994</v>
      </c>
      <c r="Q226">
        <f t="shared" si="22"/>
        <v>4.3845495954453444</v>
      </c>
      <c r="R226">
        <f t="shared" si="23"/>
        <v>226.15395111162817</v>
      </c>
      <c r="S226">
        <v>0.11419950141778323</v>
      </c>
      <c r="T226">
        <v>42.1</v>
      </c>
      <c r="X226" s="1">
        <v>0.80886574074074069</v>
      </c>
    </row>
    <row r="227" spans="1:24" x14ac:dyDescent="0.25">
      <c r="A227" t="s">
        <v>252</v>
      </c>
      <c r="B227" s="1" t="s">
        <v>25</v>
      </c>
      <c r="C227">
        <v>0.224002225</v>
      </c>
      <c r="D227">
        <v>1.3773081E-2</v>
      </c>
      <c r="E227">
        <v>0.30005679499999999</v>
      </c>
      <c r="F227">
        <v>1.1797579000000001E-2</v>
      </c>
      <c r="G227">
        <v>0.86250643699999996</v>
      </c>
      <c r="H227">
        <v>0.93880490100000002</v>
      </c>
      <c r="I227">
        <v>99.9</v>
      </c>
      <c r="J227">
        <f t="shared" si="18"/>
        <v>0.99900000000000011</v>
      </c>
      <c r="K227">
        <v>7.5</v>
      </c>
      <c r="L227">
        <f t="shared" si="19"/>
        <v>280.64999999999998</v>
      </c>
      <c r="M227">
        <v>125</v>
      </c>
      <c r="N227">
        <v>0.25</v>
      </c>
      <c r="O227" s="2">
        <f t="shared" si="20"/>
        <v>112.0011125</v>
      </c>
      <c r="P227">
        <f t="shared" si="21"/>
        <v>6.8865404999999997</v>
      </c>
      <c r="Q227">
        <f t="shared" si="22"/>
        <v>4.8583775976124173</v>
      </c>
      <c r="R227">
        <f t="shared" si="23"/>
        <v>298.72394428448746</v>
      </c>
      <c r="S227">
        <v>0.11419950141778323</v>
      </c>
      <c r="T227">
        <v>42.1</v>
      </c>
      <c r="X227" s="1">
        <v>0.81275462962962963</v>
      </c>
    </row>
    <row r="228" spans="1:24" x14ac:dyDescent="0.25">
      <c r="A228" t="s">
        <v>253</v>
      </c>
      <c r="B228" s="1" t="s">
        <v>25</v>
      </c>
      <c r="C228">
        <v>9.7962179999999996E-2</v>
      </c>
      <c r="D228">
        <v>1.6525028000000001E-2</v>
      </c>
      <c r="E228">
        <v>0.21159899400000001</v>
      </c>
      <c r="F228">
        <v>1.4717022E-2</v>
      </c>
      <c r="G228">
        <v>0.70696190699999995</v>
      </c>
      <c r="H228">
        <v>0.93417349800000005</v>
      </c>
      <c r="I228">
        <v>99.9</v>
      </c>
      <c r="J228">
        <f t="shared" si="18"/>
        <v>0.99900000000000011</v>
      </c>
      <c r="K228">
        <v>7.5</v>
      </c>
      <c r="L228">
        <f t="shared" si="19"/>
        <v>280.64999999999998</v>
      </c>
      <c r="M228">
        <v>125</v>
      </c>
      <c r="N228">
        <v>0.25</v>
      </c>
      <c r="O228" s="2">
        <f t="shared" si="20"/>
        <v>48.981089999999995</v>
      </c>
      <c r="P228">
        <f t="shared" si="21"/>
        <v>8.2625139999999995</v>
      </c>
      <c r="Q228">
        <f t="shared" si="22"/>
        <v>2.1246988092429668</v>
      </c>
      <c r="R228">
        <f t="shared" si="23"/>
        <v>358.41084094195014</v>
      </c>
      <c r="S228">
        <v>0.11419950141778323</v>
      </c>
      <c r="T228">
        <v>42.1</v>
      </c>
      <c r="X228" s="1">
        <v>0.8200925925925926</v>
      </c>
    </row>
    <row r="229" spans="1:24" x14ac:dyDescent="0.25">
      <c r="A229" t="s">
        <v>254</v>
      </c>
      <c r="B229" s="1" t="s">
        <v>25</v>
      </c>
      <c r="C229">
        <v>-3.3014461000000002E-2</v>
      </c>
      <c r="D229">
        <v>1.0765294999999999E-2</v>
      </c>
      <c r="E229">
        <v>0.94412440900000005</v>
      </c>
      <c r="F229">
        <v>1.8593508000000002E-2</v>
      </c>
      <c r="G229">
        <v>1.357674E-2</v>
      </c>
      <c r="H229">
        <v>0.79049754800000005</v>
      </c>
      <c r="I229">
        <v>99.9</v>
      </c>
      <c r="J229">
        <f t="shared" si="18"/>
        <v>0.99900000000000011</v>
      </c>
      <c r="K229">
        <v>6</v>
      </c>
      <c r="L229">
        <f t="shared" si="19"/>
        <v>279.14999999999998</v>
      </c>
      <c r="M229">
        <v>125</v>
      </c>
      <c r="N229">
        <v>0.25</v>
      </c>
      <c r="O229" s="2">
        <f t="shared" si="20"/>
        <v>-16.507230500000002</v>
      </c>
      <c r="P229">
        <f t="shared" si="21"/>
        <v>5.3826475</v>
      </c>
      <c r="Q229">
        <f t="shared" si="22"/>
        <v>-0.71989732372336601</v>
      </c>
      <c r="R229">
        <f t="shared" si="23"/>
        <v>234.74280133159019</v>
      </c>
      <c r="S229">
        <v>8.3695693979624952E-2</v>
      </c>
      <c r="T229">
        <v>14.6</v>
      </c>
      <c r="X229" s="1">
        <v>0.89173611111111117</v>
      </c>
    </row>
    <row r="230" spans="1:24" x14ac:dyDescent="0.25">
      <c r="A230" t="s">
        <v>255</v>
      </c>
      <c r="B230" s="1" t="s">
        <v>25</v>
      </c>
      <c r="C230">
        <v>-0.13760845399999999</v>
      </c>
      <c r="D230">
        <v>6.3559510000000003E-3</v>
      </c>
      <c r="E230">
        <v>1.844310823</v>
      </c>
      <c r="F230">
        <v>9.9936609999999992E-3</v>
      </c>
      <c r="G230">
        <v>5.8967009000000001E-2</v>
      </c>
      <c r="H230">
        <v>0.819915964</v>
      </c>
      <c r="I230">
        <v>99.9</v>
      </c>
      <c r="J230">
        <f t="shared" si="18"/>
        <v>0.99900000000000011</v>
      </c>
      <c r="K230">
        <v>6</v>
      </c>
      <c r="L230">
        <f t="shared" si="19"/>
        <v>279.14999999999998</v>
      </c>
      <c r="M230">
        <v>125</v>
      </c>
      <c r="N230">
        <v>0.25</v>
      </c>
      <c r="O230" s="2">
        <f t="shared" si="20"/>
        <v>-68.804226999999997</v>
      </c>
      <c r="P230">
        <f t="shared" si="21"/>
        <v>3.1779755000000001</v>
      </c>
      <c r="Q230">
        <f t="shared" si="22"/>
        <v>-3.0006232043682282</v>
      </c>
      <c r="R230">
        <f t="shared" si="23"/>
        <v>138.59478471015629</v>
      </c>
      <c r="S230">
        <v>8.3695693979624952E-2</v>
      </c>
      <c r="T230">
        <v>14.6</v>
      </c>
      <c r="X230" s="1">
        <v>0.89635416666666667</v>
      </c>
    </row>
    <row r="231" spans="1:24" x14ac:dyDescent="0.25">
      <c r="A231" t="s">
        <v>256</v>
      </c>
      <c r="B231" s="1" t="s">
        <v>25</v>
      </c>
      <c r="C231">
        <v>-0.18212013299999999</v>
      </c>
      <c r="D231">
        <v>1.3265851E-2</v>
      </c>
      <c r="E231">
        <v>1.765769583</v>
      </c>
      <c r="F231">
        <v>1.3317934E-2</v>
      </c>
      <c r="G231">
        <v>0.106933527</v>
      </c>
      <c r="H231">
        <v>0.91781780599999996</v>
      </c>
      <c r="I231">
        <v>99.9</v>
      </c>
      <c r="J231">
        <f t="shared" si="18"/>
        <v>0.99900000000000011</v>
      </c>
      <c r="K231">
        <v>6.7</v>
      </c>
      <c r="L231">
        <f t="shared" si="19"/>
        <v>279.84999999999997</v>
      </c>
      <c r="M231">
        <v>125</v>
      </c>
      <c r="N231">
        <v>0.25</v>
      </c>
      <c r="O231" s="2">
        <f t="shared" si="20"/>
        <v>-91.060066499999991</v>
      </c>
      <c r="P231">
        <f t="shared" si="21"/>
        <v>6.6329254999999998</v>
      </c>
      <c r="Q231">
        <f t="shared" si="22"/>
        <v>-3.9612899076883532</v>
      </c>
      <c r="R231">
        <f t="shared" si="23"/>
        <v>288.54515323244055</v>
      </c>
      <c r="S231">
        <v>0.10617477514356088</v>
      </c>
      <c r="T231">
        <f>AVERAGE(36.6,23.5)</f>
        <v>30.05</v>
      </c>
      <c r="X231" s="1">
        <v>0.86217592592592596</v>
      </c>
    </row>
    <row r="232" spans="1:24" x14ac:dyDescent="0.25">
      <c r="A232" t="s">
        <v>257</v>
      </c>
      <c r="B232" s="1" t="s">
        <v>25</v>
      </c>
      <c r="C232">
        <v>-0.103299221</v>
      </c>
      <c r="D232">
        <v>1.6749722000000002E-2</v>
      </c>
      <c r="E232">
        <v>1.460628152</v>
      </c>
      <c r="F232">
        <v>2.0165157E-2</v>
      </c>
      <c r="G232">
        <v>5.3297929000000001E-2</v>
      </c>
      <c r="H232">
        <v>0.88592215500000004</v>
      </c>
      <c r="I232">
        <v>99.9</v>
      </c>
      <c r="J232">
        <f t="shared" si="18"/>
        <v>0.99900000000000011</v>
      </c>
      <c r="K232">
        <v>7</v>
      </c>
      <c r="L232">
        <f t="shared" si="19"/>
        <v>280.14999999999998</v>
      </c>
      <c r="M232">
        <v>125</v>
      </c>
      <c r="N232">
        <v>0.25</v>
      </c>
      <c r="O232" s="2">
        <f t="shared" si="20"/>
        <v>-51.649610500000001</v>
      </c>
      <c r="P232">
        <f t="shared" si="21"/>
        <v>8.374861000000001</v>
      </c>
      <c r="Q232">
        <f t="shared" si="22"/>
        <v>-2.2444524008955726</v>
      </c>
      <c r="R232">
        <f t="shared" si="23"/>
        <v>363.93259690925839</v>
      </c>
      <c r="S232">
        <v>0.11725333680873296</v>
      </c>
      <c r="T232">
        <f>AVERAGE(36.6,47.6)</f>
        <v>42.1</v>
      </c>
      <c r="X232" s="1">
        <v>0.84392361111111114</v>
      </c>
    </row>
    <row r="233" spans="1:24" x14ac:dyDescent="0.25">
      <c r="A233" t="s">
        <v>258</v>
      </c>
      <c r="B233" s="1" t="s">
        <v>25</v>
      </c>
      <c r="C233">
        <v>9.2369300000000008E-3</v>
      </c>
      <c r="D233">
        <v>1.1377086E-2</v>
      </c>
      <c r="E233">
        <v>1.012625568</v>
      </c>
      <c r="F233">
        <v>2.2693991E-2</v>
      </c>
      <c r="G233">
        <v>9.3569300000000003E-4</v>
      </c>
      <c r="H233">
        <v>0.73883058499999998</v>
      </c>
      <c r="I233">
        <v>99.9</v>
      </c>
      <c r="J233">
        <f t="shared" si="18"/>
        <v>0.99900000000000011</v>
      </c>
      <c r="K233">
        <v>6.9</v>
      </c>
      <c r="L233">
        <f t="shared" si="19"/>
        <v>280.04999999999995</v>
      </c>
      <c r="M233">
        <v>125</v>
      </c>
      <c r="N233">
        <v>0.25</v>
      </c>
      <c r="O233" s="2">
        <f t="shared" si="20"/>
        <v>4.6184650000000005</v>
      </c>
      <c r="P233">
        <f t="shared" si="21"/>
        <v>5.6885430000000001</v>
      </c>
      <c r="Q233">
        <f t="shared" si="22"/>
        <v>0.20076872240398919</v>
      </c>
      <c r="R233">
        <f t="shared" si="23"/>
        <v>247.28595116562661</v>
      </c>
      <c r="S233">
        <v>0.11253699196832689</v>
      </c>
      <c r="T233">
        <v>36.6</v>
      </c>
      <c r="X233" s="1">
        <v>0.8485300925925926</v>
      </c>
    </row>
    <row r="234" spans="1:24" x14ac:dyDescent="0.25">
      <c r="A234" t="s">
        <v>259</v>
      </c>
      <c r="B234" s="1" t="s">
        <v>25</v>
      </c>
      <c r="C234">
        <v>0.2698198</v>
      </c>
      <c r="D234">
        <v>1.2985539000000001E-2</v>
      </c>
      <c r="E234">
        <v>0.96351902</v>
      </c>
      <c r="F234">
        <v>1.0523785000000001E-2</v>
      </c>
      <c r="G234">
        <v>0.46884573400000001</v>
      </c>
      <c r="H234">
        <v>0.94486691499999997</v>
      </c>
      <c r="I234">
        <v>99.9</v>
      </c>
      <c r="J234">
        <f t="shared" si="18"/>
        <v>0.99900000000000011</v>
      </c>
      <c r="K234">
        <v>6.9</v>
      </c>
      <c r="L234">
        <f t="shared" si="19"/>
        <v>280.04999999999995</v>
      </c>
      <c r="M234">
        <v>125</v>
      </c>
      <c r="N234">
        <v>0.25</v>
      </c>
      <c r="O234" s="2">
        <f t="shared" si="20"/>
        <v>134.90989999999999</v>
      </c>
      <c r="P234">
        <f t="shared" si="21"/>
        <v>6.4927695000000005</v>
      </c>
      <c r="Q234">
        <f t="shared" si="22"/>
        <v>5.8646516240027653</v>
      </c>
      <c r="R234">
        <f t="shared" si="23"/>
        <v>282.24638215913461</v>
      </c>
      <c r="S234">
        <v>0.11253699196832689</v>
      </c>
      <c r="T234">
        <v>36.6</v>
      </c>
      <c r="X234" s="1">
        <v>0.85306712962962961</v>
      </c>
    </row>
    <row r="235" spans="1:24" x14ac:dyDescent="0.25">
      <c r="A235" t="s">
        <v>260</v>
      </c>
      <c r="B235" s="1" t="s">
        <v>25</v>
      </c>
      <c r="C235">
        <v>0.25027586200000002</v>
      </c>
      <c r="D235">
        <v>1.0249166000000001E-2</v>
      </c>
      <c r="E235">
        <v>3.6763394370000002</v>
      </c>
      <c r="F235">
        <v>1.4361074E-2</v>
      </c>
      <c r="G235">
        <v>4.9579785000000001E-2</v>
      </c>
      <c r="H235">
        <v>0.85147882100000005</v>
      </c>
      <c r="I235">
        <v>99.9</v>
      </c>
      <c r="J235">
        <f t="shared" si="18"/>
        <v>0.99900000000000011</v>
      </c>
      <c r="K235">
        <v>6.9</v>
      </c>
      <c r="L235">
        <f t="shared" si="19"/>
        <v>280.04999999999995</v>
      </c>
      <c r="M235">
        <v>125</v>
      </c>
      <c r="N235">
        <v>0.25</v>
      </c>
      <c r="O235" s="2">
        <f t="shared" si="20"/>
        <v>125.13793100000001</v>
      </c>
      <c r="P235">
        <f t="shared" si="21"/>
        <v>5.1245830000000003</v>
      </c>
      <c r="Q235">
        <f t="shared" si="22"/>
        <v>5.4398555648139704</v>
      </c>
      <c r="R235">
        <f t="shared" si="23"/>
        <v>222.77011556073325</v>
      </c>
      <c r="S235">
        <v>0.11253699196832689</v>
      </c>
      <c r="T235">
        <v>36.6</v>
      </c>
      <c r="X235" s="1">
        <v>0.85804398148148142</v>
      </c>
    </row>
    <row r="236" spans="1:24" x14ac:dyDescent="0.25">
      <c r="A236" t="s">
        <v>261</v>
      </c>
      <c r="B236" s="1" t="s">
        <v>40</v>
      </c>
      <c r="C236">
        <v>-4.4451613000000001E-2</v>
      </c>
      <c r="D236">
        <v>2.4731923999999999E-2</v>
      </c>
      <c r="E236">
        <v>4.5020501739999998</v>
      </c>
      <c r="F236">
        <v>2.2277271000000001E-2</v>
      </c>
      <c r="G236">
        <v>1.096126E-3</v>
      </c>
      <c r="H236">
        <v>0.93276460100000003</v>
      </c>
      <c r="I236">
        <v>99.9</v>
      </c>
      <c r="J236">
        <f t="shared" si="18"/>
        <v>0.99900000000000011</v>
      </c>
      <c r="K236">
        <v>7.6</v>
      </c>
      <c r="L236">
        <f t="shared" si="19"/>
        <v>280.75</v>
      </c>
      <c r="M236">
        <v>125</v>
      </c>
      <c r="N236">
        <v>0.25</v>
      </c>
      <c r="O236" s="2">
        <f t="shared" si="20"/>
        <v>-22.225806500000001</v>
      </c>
      <c r="P236">
        <f t="shared" si="21"/>
        <v>12.365962</v>
      </c>
      <c r="Q236">
        <f t="shared" si="22"/>
        <v>-0.96376630758416049</v>
      </c>
      <c r="R236">
        <f t="shared" si="23"/>
        <v>536.21890105387354</v>
      </c>
      <c r="S236">
        <v>8.2130143119239052E-2</v>
      </c>
      <c r="T236">
        <f>AVERAGE(87.9,97)</f>
        <v>92.45</v>
      </c>
      <c r="X236" s="1">
        <v>0.78399305555555554</v>
      </c>
    </row>
    <row r="237" spans="1:24" x14ac:dyDescent="0.25">
      <c r="A237" t="s">
        <v>262</v>
      </c>
      <c r="B237" s="1" t="s">
        <v>40</v>
      </c>
      <c r="C237">
        <v>4.9256952E-2</v>
      </c>
      <c r="D237">
        <v>4.8387100000000004E-3</v>
      </c>
      <c r="E237">
        <v>0.27428731099999998</v>
      </c>
      <c r="F237">
        <v>1.0524261E-2</v>
      </c>
      <c r="G237">
        <v>0.266323951</v>
      </c>
      <c r="H237">
        <v>0.70408502399999995</v>
      </c>
      <c r="I237">
        <v>99.9</v>
      </c>
      <c r="J237">
        <f t="shared" si="18"/>
        <v>0.99900000000000011</v>
      </c>
      <c r="K237">
        <v>7.3</v>
      </c>
      <c r="L237">
        <f t="shared" si="19"/>
        <v>280.45</v>
      </c>
      <c r="M237">
        <v>125</v>
      </c>
      <c r="N237">
        <v>0.25</v>
      </c>
      <c r="O237" s="2">
        <f t="shared" si="20"/>
        <v>24.628475999999999</v>
      </c>
      <c r="P237">
        <f t="shared" si="21"/>
        <v>2.4193550000000004</v>
      </c>
      <c r="Q237">
        <f t="shared" si="22"/>
        <v>1.0690944375937026</v>
      </c>
      <c r="R237">
        <f t="shared" si="23"/>
        <v>105.02147891995072</v>
      </c>
      <c r="S237">
        <v>6.1353032603101876E-2</v>
      </c>
      <c r="T237">
        <v>87.9</v>
      </c>
      <c r="X237" s="1">
        <v>0.79695601851851849</v>
      </c>
    </row>
    <row r="238" spans="1:24" x14ac:dyDescent="0.25">
      <c r="A238" t="s">
        <v>263</v>
      </c>
      <c r="B238" s="1" t="s">
        <v>25</v>
      </c>
      <c r="C238">
        <v>0.25271857599999997</v>
      </c>
      <c r="D238">
        <v>9.3570630000000005E-3</v>
      </c>
      <c r="E238">
        <v>0.53598099300000002</v>
      </c>
      <c r="F238">
        <v>1.1101358E-2</v>
      </c>
      <c r="G238">
        <v>0.71448200100000003</v>
      </c>
      <c r="H238">
        <v>0.88884776300000001</v>
      </c>
      <c r="I238">
        <v>99.9</v>
      </c>
      <c r="J238">
        <f t="shared" si="18"/>
        <v>0.99900000000000011</v>
      </c>
      <c r="K238">
        <f>AVERAGE(13.6,14.3)</f>
        <v>13.95</v>
      </c>
      <c r="L238">
        <f t="shared" si="19"/>
        <v>287.09999999999997</v>
      </c>
      <c r="M238">
        <v>125</v>
      </c>
      <c r="N238">
        <v>0.25</v>
      </c>
      <c r="O238" s="2">
        <f t="shared" si="20"/>
        <v>126.35928799999999</v>
      </c>
      <c r="P238">
        <f t="shared" si="21"/>
        <v>4.6785315000000001</v>
      </c>
      <c r="Q238">
        <f t="shared" si="22"/>
        <v>5.3580646961432778</v>
      </c>
      <c r="R238">
        <f t="shared" si="23"/>
        <v>198.38568938394346</v>
      </c>
      <c r="S238">
        <v>0.11985979317602458</v>
      </c>
      <c r="T238">
        <f>AVERAGE(230.7,234.4)</f>
        <v>232.55</v>
      </c>
      <c r="X238" s="1">
        <v>0.71687499999999993</v>
      </c>
    </row>
    <row r="239" spans="1:24" x14ac:dyDescent="0.25">
      <c r="A239" t="s">
        <v>264</v>
      </c>
      <c r="B239" s="1" t="s">
        <v>25</v>
      </c>
      <c r="C239">
        <v>0.25456284800000001</v>
      </c>
      <c r="D239">
        <v>9.3570630000000005E-3</v>
      </c>
      <c r="E239">
        <v>1.4359465950000001</v>
      </c>
      <c r="F239">
        <v>1.3266247E-2</v>
      </c>
      <c r="G239">
        <v>0.26131084500000001</v>
      </c>
      <c r="H239">
        <v>0.84847810999999995</v>
      </c>
      <c r="I239">
        <v>99.9</v>
      </c>
      <c r="J239">
        <f t="shared" si="18"/>
        <v>0.99900000000000011</v>
      </c>
      <c r="K239">
        <v>13.6</v>
      </c>
      <c r="L239">
        <f t="shared" si="19"/>
        <v>286.75</v>
      </c>
      <c r="M239">
        <v>125</v>
      </c>
      <c r="N239">
        <v>0.25</v>
      </c>
      <c r="O239" s="2">
        <f t="shared" si="20"/>
        <v>127.281424</v>
      </c>
      <c r="P239">
        <f t="shared" si="21"/>
        <v>4.6785315000000001</v>
      </c>
      <c r="Q239">
        <f t="shared" si="22"/>
        <v>5.4037540556477177</v>
      </c>
      <c r="R239">
        <f t="shared" si="23"/>
        <v>198.62783407891948</v>
      </c>
      <c r="S239">
        <v>9.4956062673544839E-2</v>
      </c>
      <c r="T239">
        <v>230.7</v>
      </c>
      <c r="X239" s="1">
        <v>0.71074074074074067</v>
      </c>
    </row>
    <row r="240" spans="1:24" x14ac:dyDescent="0.25">
      <c r="A240" t="s">
        <v>265</v>
      </c>
      <c r="B240" s="1" t="s">
        <v>25</v>
      </c>
      <c r="C240">
        <v>-9.3726362999999993E-2</v>
      </c>
      <c r="D240">
        <v>9.5572859999999999E-3</v>
      </c>
      <c r="E240">
        <v>0.99747701300000002</v>
      </c>
      <c r="F240">
        <v>1.1097269E-2</v>
      </c>
      <c r="G240">
        <v>9.0396591999999998E-2</v>
      </c>
      <c r="H240">
        <v>0.89303332400000002</v>
      </c>
      <c r="I240">
        <v>99.9</v>
      </c>
      <c r="J240">
        <f t="shared" si="18"/>
        <v>0.99900000000000011</v>
      </c>
      <c r="K240">
        <v>13.6</v>
      </c>
      <c r="L240">
        <f t="shared" si="19"/>
        <v>286.75</v>
      </c>
      <c r="M240">
        <v>125</v>
      </c>
      <c r="N240">
        <v>0.25</v>
      </c>
      <c r="O240" s="2">
        <f t="shared" si="20"/>
        <v>-46.863181499999996</v>
      </c>
      <c r="P240">
        <f t="shared" si="21"/>
        <v>4.7786429999999998</v>
      </c>
      <c r="Q240">
        <f t="shared" si="22"/>
        <v>-1.989584176015976</v>
      </c>
      <c r="R240">
        <f t="shared" si="23"/>
        <v>202.87808448578144</v>
      </c>
      <c r="S240">
        <v>9.4956062673544839E-2</v>
      </c>
      <c r="T240">
        <v>230.7</v>
      </c>
      <c r="X240" s="1">
        <v>0.7119212962962963</v>
      </c>
    </row>
    <row r="241" spans="1:24" x14ac:dyDescent="0.25">
      <c r="A241" t="s">
        <v>266</v>
      </c>
      <c r="B241" s="1" t="s">
        <v>25</v>
      </c>
      <c r="C241">
        <v>1.5390434E-2</v>
      </c>
      <c r="D241">
        <v>1.4002225E-2</v>
      </c>
      <c r="E241">
        <v>1.4346506050000001</v>
      </c>
      <c r="F241">
        <v>8.1399360000000004E-3</v>
      </c>
      <c r="G241">
        <v>1.2936880000000001E-3</v>
      </c>
      <c r="H241">
        <v>0.97085135099999997</v>
      </c>
      <c r="I241">
        <v>99.9</v>
      </c>
      <c r="J241">
        <f t="shared" si="18"/>
        <v>0.99900000000000011</v>
      </c>
      <c r="K241">
        <v>16</v>
      </c>
      <c r="L241">
        <f t="shared" si="19"/>
        <v>289.14999999999998</v>
      </c>
      <c r="M241">
        <v>125</v>
      </c>
      <c r="N241">
        <v>0.25</v>
      </c>
      <c r="O241" s="2">
        <f t="shared" si="20"/>
        <v>7.6952169999999995</v>
      </c>
      <c r="P241">
        <f t="shared" si="21"/>
        <v>7.0011124999999996</v>
      </c>
      <c r="Q241">
        <f t="shared" si="22"/>
        <v>0.32399003302012774</v>
      </c>
      <c r="R241">
        <f t="shared" si="23"/>
        <v>294.76630354317871</v>
      </c>
      <c r="S241">
        <v>0.24315612701136469</v>
      </c>
      <c r="T241">
        <v>64.099999999999994</v>
      </c>
      <c r="X241" s="1">
        <v>0.63853009259259264</v>
      </c>
    </row>
    <row r="242" spans="1:24" x14ac:dyDescent="0.25">
      <c r="A242" t="s">
        <v>267</v>
      </c>
      <c r="B242" s="1" t="s">
        <v>25</v>
      </c>
      <c r="C242">
        <v>0.72333481600000005</v>
      </c>
      <c r="D242">
        <v>7.6151279999999997E-3</v>
      </c>
      <c r="E242">
        <v>1.3234332049999999</v>
      </c>
      <c r="F242">
        <v>1.2949659000000001E-2</v>
      </c>
      <c r="G242">
        <v>0.77077145800000002</v>
      </c>
      <c r="H242">
        <v>0.79560228499999996</v>
      </c>
      <c r="I242">
        <v>99.9</v>
      </c>
      <c r="J242">
        <f t="shared" si="18"/>
        <v>0.99900000000000011</v>
      </c>
      <c r="K242">
        <v>17.399999999999999</v>
      </c>
      <c r="L242">
        <f t="shared" si="19"/>
        <v>290.54999999999995</v>
      </c>
      <c r="M242">
        <v>125</v>
      </c>
      <c r="N242">
        <v>0.25</v>
      </c>
      <c r="O242" s="2">
        <f t="shared" si="20"/>
        <v>361.66740800000002</v>
      </c>
      <c r="P242">
        <f t="shared" si="21"/>
        <v>3.8075639999999997</v>
      </c>
      <c r="Q242">
        <f t="shared" si="22"/>
        <v>15.153832044271477</v>
      </c>
      <c r="R242">
        <f t="shared" si="23"/>
        <v>159.53659101572808</v>
      </c>
      <c r="S242">
        <v>0.35958058275497096</v>
      </c>
      <c r="T242">
        <v>227.1</v>
      </c>
      <c r="X242" s="1">
        <v>0.62049768518518522</v>
      </c>
    </row>
    <row r="243" spans="1:24" x14ac:dyDescent="0.25">
      <c r="A243" t="s">
        <v>268</v>
      </c>
      <c r="B243" s="1" t="s">
        <v>47</v>
      </c>
      <c r="C243">
        <v>4.4427140000000004E-3</v>
      </c>
      <c r="D243">
        <v>4.8809789999999997E-3</v>
      </c>
      <c r="E243">
        <v>0.28693259700000001</v>
      </c>
      <c r="F243">
        <v>6.7145779999999997E-3</v>
      </c>
      <c r="G243">
        <v>2.691218E-3</v>
      </c>
      <c r="H243">
        <v>0.85607021100000003</v>
      </c>
      <c r="I243">
        <v>99.9</v>
      </c>
      <c r="J243">
        <f t="shared" si="18"/>
        <v>0.99900000000000011</v>
      </c>
      <c r="K243">
        <v>8</v>
      </c>
      <c r="L243">
        <f t="shared" si="19"/>
        <v>281.14999999999998</v>
      </c>
      <c r="M243">
        <v>125</v>
      </c>
      <c r="N243">
        <v>0.25</v>
      </c>
      <c r="O243" s="2">
        <f t="shared" si="20"/>
        <v>2.2213570000000002</v>
      </c>
      <c r="P243">
        <f t="shared" si="21"/>
        <v>2.4404895</v>
      </c>
      <c r="Q243">
        <f t="shared" si="22"/>
        <v>9.6186527999513188E-2</v>
      </c>
      <c r="R243">
        <f t="shared" si="23"/>
        <v>105.67513984661984</v>
      </c>
      <c r="S243">
        <v>-1.793507956868412E-2</v>
      </c>
      <c r="T243">
        <v>351.6</v>
      </c>
      <c r="X243" s="1">
        <v>0.50116898148148148</v>
      </c>
    </row>
    <row r="244" spans="1:24" x14ac:dyDescent="0.25">
      <c r="A244" t="s">
        <v>269</v>
      </c>
      <c r="B244" s="1" t="s">
        <v>47</v>
      </c>
      <c r="C244">
        <v>-1.0002225E-2</v>
      </c>
      <c r="D244">
        <v>5.3659620000000002E-3</v>
      </c>
      <c r="E244">
        <v>0.93043262599999998</v>
      </c>
      <c r="F244">
        <v>1.0116006E-2</v>
      </c>
      <c r="G244">
        <v>1.2990949999999999E-3</v>
      </c>
      <c r="H244">
        <v>0.76002392600000002</v>
      </c>
      <c r="I244">
        <v>99.9</v>
      </c>
      <c r="J244">
        <f t="shared" si="18"/>
        <v>0.99900000000000011</v>
      </c>
      <c r="K244">
        <v>5.25</v>
      </c>
      <c r="L244">
        <f t="shared" si="19"/>
        <v>278.39999999999998</v>
      </c>
      <c r="M244">
        <v>125</v>
      </c>
      <c r="N244">
        <v>0.25</v>
      </c>
      <c r="O244" s="2">
        <f t="shared" si="20"/>
        <v>-5.0011124999999996</v>
      </c>
      <c r="P244">
        <f t="shared" si="21"/>
        <v>2.6829810000000003</v>
      </c>
      <c r="Q244">
        <f t="shared" si="22"/>
        <v>-0.21869123077783709</v>
      </c>
      <c r="R244">
        <f t="shared" si="23"/>
        <v>117.32277909036286</v>
      </c>
      <c r="S244">
        <v>-1.7462032997015209E-2</v>
      </c>
      <c r="T244">
        <v>351.6</v>
      </c>
      <c r="X244" s="1">
        <v>0.50935185185185183</v>
      </c>
    </row>
    <row r="245" spans="1:24" x14ac:dyDescent="0.25">
      <c r="A245" t="s">
        <v>270</v>
      </c>
      <c r="B245" s="1" t="s">
        <v>47</v>
      </c>
      <c r="C245">
        <v>-0.12443826500000001</v>
      </c>
      <c r="D245">
        <v>5.9021129999999996E-3</v>
      </c>
      <c r="E245">
        <v>0.68093262399999999</v>
      </c>
      <c r="F245">
        <v>8.1691530000000002E-3</v>
      </c>
      <c r="G245">
        <v>0.27320735200000001</v>
      </c>
      <c r="H245">
        <v>0.85455559400000003</v>
      </c>
      <c r="I245">
        <v>99.9</v>
      </c>
      <c r="J245">
        <f t="shared" si="18"/>
        <v>0.99900000000000011</v>
      </c>
      <c r="K245">
        <v>8.3000000000000007</v>
      </c>
      <c r="L245">
        <f t="shared" si="19"/>
        <v>281.45</v>
      </c>
      <c r="M245">
        <v>125</v>
      </c>
      <c r="N245">
        <v>0.25</v>
      </c>
      <c r="O245" s="2">
        <f t="shared" si="20"/>
        <v>-62.219132500000001</v>
      </c>
      <c r="P245">
        <f t="shared" si="21"/>
        <v>2.9510565</v>
      </c>
      <c r="Q245">
        <f t="shared" si="22"/>
        <v>-2.6912663061665754</v>
      </c>
      <c r="R245">
        <f t="shared" si="23"/>
        <v>127.64689263457446</v>
      </c>
      <c r="S245">
        <v>-2.4765016410616125E-2</v>
      </c>
      <c r="T245">
        <v>324.10000000000002</v>
      </c>
      <c r="X245" s="1">
        <v>0.52300925925925923</v>
      </c>
    </row>
    <row r="246" spans="1:24" x14ac:dyDescent="0.25">
      <c r="A246" t="s">
        <v>271</v>
      </c>
      <c r="B246" s="1" t="s">
        <v>47</v>
      </c>
      <c r="C246">
        <v>0.17533926599999999</v>
      </c>
      <c r="D246">
        <v>5.7174640000000002E-3</v>
      </c>
      <c r="E246">
        <v>1.529871937</v>
      </c>
      <c r="F246">
        <v>8.8608690000000004E-3</v>
      </c>
      <c r="G246">
        <v>0.128808388</v>
      </c>
      <c r="H246">
        <v>0.824140859</v>
      </c>
      <c r="I246">
        <v>99.9</v>
      </c>
      <c r="J246">
        <f t="shared" si="18"/>
        <v>0.99900000000000011</v>
      </c>
      <c r="K246">
        <v>8.3000000000000007</v>
      </c>
      <c r="L246">
        <f t="shared" si="19"/>
        <v>281.45</v>
      </c>
      <c r="M246">
        <v>125</v>
      </c>
      <c r="N246">
        <v>0.25</v>
      </c>
      <c r="O246" s="2">
        <f t="shared" si="20"/>
        <v>87.66963299999999</v>
      </c>
      <c r="P246">
        <f t="shared" si="21"/>
        <v>2.8587320000000003</v>
      </c>
      <c r="Q246">
        <f t="shared" si="22"/>
        <v>3.7921185957854568</v>
      </c>
      <c r="R246">
        <f t="shared" si="23"/>
        <v>123.65342943282258</v>
      </c>
      <c r="S246">
        <v>-2.4765016410616125E-2</v>
      </c>
      <c r="T246">
        <v>324.10000000000002</v>
      </c>
      <c r="X246" s="1">
        <v>0.52461805555555563</v>
      </c>
    </row>
    <row r="247" spans="1:24" x14ac:dyDescent="0.25">
      <c r="A247" t="s">
        <v>272</v>
      </c>
      <c r="B247" s="1" t="s">
        <v>47</v>
      </c>
      <c r="C247">
        <v>0.20548609600000001</v>
      </c>
      <c r="D247">
        <v>7.8598439999999995E-3</v>
      </c>
      <c r="E247">
        <v>0.27363832500000002</v>
      </c>
      <c r="F247">
        <v>9.5923629999999996E-3</v>
      </c>
      <c r="G247">
        <v>0.86389673300000003</v>
      </c>
      <c r="H247">
        <v>0.88313886799999997</v>
      </c>
      <c r="I247">
        <v>99.9</v>
      </c>
      <c r="J247">
        <f t="shared" si="18"/>
        <v>0.99900000000000011</v>
      </c>
      <c r="K247">
        <v>8.3000000000000007</v>
      </c>
      <c r="L247">
        <f t="shared" si="19"/>
        <v>281.45</v>
      </c>
      <c r="M247">
        <v>125</v>
      </c>
      <c r="N247">
        <v>0.25</v>
      </c>
      <c r="O247" s="2">
        <f t="shared" si="20"/>
        <v>102.743048</v>
      </c>
      <c r="P247">
        <f t="shared" si="21"/>
        <v>3.9299219999999999</v>
      </c>
      <c r="Q247">
        <f t="shared" si="22"/>
        <v>4.4441137663765264</v>
      </c>
      <c r="R247">
        <f t="shared" si="23"/>
        <v>169.98736947132394</v>
      </c>
      <c r="S247">
        <v>-3.553241485001446E-2</v>
      </c>
      <c r="T247">
        <v>377.2</v>
      </c>
      <c r="X247" s="1">
        <v>0.47891203703703705</v>
      </c>
    </row>
    <row r="248" spans="1:24" x14ac:dyDescent="0.25">
      <c r="A248" t="s">
        <v>273</v>
      </c>
      <c r="B248" s="1" t="s">
        <v>47</v>
      </c>
      <c r="C248">
        <v>4.4097887000000002E-2</v>
      </c>
      <c r="D248">
        <v>5.4749719999999998E-3</v>
      </c>
      <c r="E248">
        <v>0.30829277700000002</v>
      </c>
      <c r="F248">
        <v>7.8061229999999999E-3</v>
      </c>
      <c r="G248">
        <v>0.18718912200000001</v>
      </c>
      <c r="H248">
        <v>0.84702484600000005</v>
      </c>
      <c r="I248">
        <v>99.9</v>
      </c>
      <c r="J248">
        <f t="shared" si="18"/>
        <v>0.99900000000000011</v>
      </c>
      <c r="K248">
        <v>8.3000000000000007</v>
      </c>
      <c r="L248">
        <f t="shared" si="19"/>
        <v>281.45</v>
      </c>
      <c r="M248">
        <v>125</v>
      </c>
      <c r="N248">
        <v>0.25</v>
      </c>
      <c r="O248" s="2">
        <f t="shared" si="20"/>
        <v>22.0489435</v>
      </c>
      <c r="P248">
        <f t="shared" si="21"/>
        <v>2.7374860000000001</v>
      </c>
      <c r="Q248">
        <f t="shared" si="22"/>
        <v>0.95371915910464566</v>
      </c>
      <c r="R248">
        <f t="shared" si="23"/>
        <v>118.40897710045563</v>
      </c>
      <c r="S248">
        <v>-3.553241485001446E-2</v>
      </c>
      <c r="T248">
        <v>377.2</v>
      </c>
      <c r="X248" s="1">
        <v>0.48094907407407406</v>
      </c>
    </row>
    <row r="249" spans="1:24" x14ac:dyDescent="0.25">
      <c r="A249" t="s">
        <v>274</v>
      </c>
      <c r="B249" s="1" t="s">
        <v>47</v>
      </c>
      <c r="C249">
        <v>3.1650722999999999E-2</v>
      </c>
      <c r="D249">
        <v>6.3248050000000002E-3</v>
      </c>
      <c r="E249">
        <v>0.20883871800000001</v>
      </c>
      <c r="F249">
        <v>1.0350043999999999E-2</v>
      </c>
      <c r="G249">
        <v>0.205428413</v>
      </c>
      <c r="H249">
        <v>0.80781491999999999</v>
      </c>
      <c r="I249">
        <v>99.9</v>
      </c>
      <c r="J249">
        <f t="shared" si="18"/>
        <v>0.99900000000000011</v>
      </c>
      <c r="K249">
        <v>8.4</v>
      </c>
      <c r="L249">
        <f t="shared" si="19"/>
        <v>281.54999999999995</v>
      </c>
      <c r="M249">
        <v>125</v>
      </c>
      <c r="N249">
        <v>0.25</v>
      </c>
      <c r="O249" s="2">
        <f t="shared" si="20"/>
        <v>15.8253615</v>
      </c>
      <c r="P249">
        <f t="shared" si="21"/>
        <v>3.1624025000000002</v>
      </c>
      <c r="Q249">
        <f t="shared" si="22"/>
        <v>0.68427722162571658</v>
      </c>
      <c r="R249">
        <f t="shared" si="23"/>
        <v>136.74000409799297</v>
      </c>
      <c r="S249">
        <v>0.32630571152848198</v>
      </c>
      <c r="T249">
        <v>208.7</v>
      </c>
      <c r="X249" s="1">
        <v>0.61021990740740739</v>
      </c>
    </row>
    <row r="250" spans="1:24" x14ac:dyDescent="0.25">
      <c r="A250" t="s">
        <v>275</v>
      </c>
      <c r="B250" s="1" t="s">
        <v>40</v>
      </c>
      <c r="C250">
        <v>-8.3268075999999996E-2</v>
      </c>
      <c r="D250">
        <v>2.1735260999999999E-2</v>
      </c>
      <c r="E250">
        <v>0.55248322999999999</v>
      </c>
      <c r="F250">
        <v>3.5329051E-2</v>
      </c>
      <c r="G250">
        <v>0.20362037899999999</v>
      </c>
      <c r="H250">
        <v>0.80989955599999996</v>
      </c>
      <c r="I250">
        <v>99.9</v>
      </c>
      <c r="J250">
        <f t="shared" si="18"/>
        <v>0.99900000000000011</v>
      </c>
      <c r="K250">
        <f>AVERAGE(7.8,8.4)</f>
        <v>8.1</v>
      </c>
      <c r="L250">
        <f t="shared" si="19"/>
        <v>281.25</v>
      </c>
      <c r="M250">
        <v>125</v>
      </c>
      <c r="N250">
        <v>0.25</v>
      </c>
      <c r="O250" s="2">
        <f t="shared" si="20"/>
        <v>-41.634037999999997</v>
      </c>
      <c r="P250">
        <f t="shared" si="21"/>
        <v>10.867630499999999</v>
      </c>
      <c r="Q250">
        <f t="shared" si="22"/>
        <v>-1.8021460270046308</v>
      </c>
      <c r="R250">
        <f t="shared" si="23"/>
        <v>470.40974330977338</v>
      </c>
      <c r="S250">
        <v>0.29954218848064595</v>
      </c>
      <c r="T250">
        <f>AVERAGE(217.9,309)</f>
        <v>263.45</v>
      </c>
      <c r="X250" s="1">
        <v>0.65489583333333334</v>
      </c>
    </row>
    <row r="251" spans="1:24" x14ac:dyDescent="0.25">
      <c r="A251" t="s">
        <v>276</v>
      </c>
      <c r="B251" s="1" t="s">
        <v>40</v>
      </c>
      <c r="C251">
        <v>0.119370412</v>
      </c>
      <c r="D251">
        <v>5.7067853000000002E-2</v>
      </c>
      <c r="E251">
        <v>0.25529605399999999</v>
      </c>
      <c r="F251">
        <v>2.7917679000000001E-2</v>
      </c>
      <c r="G251">
        <v>0.71105472300000006</v>
      </c>
      <c r="H251">
        <v>0.97918116799999999</v>
      </c>
      <c r="I251">
        <v>99.9</v>
      </c>
      <c r="J251">
        <f t="shared" si="18"/>
        <v>0.99900000000000011</v>
      </c>
      <c r="K251">
        <v>8.6</v>
      </c>
      <c r="L251">
        <f t="shared" si="19"/>
        <v>281.75</v>
      </c>
      <c r="M251">
        <v>125</v>
      </c>
      <c r="N251">
        <v>0.25</v>
      </c>
      <c r="O251" s="2">
        <f t="shared" si="20"/>
        <v>59.685206000000001</v>
      </c>
      <c r="P251">
        <f t="shared" si="21"/>
        <v>28.5339265</v>
      </c>
      <c r="Q251">
        <f t="shared" si="22"/>
        <v>2.5789133362499497</v>
      </c>
      <c r="R251">
        <f t="shared" si="23"/>
        <v>1232.9106074698955</v>
      </c>
      <c r="S251">
        <v>0.32416632670668433</v>
      </c>
      <c r="T251">
        <f>AVERAGE(309,280.2)</f>
        <v>294.60000000000002</v>
      </c>
      <c r="X251" s="1">
        <v>0.67671296296296291</v>
      </c>
    </row>
    <row r="252" spans="1:24" x14ac:dyDescent="0.25">
      <c r="A252" t="s">
        <v>277</v>
      </c>
      <c r="B252" s="1" t="s">
        <v>40</v>
      </c>
      <c r="C252">
        <v>0.22533926600000001</v>
      </c>
      <c r="D252">
        <v>1.3583982E-2</v>
      </c>
      <c r="E252">
        <v>0.63274369200000002</v>
      </c>
      <c r="F252">
        <v>2.0461951999999999E-2</v>
      </c>
      <c r="G252">
        <v>0.58806707000000003</v>
      </c>
      <c r="H252">
        <v>0.83223426</v>
      </c>
      <c r="I252">
        <v>99.9</v>
      </c>
      <c r="J252">
        <f t="shared" si="18"/>
        <v>0.99900000000000011</v>
      </c>
      <c r="K252">
        <v>8.4</v>
      </c>
      <c r="L252">
        <f t="shared" si="19"/>
        <v>281.54999999999995</v>
      </c>
      <c r="M252">
        <v>125</v>
      </c>
      <c r="N252">
        <v>0.25</v>
      </c>
      <c r="O252" s="2">
        <f t="shared" si="20"/>
        <v>112.669633</v>
      </c>
      <c r="P252">
        <f t="shared" si="21"/>
        <v>6.7919909999999994</v>
      </c>
      <c r="Q252">
        <f t="shared" si="22"/>
        <v>4.871753699328079</v>
      </c>
      <c r="R252">
        <f t="shared" si="23"/>
        <v>293.6807940082046</v>
      </c>
      <c r="S252">
        <v>0.28727911480082302</v>
      </c>
      <c r="T252">
        <v>325.89999999999998</v>
      </c>
      <c r="X252" s="1">
        <v>0.72401620370370379</v>
      </c>
    </row>
    <row r="253" spans="1:24" x14ac:dyDescent="0.25">
      <c r="A253" t="s">
        <v>278</v>
      </c>
      <c r="B253" s="1" t="s">
        <v>40</v>
      </c>
      <c r="C253">
        <v>6.6763069999999994E-2</v>
      </c>
      <c r="D253">
        <v>2.1081201000000001E-2</v>
      </c>
      <c r="E253">
        <v>0.50808424799999996</v>
      </c>
      <c r="F253">
        <v>1.6530113999999999E-2</v>
      </c>
      <c r="G253">
        <v>0.16272413099999999</v>
      </c>
      <c r="H253">
        <v>0.94820577399999995</v>
      </c>
      <c r="I253">
        <v>99.9</v>
      </c>
      <c r="J253">
        <f t="shared" si="18"/>
        <v>0.99900000000000011</v>
      </c>
      <c r="K253">
        <v>8.4</v>
      </c>
      <c r="L253">
        <f t="shared" si="19"/>
        <v>281.54999999999995</v>
      </c>
      <c r="M253">
        <v>125</v>
      </c>
      <c r="N253">
        <v>0.25</v>
      </c>
      <c r="O253" s="2">
        <f t="shared" si="20"/>
        <v>33.381535</v>
      </c>
      <c r="P253">
        <f t="shared" si="21"/>
        <v>10.5406005</v>
      </c>
      <c r="Q253">
        <f t="shared" si="22"/>
        <v>1.443393506265346</v>
      </c>
      <c r="R253">
        <f t="shared" si="23"/>
        <v>455.76796614766994</v>
      </c>
      <c r="S253">
        <v>0.28727911480082302</v>
      </c>
      <c r="T253">
        <v>325.89999999999998</v>
      </c>
      <c r="X253" s="1">
        <v>0.72769675925925925</v>
      </c>
    </row>
    <row r="254" spans="1:24" x14ac:dyDescent="0.25">
      <c r="A254" t="s">
        <v>279</v>
      </c>
      <c r="B254" s="1" t="s">
        <v>40</v>
      </c>
      <c r="C254">
        <v>0.14981312599999999</v>
      </c>
      <c r="D254">
        <v>2.8151279000000001E-2</v>
      </c>
      <c r="E254">
        <v>0.53970521500000002</v>
      </c>
      <c r="F254">
        <v>2.7336810999999999E-2</v>
      </c>
      <c r="G254">
        <v>0.46446707100000001</v>
      </c>
      <c r="H254">
        <v>0.922700293</v>
      </c>
      <c r="I254">
        <v>99.9</v>
      </c>
      <c r="J254">
        <f t="shared" si="18"/>
        <v>0.99900000000000011</v>
      </c>
      <c r="K254">
        <v>8.4</v>
      </c>
      <c r="L254">
        <f t="shared" si="19"/>
        <v>281.54999999999995</v>
      </c>
      <c r="M254">
        <v>125</v>
      </c>
      <c r="N254">
        <v>0.25</v>
      </c>
      <c r="O254" s="2">
        <f t="shared" si="20"/>
        <v>74.906562999999991</v>
      </c>
      <c r="P254">
        <f t="shared" si="21"/>
        <v>14.075639500000001</v>
      </c>
      <c r="Q254">
        <f t="shared" si="22"/>
        <v>3.2389057786245008</v>
      </c>
      <c r="R254">
        <f t="shared" si="23"/>
        <v>608.62050384537451</v>
      </c>
      <c r="S254">
        <v>0.28727911480082302</v>
      </c>
      <c r="T254">
        <v>325.89999999999998</v>
      </c>
      <c r="X254" s="1">
        <v>0.73155092592592597</v>
      </c>
    </row>
    <row r="255" spans="1:24" x14ac:dyDescent="0.25">
      <c r="A255" t="s">
        <v>280</v>
      </c>
      <c r="B255" s="1" t="s">
        <v>40</v>
      </c>
      <c r="C255">
        <v>0.20193993299999999</v>
      </c>
      <c r="D255">
        <v>5.1390430000000003E-3</v>
      </c>
      <c r="E255">
        <v>0.40919580100000003</v>
      </c>
      <c r="F255">
        <v>6.7548779999999998E-3</v>
      </c>
      <c r="G255">
        <v>0.73271672799999998</v>
      </c>
      <c r="H255">
        <v>0.86693209900000001</v>
      </c>
      <c r="I255">
        <v>99.9</v>
      </c>
      <c r="J255">
        <f t="shared" si="18"/>
        <v>0.99900000000000011</v>
      </c>
      <c r="K255">
        <v>8.4</v>
      </c>
      <c r="L255">
        <f t="shared" si="19"/>
        <v>281.54999999999995</v>
      </c>
      <c r="M255">
        <v>125</v>
      </c>
      <c r="N255">
        <v>0.25</v>
      </c>
      <c r="O255" s="2">
        <f t="shared" si="20"/>
        <v>100.9699665</v>
      </c>
      <c r="P255">
        <f t="shared" si="21"/>
        <v>2.5695215</v>
      </c>
      <c r="Q255">
        <f t="shared" si="22"/>
        <v>4.3658685549939369</v>
      </c>
      <c r="R255">
        <f t="shared" si="23"/>
        <v>111.1042571082843</v>
      </c>
      <c r="S255">
        <v>0.28727911480082302</v>
      </c>
      <c r="T255">
        <v>325.89999999999998</v>
      </c>
      <c r="X255" s="1">
        <v>0.7330902777777778</v>
      </c>
    </row>
    <row r="256" spans="1:24" x14ac:dyDescent="0.25">
      <c r="A256" t="s">
        <v>281</v>
      </c>
      <c r="B256" s="1" t="s">
        <v>40</v>
      </c>
      <c r="C256">
        <v>0.14033815399999999</v>
      </c>
      <c r="D256">
        <v>1.6936596000000002E-2</v>
      </c>
      <c r="E256">
        <v>1.4744733860000001</v>
      </c>
      <c r="F256">
        <v>1.8326017E-2</v>
      </c>
      <c r="G256">
        <v>9.2531855999999996E-2</v>
      </c>
      <c r="H256">
        <v>0.90578368099999995</v>
      </c>
      <c r="I256">
        <v>99.9</v>
      </c>
      <c r="J256">
        <f t="shared" si="18"/>
        <v>0.99900000000000011</v>
      </c>
      <c r="K256">
        <v>8.4</v>
      </c>
      <c r="L256">
        <f t="shared" si="19"/>
        <v>281.54999999999995</v>
      </c>
      <c r="M256">
        <v>125</v>
      </c>
      <c r="N256">
        <v>0.25</v>
      </c>
      <c r="O256" s="2">
        <f t="shared" si="20"/>
        <v>70.169077000000001</v>
      </c>
      <c r="P256">
        <f t="shared" si="21"/>
        <v>8.4682980000000008</v>
      </c>
      <c r="Q256">
        <f t="shared" si="22"/>
        <v>3.0340602995767885</v>
      </c>
      <c r="R256">
        <f t="shared" si="23"/>
        <v>366.16310011866796</v>
      </c>
      <c r="S256">
        <v>0.28727911480082302</v>
      </c>
      <c r="T256">
        <v>325.89999999999998</v>
      </c>
      <c r="X256" s="1">
        <v>0.73499999999999999</v>
      </c>
    </row>
    <row r="257" spans="1:24" x14ac:dyDescent="0.25">
      <c r="A257" t="s">
        <v>282</v>
      </c>
      <c r="B257" s="1" t="s">
        <v>40</v>
      </c>
      <c r="C257">
        <v>0.29096551700000001</v>
      </c>
      <c r="D257">
        <v>3.4291435000000002E-2</v>
      </c>
      <c r="E257">
        <v>0.850224388</v>
      </c>
      <c r="F257">
        <v>3.1210989000000001E-2</v>
      </c>
      <c r="G257">
        <v>0.56864036299999998</v>
      </c>
      <c r="H257">
        <v>0.93144800400000005</v>
      </c>
      <c r="I257">
        <v>99.9</v>
      </c>
      <c r="J257">
        <f t="shared" si="18"/>
        <v>0.99900000000000011</v>
      </c>
      <c r="K257">
        <v>8.6</v>
      </c>
      <c r="L257">
        <f t="shared" si="19"/>
        <v>281.75</v>
      </c>
      <c r="M257">
        <v>125</v>
      </c>
      <c r="N257">
        <v>0.25</v>
      </c>
      <c r="O257" s="2">
        <f t="shared" si="20"/>
        <v>145.48275850000002</v>
      </c>
      <c r="P257">
        <f t="shared" si="21"/>
        <v>17.1457175</v>
      </c>
      <c r="Q257">
        <f t="shared" si="22"/>
        <v>6.2861042331005903</v>
      </c>
      <c r="R257">
        <f t="shared" si="23"/>
        <v>740.84220334808174</v>
      </c>
      <c r="S257">
        <v>0.306584424241237</v>
      </c>
      <c r="T257">
        <f>AVERAGE(247.2,325.9)</f>
        <v>286.54999999999995</v>
      </c>
      <c r="X257" s="1">
        <v>0.73836805555555562</v>
      </c>
    </row>
    <row r="258" spans="1:24" x14ac:dyDescent="0.25">
      <c r="A258" t="s">
        <v>283</v>
      </c>
      <c r="B258" s="1" t="s">
        <v>40</v>
      </c>
      <c r="C258">
        <v>5.8200222000000003E-2</v>
      </c>
      <c r="D258">
        <v>1.6674082E-2</v>
      </c>
      <c r="E258">
        <v>0.19239394600000001</v>
      </c>
      <c r="F258">
        <v>9.3445339999999998E-3</v>
      </c>
      <c r="G258">
        <v>0.50739578500000004</v>
      </c>
      <c r="H258">
        <v>0.97285454999999998</v>
      </c>
      <c r="I258">
        <v>99.9</v>
      </c>
      <c r="J258">
        <f t="shared" ref="J258:J321" si="24">I258/100</f>
        <v>0.99900000000000011</v>
      </c>
      <c r="K258">
        <v>8.4</v>
      </c>
      <c r="L258">
        <f t="shared" ref="L258:L321" si="25">K258+273.15</f>
        <v>281.54999999999995</v>
      </c>
      <c r="M258">
        <v>125</v>
      </c>
      <c r="N258">
        <v>0.25</v>
      </c>
      <c r="O258" s="2">
        <f t="shared" si="20"/>
        <v>29.100111000000002</v>
      </c>
      <c r="P258">
        <f t="shared" si="21"/>
        <v>8.3370409999999993</v>
      </c>
      <c r="Q258">
        <f t="shared" si="22"/>
        <v>1.2582678192899388</v>
      </c>
      <c r="R258">
        <f t="shared" si="23"/>
        <v>360.48764207122133</v>
      </c>
      <c r="S258">
        <v>0.30679241316465256</v>
      </c>
      <c r="T258">
        <v>309.39999999999998</v>
      </c>
      <c r="X258" s="1">
        <v>0.66089120370370369</v>
      </c>
    </row>
    <row r="259" spans="1:24" x14ac:dyDescent="0.25">
      <c r="A259" t="s">
        <v>284</v>
      </c>
      <c r="B259" s="1" t="s">
        <v>40</v>
      </c>
      <c r="C259">
        <v>0.111025584</v>
      </c>
      <c r="D259">
        <v>5.0051168E-2</v>
      </c>
      <c r="E259">
        <v>0.25504542000000002</v>
      </c>
      <c r="F259">
        <v>3.7348905000000002E-2</v>
      </c>
      <c r="G259">
        <v>0.68081834100000005</v>
      </c>
      <c r="H259">
        <v>0.95286159400000003</v>
      </c>
      <c r="I259">
        <v>99.9</v>
      </c>
      <c r="J259">
        <f t="shared" si="24"/>
        <v>0.99900000000000011</v>
      </c>
      <c r="K259">
        <v>8.4</v>
      </c>
      <c r="L259">
        <f t="shared" si="25"/>
        <v>281.54999999999995</v>
      </c>
      <c r="M259">
        <v>125</v>
      </c>
      <c r="N259">
        <v>0.25</v>
      </c>
      <c r="O259" s="2">
        <f t="shared" ref="O259:O322" si="26">C259*M259/N259</f>
        <v>55.512791999999997</v>
      </c>
      <c r="P259">
        <f t="shared" ref="P259:P322" si="27">D259*M259/N259</f>
        <v>25.025583999999998</v>
      </c>
      <c r="Q259">
        <f t="shared" ref="Q259:Q322" si="28">(O259*J259)/(0.08206*L259)</f>
        <v>2.4003331029402584</v>
      </c>
      <c r="R259">
        <f t="shared" ref="R259:R322" si="29">(P259*J259)/(0.08206*L259)*1000</f>
        <v>1082.0882094276953</v>
      </c>
      <c r="S259">
        <v>0.30679241316465256</v>
      </c>
      <c r="T259">
        <v>309.39999999999998</v>
      </c>
      <c r="X259" s="1">
        <v>0.66513888888888884</v>
      </c>
    </row>
    <row r="260" spans="1:24" x14ac:dyDescent="0.25">
      <c r="A260" t="s">
        <v>285</v>
      </c>
      <c r="B260" s="1" t="s">
        <v>40</v>
      </c>
      <c r="C260">
        <v>0.20329477200000001</v>
      </c>
      <c r="D260">
        <v>3.9334816000000002E-2</v>
      </c>
      <c r="E260">
        <v>0.16715851000000001</v>
      </c>
      <c r="F260">
        <v>2.0125648999999999E-2</v>
      </c>
      <c r="G260">
        <v>0.94333827699999995</v>
      </c>
      <c r="H260">
        <v>0.97727110299999997</v>
      </c>
      <c r="I260">
        <v>99.9</v>
      </c>
      <c r="J260">
        <f t="shared" si="24"/>
        <v>0.99900000000000011</v>
      </c>
      <c r="K260">
        <v>8.4</v>
      </c>
      <c r="L260">
        <f t="shared" si="25"/>
        <v>281.54999999999995</v>
      </c>
      <c r="M260">
        <v>125</v>
      </c>
      <c r="N260">
        <v>0.25</v>
      </c>
      <c r="O260" s="2">
        <f t="shared" si="26"/>
        <v>101.64738600000001</v>
      </c>
      <c r="P260">
        <f t="shared" si="27"/>
        <v>19.667408000000002</v>
      </c>
      <c r="Q260">
        <f t="shared" si="28"/>
        <v>4.3951596857737991</v>
      </c>
      <c r="R260">
        <f t="shared" si="29"/>
        <v>850.40454227976988</v>
      </c>
      <c r="S260">
        <v>0.30679241316465256</v>
      </c>
      <c r="T260">
        <v>309.39999999999998</v>
      </c>
      <c r="X260" s="1">
        <v>0.66886574074074068</v>
      </c>
    </row>
    <row r="261" spans="1:24" x14ac:dyDescent="0.25">
      <c r="A261" t="s">
        <v>286</v>
      </c>
      <c r="B261" s="1" t="s">
        <v>40</v>
      </c>
      <c r="C261">
        <v>-0.13333481599999999</v>
      </c>
      <c r="D261">
        <v>2.4607341000000001E-2</v>
      </c>
      <c r="E261">
        <v>0.248575554</v>
      </c>
      <c r="F261">
        <v>9.5544689999999995E-3</v>
      </c>
      <c r="G261">
        <v>0.76407106700000005</v>
      </c>
      <c r="H261">
        <v>0.98678329300000001</v>
      </c>
      <c r="I261">
        <v>99.9</v>
      </c>
      <c r="J261">
        <f t="shared" si="24"/>
        <v>0.99900000000000011</v>
      </c>
      <c r="K261">
        <v>8.4</v>
      </c>
      <c r="L261">
        <f t="shared" si="25"/>
        <v>281.54999999999995</v>
      </c>
      <c r="M261">
        <v>125</v>
      </c>
      <c r="N261">
        <v>0.25</v>
      </c>
      <c r="O261" s="2">
        <f t="shared" si="26"/>
        <v>-66.667407999999995</v>
      </c>
      <c r="P261">
        <f t="shared" si="27"/>
        <v>12.303670500000001</v>
      </c>
      <c r="Q261">
        <f t="shared" si="28"/>
        <v>-2.8826506566202657</v>
      </c>
      <c r="R261">
        <f t="shared" si="29"/>
        <v>532.00184182448481</v>
      </c>
      <c r="S261">
        <v>0.30679241316465256</v>
      </c>
      <c r="T261">
        <v>309.39999999999998</v>
      </c>
      <c r="X261" s="1">
        <v>0.67254629629629636</v>
      </c>
    </row>
    <row r="262" spans="1:24" x14ac:dyDescent="0.25">
      <c r="A262" t="s">
        <v>287</v>
      </c>
      <c r="B262" s="1" t="s">
        <v>40</v>
      </c>
      <c r="C262">
        <v>-8.8095662000000005E-2</v>
      </c>
      <c r="D262">
        <v>2.8431590999999999E-2</v>
      </c>
      <c r="E262">
        <v>3.3495970050000001</v>
      </c>
      <c r="F262">
        <v>1.5456338999999999E-2</v>
      </c>
      <c r="G262">
        <v>7.7257009999999997E-3</v>
      </c>
      <c r="H262">
        <v>0.97441573100000001</v>
      </c>
      <c r="I262">
        <v>99.9</v>
      </c>
      <c r="J262">
        <f t="shared" si="24"/>
        <v>0.99900000000000011</v>
      </c>
      <c r="K262">
        <v>7.8</v>
      </c>
      <c r="L262">
        <f t="shared" si="25"/>
        <v>280.95</v>
      </c>
      <c r="M262">
        <v>125</v>
      </c>
      <c r="N262">
        <v>0.25</v>
      </c>
      <c r="O262" s="2">
        <f t="shared" si="26"/>
        <v>-44.047831000000002</v>
      </c>
      <c r="P262">
        <f t="shared" si="27"/>
        <v>14.215795499999999</v>
      </c>
      <c r="Q262">
        <f t="shared" si="28"/>
        <v>-1.9086639329575241</v>
      </c>
      <c r="R262">
        <f t="shared" si="29"/>
        <v>615.99346740024191</v>
      </c>
      <c r="S262">
        <v>0.29244524939219485</v>
      </c>
      <c r="T262">
        <v>217.9</v>
      </c>
      <c r="X262" s="1">
        <v>0.64503472222222225</v>
      </c>
    </row>
    <row r="263" spans="1:24" x14ac:dyDescent="0.25">
      <c r="A263" t="s">
        <v>288</v>
      </c>
      <c r="B263" s="1" t="s">
        <v>40</v>
      </c>
      <c r="C263">
        <v>0.25692102300000003</v>
      </c>
      <c r="D263">
        <v>5.4126809999999999E-3</v>
      </c>
      <c r="E263">
        <v>0.43862375199999998</v>
      </c>
      <c r="F263">
        <v>9.6752509999999993E-3</v>
      </c>
      <c r="G263">
        <v>0.79431767099999995</v>
      </c>
      <c r="H263">
        <v>0.77889587999999998</v>
      </c>
      <c r="I263">
        <v>99.9</v>
      </c>
      <c r="J263">
        <f t="shared" si="24"/>
        <v>0.99900000000000011</v>
      </c>
      <c r="K263">
        <v>7.8</v>
      </c>
      <c r="L263">
        <f t="shared" si="25"/>
        <v>280.95</v>
      </c>
      <c r="M263">
        <v>125</v>
      </c>
      <c r="N263">
        <v>0.25</v>
      </c>
      <c r="O263" s="2">
        <f t="shared" si="26"/>
        <v>128.46051150000002</v>
      </c>
      <c r="P263">
        <f t="shared" si="27"/>
        <v>2.7063405</v>
      </c>
      <c r="Q263">
        <f t="shared" si="28"/>
        <v>5.5664022391777994</v>
      </c>
      <c r="R263">
        <f t="shared" si="29"/>
        <v>117.27012171501094</v>
      </c>
      <c r="S263">
        <v>0.29244524939219485</v>
      </c>
      <c r="T263">
        <v>217.9</v>
      </c>
      <c r="X263" s="1">
        <v>0.64631944444444445</v>
      </c>
    </row>
    <row r="264" spans="1:24" x14ac:dyDescent="0.25">
      <c r="A264" t="s">
        <v>289</v>
      </c>
      <c r="B264" s="1" t="s">
        <v>40</v>
      </c>
      <c r="C264">
        <v>0.124945495</v>
      </c>
      <c r="D264">
        <v>4.3581760000000001E-3</v>
      </c>
      <c r="E264">
        <v>0.212595227</v>
      </c>
      <c r="F264">
        <v>9.1676669999999991E-3</v>
      </c>
      <c r="G264">
        <v>0.79541366700000005</v>
      </c>
      <c r="H264">
        <v>0.71781287199999999</v>
      </c>
      <c r="I264">
        <v>99.9</v>
      </c>
      <c r="J264">
        <f t="shared" si="24"/>
        <v>0.99900000000000011</v>
      </c>
      <c r="K264">
        <v>8.6</v>
      </c>
      <c r="L264">
        <f t="shared" si="25"/>
        <v>281.75</v>
      </c>
      <c r="M264">
        <v>125</v>
      </c>
      <c r="N264">
        <v>0.25</v>
      </c>
      <c r="O264" s="2">
        <f t="shared" si="26"/>
        <v>62.472747500000004</v>
      </c>
      <c r="P264">
        <f t="shared" si="27"/>
        <v>2.1790880000000001</v>
      </c>
      <c r="Q264">
        <f t="shared" si="28"/>
        <v>2.6993590619411734</v>
      </c>
      <c r="R264">
        <f t="shared" si="29"/>
        <v>94.155310514673104</v>
      </c>
      <c r="S264">
        <v>0.34174822917213166</v>
      </c>
      <c r="T264">
        <v>412</v>
      </c>
      <c r="X264" s="1">
        <v>0.6293171296296296</v>
      </c>
    </row>
    <row r="265" spans="1:24" x14ac:dyDescent="0.25">
      <c r="A265" t="s">
        <v>290</v>
      </c>
      <c r="B265" s="1" t="s">
        <v>40</v>
      </c>
      <c r="C265">
        <v>2.1279198999999999E-2</v>
      </c>
      <c r="D265">
        <v>2.8266962999999999E-2</v>
      </c>
      <c r="E265">
        <v>0.35614889100000002</v>
      </c>
      <c r="F265">
        <v>1.2643622E-2</v>
      </c>
      <c r="G265">
        <v>3.8629612000000001E-2</v>
      </c>
      <c r="H265">
        <v>0.982535716</v>
      </c>
      <c r="I265">
        <v>99.9</v>
      </c>
      <c r="J265">
        <f t="shared" si="24"/>
        <v>0.99900000000000011</v>
      </c>
      <c r="K265">
        <f>AVERAGE(8.6,7.8)</f>
        <v>8.1999999999999993</v>
      </c>
      <c r="L265">
        <f t="shared" si="25"/>
        <v>281.34999999999997</v>
      </c>
      <c r="M265">
        <v>125</v>
      </c>
      <c r="N265">
        <v>0.25</v>
      </c>
      <c r="O265" s="2">
        <f t="shared" si="26"/>
        <v>10.639599499999999</v>
      </c>
      <c r="P265">
        <f t="shared" si="27"/>
        <v>14.1334815</v>
      </c>
      <c r="Q265">
        <f t="shared" si="28"/>
        <v>0.46037564093440547</v>
      </c>
      <c r="R265">
        <f t="shared" si="29"/>
        <v>611.55597108679353</v>
      </c>
      <c r="S265">
        <v>0.31655759138023098</v>
      </c>
      <c r="T265">
        <f>AVERAGE(412,217.9)</f>
        <v>314.95</v>
      </c>
      <c r="X265" s="1">
        <v>0.63298611111111114</v>
      </c>
    </row>
    <row r="266" spans="1:24" x14ac:dyDescent="0.25">
      <c r="A266" t="s">
        <v>291</v>
      </c>
      <c r="B266" s="1" t="s">
        <v>40</v>
      </c>
      <c r="C266">
        <v>0.120976641</v>
      </c>
      <c r="D266">
        <v>2.0382647E-2</v>
      </c>
      <c r="E266">
        <v>0.27824248600000001</v>
      </c>
      <c r="F266">
        <v>1.4409313999999999E-2</v>
      </c>
      <c r="G266">
        <v>0.68029026699999995</v>
      </c>
      <c r="H266">
        <v>0.95748753399999997</v>
      </c>
      <c r="I266">
        <v>99.9</v>
      </c>
      <c r="J266">
        <f t="shared" si="24"/>
        <v>0.99900000000000011</v>
      </c>
      <c r="K266">
        <f>AVERAGE(8.6,7.8)</f>
        <v>8.1999999999999993</v>
      </c>
      <c r="L266">
        <f t="shared" si="25"/>
        <v>281.34999999999997</v>
      </c>
      <c r="M266">
        <v>125</v>
      </c>
      <c r="N266">
        <v>0.25</v>
      </c>
      <c r="O266" s="2">
        <f t="shared" si="26"/>
        <v>60.4883205</v>
      </c>
      <c r="P266">
        <f t="shared" si="27"/>
        <v>10.191323499999999</v>
      </c>
      <c r="Q266">
        <f t="shared" si="28"/>
        <v>2.6173305977572974</v>
      </c>
      <c r="R266">
        <f t="shared" si="29"/>
        <v>440.97873122784068</v>
      </c>
      <c r="S266">
        <v>0.31655759138023098</v>
      </c>
      <c r="T266">
        <f>AVERAGE(412,217.9)</f>
        <v>314.95</v>
      </c>
      <c r="X266" s="1">
        <v>0.63681712962962966</v>
      </c>
    </row>
    <row r="267" spans="1:24" x14ac:dyDescent="0.25">
      <c r="A267" t="s">
        <v>292</v>
      </c>
      <c r="B267" s="1" t="s">
        <v>47</v>
      </c>
      <c r="C267">
        <v>-0.70508342599999996</v>
      </c>
      <c r="D267">
        <v>3.9185761999999999E-2</v>
      </c>
      <c r="E267">
        <v>3.5137612159999998</v>
      </c>
      <c r="F267">
        <v>6.7136716999999999E-2</v>
      </c>
      <c r="G267">
        <v>0.31187773899999999</v>
      </c>
      <c r="H267">
        <v>0.793157114</v>
      </c>
      <c r="I267">
        <v>99.9</v>
      </c>
      <c r="J267">
        <f t="shared" si="24"/>
        <v>0.99900000000000011</v>
      </c>
      <c r="K267">
        <v>9.6999999999999993</v>
      </c>
      <c r="L267">
        <f t="shared" si="25"/>
        <v>282.84999999999997</v>
      </c>
      <c r="M267">
        <v>125</v>
      </c>
      <c r="N267">
        <v>0.25</v>
      </c>
      <c r="O267" s="2">
        <f t="shared" si="26"/>
        <v>-352.54171299999996</v>
      </c>
      <c r="P267">
        <f t="shared" si="27"/>
        <v>19.592880999999998</v>
      </c>
      <c r="Q267">
        <f t="shared" si="28"/>
        <v>-15.173588531197574</v>
      </c>
      <c r="R267">
        <f t="shared" si="29"/>
        <v>843.28833574005705</v>
      </c>
      <c r="S267">
        <v>0.50416172181282848</v>
      </c>
      <c r="T267">
        <v>87.9</v>
      </c>
      <c r="X267" s="1">
        <v>0.46332175925925928</v>
      </c>
    </row>
    <row r="268" spans="1:24" x14ac:dyDescent="0.25">
      <c r="A268" t="s">
        <v>293</v>
      </c>
      <c r="B268" s="1" t="s">
        <v>47</v>
      </c>
      <c r="C268">
        <v>-0.133955506</v>
      </c>
      <c r="D268">
        <v>9.2126808000000004E-2</v>
      </c>
      <c r="E268">
        <v>0.45892022199999999</v>
      </c>
      <c r="F268">
        <v>0.104748062</v>
      </c>
      <c r="G268">
        <v>0.48954145599999999</v>
      </c>
      <c r="H268">
        <v>0.89698023100000002</v>
      </c>
      <c r="I268">
        <v>99.9</v>
      </c>
      <c r="J268">
        <f t="shared" si="24"/>
        <v>0.99900000000000011</v>
      </c>
      <c r="K268">
        <v>10.3</v>
      </c>
      <c r="L268">
        <f t="shared" si="25"/>
        <v>283.45</v>
      </c>
      <c r="M268">
        <v>125</v>
      </c>
      <c r="N268">
        <v>0.25</v>
      </c>
      <c r="O268" s="2">
        <f t="shared" si="26"/>
        <v>-66.977753000000007</v>
      </c>
      <c r="P268">
        <f t="shared" si="27"/>
        <v>46.063404000000006</v>
      </c>
      <c r="Q268">
        <f t="shared" si="28"/>
        <v>-2.8766570411051093</v>
      </c>
      <c r="R268">
        <f t="shared" si="29"/>
        <v>1978.3974456991602</v>
      </c>
      <c r="S268">
        <v>0.55317071318791144</v>
      </c>
      <c r="T268">
        <v>164.8</v>
      </c>
      <c r="X268" s="1">
        <v>0.48353009259259255</v>
      </c>
    </row>
    <row r="269" spans="1:24" x14ac:dyDescent="0.25">
      <c r="A269" t="s">
        <v>294</v>
      </c>
      <c r="B269" s="1" t="s">
        <v>47</v>
      </c>
      <c r="C269">
        <v>3.7655172000000001E-2</v>
      </c>
      <c r="D269">
        <v>0.122992214</v>
      </c>
      <c r="E269">
        <v>0.67496725899999999</v>
      </c>
      <c r="F269">
        <v>9.0783153000000005E-2</v>
      </c>
      <c r="G269">
        <v>3.3846385999999999E-2</v>
      </c>
      <c r="H269">
        <v>0.95383160700000003</v>
      </c>
      <c r="I269">
        <v>99.9</v>
      </c>
      <c r="J269">
        <f t="shared" si="24"/>
        <v>0.99900000000000011</v>
      </c>
      <c r="K269">
        <f>AVERAGE(10.3,9.7)</f>
        <v>10</v>
      </c>
      <c r="L269">
        <f t="shared" si="25"/>
        <v>283.14999999999998</v>
      </c>
      <c r="M269">
        <v>125</v>
      </c>
      <c r="N269">
        <v>0.25</v>
      </c>
      <c r="O269" s="2">
        <f t="shared" si="26"/>
        <v>18.827586</v>
      </c>
      <c r="P269">
        <f t="shared" si="27"/>
        <v>61.496107000000002</v>
      </c>
      <c r="Q269">
        <f t="shared" si="28"/>
        <v>0.80949104674359784</v>
      </c>
      <c r="R269">
        <f t="shared" si="29"/>
        <v>2644.0218106605003</v>
      </c>
      <c r="S269">
        <v>0.52829322997471762</v>
      </c>
      <c r="T269">
        <f>AVERAGE(87.9,164.8)</f>
        <v>126.35000000000001</v>
      </c>
      <c r="X269" s="1">
        <v>0.46692129629629631</v>
      </c>
    </row>
    <row r="270" spans="1:24" x14ac:dyDescent="0.25">
      <c r="A270" t="s">
        <v>295</v>
      </c>
      <c r="B270" s="1" t="s">
        <v>47</v>
      </c>
      <c r="C270">
        <v>-3.6889878000000001E-2</v>
      </c>
      <c r="D270">
        <v>0.107248053</v>
      </c>
      <c r="E270">
        <v>0.249628503</v>
      </c>
      <c r="F270">
        <v>0.131692104</v>
      </c>
      <c r="G270">
        <v>0.19731258500000001</v>
      </c>
      <c r="H270">
        <v>0.88186933999999995</v>
      </c>
      <c r="I270">
        <v>99.9</v>
      </c>
      <c r="J270">
        <f t="shared" si="24"/>
        <v>0.99900000000000011</v>
      </c>
      <c r="K270">
        <f>AVERAGE(10.3,9.7)</f>
        <v>10</v>
      </c>
      <c r="L270">
        <f t="shared" si="25"/>
        <v>283.14999999999998</v>
      </c>
      <c r="M270">
        <v>125</v>
      </c>
      <c r="N270">
        <v>0.25</v>
      </c>
      <c r="O270" s="2">
        <f t="shared" si="26"/>
        <v>-18.444939000000002</v>
      </c>
      <c r="P270">
        <f t="shared" si="27"/>
        <v>53.624026499999999</v>
      </c>
      <c r="Q270">
        <f t="shared" si="28"/>
        <v>-0.79303915957318216</v>
      </c>
      <c r="R270">
        <f t="shared" si="29"/>
        <v>2305.5621332491282</v>
      </c>
      <c r="S270">
        <v>0.52829322997471762</v>
      </c>
      <c r="T270">
        <f>AVERAGE(87.9,164.8)</f>
        <v>126.35000000000001</v>
      </c>
      <c r="X270" s="1">
        <v>0.47137731481481482</v>
      </c>
    </row>
    <row r="271" spans="1:24" x14ac:dyDescent="0.25">
      <c r="A271" t="s">
        <v>296</v>
      </c>
      <c r="B271" s="1" t="s">
        <v>47</v>
      </c>
      <c r="C271">
        <v>0.18678309200000001</v>
      </c>
      <c r="D271">
        <v>1.0734149E-2</v>
      </c>
      <c r="E271">
        <v>0.26748033599999999</v>
      </c>
      <c r="F271">
        <v>1.1264306999999999E-2</v>
      </c>
      <c r="G271">
        <v>0.84588717199999996</v>
      </c>
      <c r="H271">
        <v>0.91088421500000005</v>
      </c>
      <c r="I271">
        <v>99.9</v>
      </c>
      <c r="J271">
        <f t="shared" si="24"/>
        <v>0.99900000000000011</v>
      </c>
      <c r="K271">
        <v>10.3</v>
      </c>
      <c r="L271">
        <f t="shared" si="25"/>
        <v>283.45</v>
      </c>
      <c r="M271">
        <v>125</v>
      </c>
      <c r="N271">
        <v>0.25</v>
      </c>
      <c r="O271" s="2">
        <f t="shared" si="26"/>
        <v>93.391546000000005</v>
      </c>
      <c r="P271">
        <f t="shared" si="27"/>
        <v>5.3670745000000002</v>
      </c>
      <c r="Q271">
        <f t="shared" si="28"/>
        <v>4.0111146813269727</v>
      </c>
      <c r="R271">
        <f t="shared" si="29"/>
        <v>230.51284880459758</v>
      </c>
      <c r="S271">
        <v>0.55317071318791144</v>
      </c>
      <c r="T271">
        <f>AVERAGE(87.9,164.8)</f>
        <v>126.35000000000001</v>
      </c>
      <c r="X271" s="1">
        <v>0.47271990740740738</v>
      </c>
    </row>
    <row r="272" spans="1:24" x14ac:dyDescent="0.25">
      <c r="A272" t="s">
        <v>297</v>
      </c>
      <c r="B272" s="1" t="s">
        <v>47</v>
      </c>
      <c r="C272">
        <v>0.110313682</v>
      </c>
      <c r="D272">
        <v>4.8008899000000001E-2</v>
      </c>
      <c r="E272">
        <v>0.39217229300000001</v>
      </c>
      <c r="F272">
        <v>3.3285863999999998E-2</v>
      </c>
      <c r="G272">
        <v>0.47106996899999998</v>
      </c>
      <c r="H272">
        <v>0.95904264900000002</v>
      </c>
      <c r="I272">
        <v>99.9</v>
      </c>
      <c r="J272">
        <f t="shared" si="24"/>
        <v>0.99900000000000011</v>
      </c>
      <c r="K272">
        <v>10.3</v>
      </c>
      <c r="L272">
        <f t="shared" si="25"/>
        <v>283.45</v>
      </c>
      <c r="M272">
        <v>125</v>
      </c>
      <c r="N272">
        <v>0.25</v>
      </c>
      <c r="O272" s="2">
        <f t="shared" si="26"/>
        <v>55.156841</v>
      </c>
      <c r="P272">
        <f t="shared" si="27"/>
        <v>24.0044495</v>
      </c>
      <c r="Q272">
        <f t="shared" si="28"/>
        <v>2.3689554803035118</v>
      </c>
      <c r="R272">
        <f t="shared" si="29"/>
        <v>1030.9776840681263</v>
      </c>
      <c r="S272">
        <v>0.55317071318791144</v>
      </c>
      <c r="T272">
        <v>164.8</v>
      </c>
      <c r="X272" s="1">
        <v>0.47519675925925925</v>
      </c>
    </row>
    <row r="273" spans="1:24" x14ac:dyDescent="0.25">
      <c r="A273" t="s">
        <v>298</v>
      </c>
      <c r="B273" s="1" t="s">
        <v>47</v>
      </c>
      <c r="C273">
        <v>-1.6135706E-2</v>
      </c>
      <c r="D273">
        <v>1.5615128000000001E-2</v>
      </c>
      <c r="E273">
        <v>0.26322511700000001</v>
      </c>
      <c r="F273">
        <v>1.0936856999999999E-2</v>
      </c>
      <c r="G273">
        <v>4.0580024999999999E-2</v>
      </c>
      <c r="H273">
        <v>0.958237644</v>
      </c>
      <c r="I273">
        <v>99.9</v>
      </c>
      <c r="J273">
        <f t="shared" si="24"/>
        <v>0.99900000000000011</v>
      </c>
      <c r="K273">
        <v>9.9</v>
      </c>
      <c r="L273">
        <f t="shared" si="25"/>
        <v>283.04999999999995</v>
      </c>
      <c r="M273">
        <v>125</v>
      </c>
      <c r="N273">
        <v>0.25</v>
      </c>
      <c r="O273" s="2">
        <f t="shared" si="26"/>
        <v>-8.0678529999999995</v>
      </c>
      <c r="P273">
        <f t="shared" si="27"/>
        <v>7.8075640000000002</v>
      </c>
      <c r="Q273">
        <f t="shared" si="28"/>
        <v>-0.34699945520494346</v>
      </c>
      <c r="R273">
        <f t="shared" si="29"/>
        <v>335.80438990122019</v>
      </c>
      <c r="S273">
        <v>0.51097149117591956</v>
      </c>
      <c r="T273">
        <v>95.2</v>
      </c>
      <c r="X273" s="1">
        <v>0.52104166666666674</v>
      </c>
    </row>
    <row r="274" spans="1:24" x14ac:dyDescent="0.25">
      <c r="A274" t="s">
        <v>299</v>
      </c>
      <c r="B274" s="1" t="s">
        <v>47</v>
      </c>
      <c r="C274">
        <v>0.11944827600000001</v>
      </c>
      <c r="D274">
        <v>9.1968850000000001E-3</v>
      </c>
      <c r="E274">
        <v>0.64318698100000005</v>
      </c>
      <c r="F274">
        <v>9.1636719999999994E-3</v>
      </c>
      <c r="G274">
        <v>0.27964826799999998</v>
      </c>
      <c r="H274">
        <v>0.91894757599999999</v>
      </c>
      <c r="I274">
        <v>99.9</v>
      </c>
      <c r="J274">
        <f t="shared" si="24"/>
        <v>0.99900000000000011</v>
      </c>
      <c r="K274">
        <v>10.8</v>
      </c>
      <c r="L274">
        <f t="shared" si="25"/>
        <v>283.95</v>
      </c>
      <c r="M274">
        <v>125</v>
      </c>
      <c r="N274">
        <v>0.25</v>
      </c>
      <c r="O274" s="2">
        <f t="shared" si="26"/>
        <v>59.724138000000004</v>
      </c>
      <c r="P274">
        <f t="shared" si="27"/>
        <v>4.5984425</v>
      </c>
      <c r="Q274">
        <f t="shared" si="28"/>
        <v>2.560601484051908</v>
      </c>
      <c r="R274">
        <f t="shared" si="29"/>
        <v>197.15276074520096</v>
      </c>
      <c r="S274">
        <v>0.57574678155353598</v>
      </c>
      <c r="T274">
        <v>239.9</v>
      </c>
      <c r="X274" s="1">
        <v>0.53630787037037042</v>
      </c>
    </row>
    <row r="275" spans="1:24" x14ac:dyDescent="0.25">
      <c r="A275" t="s">
        <v>300</v>
      </c>
      <c r="B275" s="1" t="s">
        <v>47</v>
      </c>
      <c r="C275">
        <v>4.9259177000000001E-2</v>
      </c>
      <c r="D275">
        <v>4.4491656999999997E-2</v>
      </c>
      <c r="E275">
        <v>0.37019207900000001</v>
      </c>
      <c r="F275">
        <v>5.7300519000000001E-2</v>
      </c>
      <c r="G275">
        <v>0.166178678</v>
      </c>
      <c r="H275">
        <v>0.87156652400000001</v>
      </c>
      <c r="I275">
        <v>99.9</v>
      </c>
      <c r="J275">
        <f t="shared" si="24"/>
        <v>0.99900000000000011</v>
      </c>
      <c r="K275">
        <v>10.8</v>
      </c>
      <c r="L275">
        <f t="shared" si="25"/>
        <v>283.95</v>
      </c>
      <c r="M275">
        <v>125</v>
      </c>
      <c r="N275">
        <v>0.25</v>
      </c>
      <c r="O275" s="2">
        <f t="shared" si="26"/>
        <v>24.629588500000001</v>
      </c>
      <c r="P275">
        <f t="shared" si="27"/>
        <v>22.245828499999998</v>
      </c>
      <c r="Q275">
        <f t="shared" si="28"/>
        <v>1.0559643550600564</v>
      </c>
      <c r="R275">
        <f t="shared" si="29"/>
        <v>953.76347618552859</v>
      </c>
      <c r="S275">
        <v>0.57574678155353598</v>
      </c>
      <c r="T275">
        <v>239.9</v>
      </c>
      <c r="X275" s="1">
        <v>0.53850694444444447</v>
      </c>
    </row>
    <row r="276" spans="1:24" x14ac:dyDescent="0.25">
      <c r="A276" t="s">
        <v>301</v>
      </c>
      <c r="B276" s="1" t="s">
        <v>47</v>
      </c>
      <c r="C276">
        <v>8.6402670000000001E-2</v>
      </c>
      <c r="D276">
        <v>9.9154619999999999E-3</v>
      </c>
      <c r="E276">
        <v>0.36569015500000002</v>
      </c>
      <c r="F276">
        <v>1.0231877E-2</v>
      </c>
      <c r="G276">
        <v>0.385886004</v>
      </c>
      <c r="H276">
        <v>0.91357366500000003</v>
      </c>
      <c r="I276">
        <v>99.9</v>
      </c>
      <c r="J276">
        <f t="shared" si="24"/>
        <v>0.99900000000000011</v>
      </c>
      <c r="K276">
        <v>10.8</v>
      </c>
      <c r="L276">
        <f t="shared" si="25"/>
        <v>283.95</v>
      </c>
      <c r="M276">
        <v>125</v>
      </c>
      <c r="N276">
        <v>0.25</v>
      </c>
      <c r="O276" s="2">
        <f t="shared" si="26"/>
        <v>43.201335</v>
      </c>
      <c r="P276">
        <f t="shared" si="27"/>
        <v>4.9577309999999999</v>
      </c>
      <c r="Q276">
        <f t="shared" si="28"/>
        <v>1.8522059291006199</v>
      </c>
      <c r="R276">
        <f t="shared" si="29"/>
        <v>212.55682846573941</v>
      </c>
      <c r="S276">
        <v>0.57574678155353598</v>
      </c>
      <c r="T276">
        <v>239.9</v>
      </c>
      <c r="X276" s="1">
        <v>0.53980324074074071</v>
      </c>
    </row>
    <row r="277" spans="1:24" x14ac:dyDescent="0.25">
      <c r="A277" t="s">
        <v>302</v>
      </c>
      <c r="B277" s="1" t="s">
        <v>47</v>
      </c>
      <c r="C277">
        <v>0.215234705</v>
      </c>
      <c r="D277">
        <v>6.7563959999999996E-3</v>
      </c>
      <c r="E277">
        <v>0.40333390299999999</v>
      </c>
      <c r="F277">
        <v>7.9922050000000005E-3</v>
      </c>
      <c r="G277">
        <v>0.76220847000000003</v>
      </c>
      <c r="H277">
        <v>0.88943106400000005</v>
      </c>
      <c r="I277">
        <v>99.9</v>
      </c>
      <c r="J277">
        <f t="shared" si="24"/>
        <v>0.99900000000000011</v>
      </c>
      <c r="K277">
        <v>9.9</v>
      </c>
      <c r="L277">
        <f t="shared" si="25"/>
        <v>283.04999999999995</v>
      </c>
      <c r="M277">
        <v>125</v>
      </c>
      <c r="N277">
        <v>0.25</v>
      </c>
      <c r="O277" s="2">
        <f t="shared" si="26"/>
        <v>107.6173525</v>
      </c>
      <c r="P277">
        <f t="shared" si="27"/>
        <v>3.3781979999999998</v>
      </c>
      <c r="Q277">
        <f t="shared" si="28"/>
        <v>4.6286369729466266</v>
      </c>
      <c r="R277">
        <f t="shared" si="29"/>
        <v>145.29675560207028</v>
      </c>
      <c r="S277">
        <v>0.51097149117591956</v>
      </c>
      <c r="T277">
        <v>95.2</v>
      </c>
      <c r="X277" s="1">
        <v>0.52259259259259261</v>
      </c>
    </row>
    <row r="278" spans="1:24" x14ac:dyDescent="0.25">
      <c r="A278" t="s">
        <v>303</v>
      </c>
      <c r="B278" s="1" t="s">
        <v>47</v>
      </c>
      <c r="C278">
        <v>0.12952169099999999</v>
      </c>
      <c r="D278">
        <v>6.0662959000000002E-2</v>
      </c>
      <c r="E278">
        <v>0.35492763599999999</v>
      </c>
      <c r="F278">
        <v>6.9010638999999999E-2</v>
      </c>
      <c r="G278">
        <v>0.59983219399999999</v>
      </c>
      <c r="H278">
        <v>0.89688125500000004</v>
      </c>
      <c r="I278">
        <v>99.9</v>
      </c>
      <c r="J278">
        <f t="shared" si="24"/>
        <v>0.99900000000000011</v>
      </c>
      <c r="K278">
        <v>9.9</v>
      </c>
      <c r="L278">
        <f t="shared" si="25"/>
        <v>283.04999999999995</v>
      </c>
      <c r="M278">
        <v>125</v>
      </c>
      <c r="N278">
        <v>0.25</v>
      </c>
      <c r="O278" s="2">
        <f t="shared" si="26"/>
        <v>64.760845500000002</v>
      </c>
      <c r="P278">
        <f t="shared" si="27"/>
        <v>30.3314795</v>
      </c>
      <c r="Q278">
        <f t="shared" si="28"/>
        <v>2.7853727760175495</v>
      </c>
      <c r="R278">
        <f t="shared" si="29"/>
        <v>1304.5610600564871</v>
      </c>
      <c r="S278">
        <v>0.51097149117591956</v>
      </c>
      <c r="T278">
        <v>95.2</v>
      </c>
      <c r="X278" s="1">
        <v>0.52788194444444447</v>
      </c>
    </row>
    <row r="279" spans="1:24" x14ac:dyDescent="0.25">
      <c r="A279" t="s">
        <v>304</v>
      </c>
      <c r="B279" s="1" t="s">
        <v>47</v>
      </c>
      <c r="C279">
        <v>0.106062291</v>
      </c>
      <c r="D279">
        <v>5.6593993000000002E-2</v>
      </c>
      <c r="E279">
        <v>0.47669684400000001</v>
      </c>
      <c r="F279">
        <v>5.7597079000000002E-2</v>
      </c>
      <c r="G279">
        <v>0.35782628</v>
      </c>
      <c r="H279">
        <v>0.91573489699999999</v>
      </c>
      <c r="I279">
        <v>99.9</v>
      </c>
      <c r="J279">
        <f t="shared" si="24"/>
        <v>0.99900000000000011</v>
      </c>
      <c r="K279">
        <f>AVERAGE(10.8,9.9)</f>
        <v>10.350000000000001</v>
      </c>
      <c r="L279">
        <f t="shared" si="25"/>
        <v>283.5</v>
      </c>
      <c r="M279">
        <v>125</v>
      </c>
      <c r="N279">
        <v>0.25</v>
      </c>
      <c r="O279" s="2">
        <f t="shared" si="26"/>
        <v>53.031145500000001</v>
      </c>
      <c r="P279">
        <f t="shared" si="27"/>
        <v>28.296996500000002</v>
      </c>
      <c r="Q279">
        <f t="shared" si="28"/>
        <v>2.2772563437902584</v>
      </c>
      <c r="R279">
        <f t="shared" si="29"/>
        <v>1215.1258318535802</v>
      </c>
      <c r="S279">
        <v>0.54266020717638497</v>
      </c>
      <c r="T279">
        <f>AVERAGE(95.2,239.9)</f>
        <v>167.55</v>
      </c>
      <c r="X279" s="1">
        <v>0.53159722222222217</v>
      </c>
    </row>
    <row r="280" spans="1:24" x14ac:dyDescent="0.25">
      <c r="A280" t="s">
        <v>305</v>
      </c>
      <c r="B280" s="1" t="s">
        <v>47</v>
      </c>
      <c r="C280">
        <v>0.16119688500000001</v>
      </c>
      <c r="D280">
        <v>8.0912120000000004E-3</v>
      </c>
      <c r="E280">
        <v>0.45555979099999999</v>
      </c>
      <c r="F280">
        <v>1.1135219E-2</v>
      </c>
      <c r="G280">
        <v>0.58494242100000005</v>
      </c>
      <c r="H280">
        <v>0.85597179599999995</v>
      </c>
      <c r="I280">
        <v>99.9</v>
      </c>
      <c r="J280">
        <f t="shared" si="24"/>
        <v>0.99900000000000011</v>
      </c>
      <c r="K280">
        <f>AVERAGE(10.8,9.9)</f>
        <v>10.350000000000001</v>
      </c>
      <c r="L280">
        <f t="shared" si="25"/>
        <v>283.5</v>
      </c>
      <c r="M280">
        <v>125</v>
      </c>
      <c r="N280">
        <v>0.25</v>
      </c>
      <c r="O280" s="2">
        <f t="shared" si="26"/>
        <v>80.598442500000004</v>
      </c>
      <c r="P280">
        <f t="shared" si="27"/>
        <v>4.0456060000000003</v>
      </c>
      <c r="Q280">
        <f t="shared" si="28"/>
        <v>3.4610475174959099</v>
      </c>
      <c r="R280">
        <f t="shared" si="29"/>
        <v>173.72587073337749</v>
      </c>
      <c r="S280">
        <v>0.54266020717638497</v>
      </c>
      <c r="T280">
        <f>AVERAGE(95.2,239.9)</f>
        <v>167.55</v>
      </c>
      <c r="X280" s="1">
        <v>0.53315972222222219</v>
      </c>
    </row>
    <row r="281" spans="1:24" x14ac:dyDescent="0.25">
      <c r="A281" t="s">
        <v>306</v>
      </c>
      <c r="B281" s="1" t="s">
        <v>47</v>
      </c>
      <c r="C281">
        <v>0.15483203600000001</v>
      </c>
      <c r="D281">
        <v>5.0197998000000001E-2</v>
      </c>
      <c r="E281">
        <v>0.885912323</v>
      </c>
      <c r="F281">
        <v>6.9026955000000001E-2</v>
      </c>
      <c r="G281">
        <v>0.25584889199999999</v>
      </c>
      <c r="H281">
        <v>0.85617200900000001</v>
      </c>
      <c r="I281">
        <v>99.9</v>
      </c>
      <c r="J281">
        <f t="shared" si="24"/>
        <v>0.99900000000000011</v>
      </c>
      <c r="K281">
        <f>AVERAGE(10.8,9.9)</f>
        <v>10.350000000000001</v>
      </c>
      <c r="L281">
        <f t="shared" si="25"/>
        <v>283.5</v>
      </c>
      <c r="M281">
        <v>125</v>
      </c>
      <c r="N281">
        <v>0.25</v>
      </c>
      <c r="O281" s="2">
        <f t="shared" si="26"/>
        <v>77.416018000000008</v>
      </c>
      <c r="P281">
        <f t="shared" si="27"/>
        <v>25.098998999999999</v>
      </c>
      <c r="Q281">
        <f t="shared" si="28"/>
        <v>3.3243882710676282</v>
      </c>
      <c r="R281">
        <f t="shared" si="29"/>
        <v>1077.7978517461092</v>
      </c>
      <c r="S281">
        <v>0.54266020717638497</v>
      </c>
      <c r="T281">
        <f>AVERAGE(95.2,239.9)</f>
        <v>167.55</v>
      </c>
      <c r="X281" s="1">
        <v>0.53487268518518516</v>
      </c>
    </row>
    <row r="282" spans="1:24" x14ac:dyDescent="0.25">
      <c r="A282" t="s">
        <v>307</v>
      </c>
      <c r="B282" s="1" t="s">
        <v>47</v>
      </c>
      <c r="C282">
        <v>3.2849833000000002E-2</v>
      </c>
      <c r="D282">
        <v>5.6209121000000001E-2</v>
      </c>
      <c r="E282">
        <v>0.24679194400000001</v>
      </c>
      <c r="F282">
        <v>5.7415265E-2</v>
      </c>
      <c r="G282">
        <v>0.16626941200000001</v>
      </c>
      <c r="H282">
        <v>0.91516799400000004</v>
      </c>
      <c r="I282">
        <v>99.9</v>
      </c>
      <c r="J282">
        <f t="shared" si="24"/>
        <v>0.99900000000000011</v>
      </c>
      <c r="K282">
        <v>8.6999999999999993</v>
      </c>
      <c r="L282">
        <f t="shared" si="25"/>
        <v>281.84999999999997</v>
      </c>
      <c r="M282">
        <v>125</v>
      </c>
      <c r="N282">
        <v>0.25</v>
      </c>
      <c r="O282" s="2">
        <f t="shared" si="26"/>
        <v>16.424916500000002</v>
      </c>
      <c r="P282">
        <f t="shared" si="27"/>
        <v>28.104560500000002</v>
      </c>
      <c r="Q282">
        <f t="shared" si="28"/>
        <v>0.70944561190899047</v>
      </c>
      <c r="R282">
        <f t="shared" si="29"/>
        <v>1213.9274571871181</v>
      </c>
      <c r="S282">
        <v>0.42704486313722612</v>
      </c>
      <c r="T282">
        <v>375.4</v>
      </c>
      <c r="X282" s="1">
        <v>0.43814814814814818</v>
      </c>
    </row>
    <row r="283" spans="1:24" x14ac:dyDescent="0.25">
      <c r="A283" t="s">
        <v>308</v>
      </c>
      <c r="B283" s="1" t="s">
        <v>47</v>
      </c>
      <c r="C283">
        <v>5.4307007999999997E-2</v>
      </c>
      <c r="D283">
        <v>7.4827586000000001E-2</v>
      </c>
      <c r="E283">
        <v>0.275882668</v>
      </c>
      <c r="F283">
        <v>7.3884951000000004E-2</v>
      </c>
      <c r="G283">
        <v>0.30369842400000002</v>
      </c>
      <c r="H283">
        <v>0.92028693399999995</v>
      </c>
      <c r="I283">
        <v>99.9</v>
      </c>
      <c r="J283">
        <f t="shared" si="24"/>
        <v>0.99900000000000011</v>
      </c>
      <c r="K283">
        <v>8.6999999999999993</v>
      </c>
      <c r="L283">
        <f t="shared" si="25"/>
        <v>281.84999999999997</v>
      </c>
      <c r="M283">
        <v>125</v>
      </c>
      <c r="N283">
        <v>0.25</v>
      </c>
      <c r="O283" s="2">
        <f t="shared" si="26"/>
        <v>27.153503999999998</v>
      </c>
      <c r="P283">
        <f t="shared" si="27"/>
        <v>37.413792999999998</v>
      </c>
      <c r="Q283">
        <f t="shared" si="28"/>
        <v>1.1728482309638053</v>
      </c>
      <c r="R283">
        <f t="shared" si="29"/>
        <v>1616.023513344576</v>
      </c>
      <c r="S283">
        <v>0.43202336542768605</v>
      </c>
      <c r="T283">
        <f>AVERAGE(375.4,87.9)</f>
        <v>231.64999999999998</v>
      </c>
      <c r="X283" s="1">
        <v>0.44185185185185188</v>
      </c>
    </row>
    <row r="284" spans="1:24" x14ac:dyDescent="0.25">
      <c r="A284" t="s">
        <v>309</v>
      </c>
      <c r="B284" s="1" t="s">
        <v>47</v>
      </c>
      <c r="C284">
        <v>0.1267297</v>
      </c>
      <c r="D284">
        <v>2.1768632E-2</v>
      </c>
      <c r="E284">
        <v>0.50670212800000003</v>
      </c>
      <c r="F284">
        <v>4.5939724000000001E-2</v>
      </c>
      <c r="G284">
        <v>0.41317956300000003</v>
      </c>
      <c r="H284">
        <v>0.716502164</v>
      </c>
      <c r="I284">
        <v>99.9</v>
      </c>
      <c r="J284">
        <f t="shared" si="24"/>
        <v>0.99900000000000011</v>
      </c>
      <c r="K284">
        <f>AVERAGE(8.7,8.9)</f>
        <v>8.8000000000000007</v>
      </c>
      <c r="L284">
        <f t="shared" si="25"/>
        <v>281.95</v>
      </c>
      <c r="M284">
        <v>125</v>
      </c>
      <c r="N284">
        <v>0.25</v>
      </c>
      <c r="O284" s="2">
        <f t="shared" si="26"/>
        <v>63.364849999999997</v>
      </c>
      <c r="P284">
        <f t="shared" si="27"/>
        <v>10.884316</v>
      </c>
      <c r="Q284">
        <f t="shared" si="28"/>
        <v>2.7359634278993523</v>
      </c>
      <c r="R284">
        <f t="shared" si="29"/>
        <v>469.96229792542351</v>
      </c>
      <c r="S284">
        <v>0.43495586798326058</v>
      </c>
      <c r="T284">
        <f>AVERAGE(375.4,87.9)</f>
        <v>231.64999999999998</v>
      </c>
      <c r="X284" s="1">
        <v>0.44673611111111106</v>
      </c>
    </row>
    <row r="285" spans="1:24" x14ac:dyDescent="0.25">
      <c r="A285" t="s">
        <v>310</v>
      </c>
      <c r="B285" s="1" t="s">
        <v>47</v>
      </c>
      <c r="C285">
        <v>0.155681869</v>
      </c>
      <c r="D285">
        <v>8.5294770000000006E-3</v>
      </c>
      <c r="E285">
        <v>0.492301661</v>
      </c>
      <c r="F285">
        <v>1.558143E-2</v>
      </c>
      <c r="G285">
        <v>0.52955127199999996</v>
      </c>
      <c r="H285">
        <v>0.77132246299999996</v>
      </c>
      <c r="I285">
        <v>99.9</v>
      </c>
      <c r="J285">
        <f t="shared" si="24"/>
        <v>0.99900000000000011</v>
      </c>
      <c r="K285">
        <f>AVERAGE(8.7,8.9)</f>
        <v>8.8000000000000007</v>
      </c>
      <c r="L285">
        <f t="shared" si="25"/>
        <v>281.95</v>
      </c>
      <c r="M285">
        <v>125</v>
      </c>
      <c r="N285">
        <v>0.25</v>
      </c>
      <c r="O285" s="2">
        <f t="shared" si="26"/>
        <v>77.840934500000003</v>
      </c>
      <c r="P285">
        <f t="shared" si="27"/>
        <v>4.2647385</v>
      </c>
      <c r="Q285">
        <f t="shared" si="28"/>
        <v>3.3610108756749049</v>
      </c>
      <c r="R285">
        <f t="shared" si="29"/>
        <v>184.14260533330929</v>
      </c>
      <c r="S285">
        <v>0.43495586798326058</v>
      </c>
      <c r="T285">
        <f>AVERAGE(375.4,87.9)</f>
        <v>231.64999999999998</v>
      </c>
      <c r="X285" s="1">
        <v>0.44870370370370366</v>
      </c>
    </row>
    <row r="286" spans="1:24" x14ac:dyDescent="0.25">
      <c r="A286" t="s">
        <v>311</v>
      </c>
      <c r="B286" s="1" t="s">
        <v>47</v>
      </c>
      <c r="C286">
        <v>-3.4349279999999999E-3</v>
      </c>
      <c r="D286">
        <v>5.9535038999999998E-2</v>
      </c>
      <c r="E286">
        <v>0.396627073</v>
      </c>
      <c r="F286">
        <v>8.4441753999999994E-2</v>
      </c>
      <c r="G286">
        <v>8.4350199999999999E-4</v>
      </c>
      <c r="H286">
        <v>0.84837381300000003</v>
      </c>
      <c r="I286">
        <v>99.9</v>
      </c>
      <c r="J286">
        <f t="shared" si="24"/>
        <v>0.99900000000000011</v>
      </c>
      <c r="K286">
        <f>AVERAGE(8.7,8.9)</f>
        <v>8.8000000000000007</v>
      </c>
      <c r="L286">
        <f t="shared" si="25"/>
        <v>281.95</v>
      </c>
      <c r="M286">
        <v>125</v>
      </c>
      <c r="N286">
        <v>0.25</v>
      </c>
      <c r="O286" s="2">
        <f t="shared" si="26"/>
        <v>-1.7174639999999999</v>
      </c>
      <c r="P286">
        <f t="shared" si="27"/>
        <v>29.767519499999999</v>
      </c>
      <c r="Q286">
        <f t="shared" si="28"/>
        <v>-7.4156550401898433E-2</v>
      </c>
      <c r="R286">
        <f t="shared" si="29"/>
        <v>1285.3000471283499</v>
      </c>
      <c r="S286">
        <v>0.43495586798326058</v>
      </c>
      <c r="T286">
        <f>AVERAGE(375.4,87.9)</f>
        <v>231.64999999999998</v>
      </c>
      <c r="X286" s="1">
        <v>0.45041666666666669</v>
      </c>
    </row>
    <row r="287" spans="1:24" x14ac:dyDescent="0.25">
      <c r="A287" t="s">
        <v>312</v>
      </c>
      <c r="B287" s="1" t="s">
        <v>47</v>
      </c>
      <c r="C287">
        <v>4.4320355999999998E-2</v>
      </c>
      <c r="D287">
        <v>1.2204672E-2</v>
      </c>
      <c r="E287">
        <v>0.44522331900000001</v>
      </c>
      <c r="F287">
        <v>1.8985612999999998E-2</v>
      </c>
      <c r="G287">
        <v>0.10034774</v>
      </c>
      <c r="H287">
        <v>0.82305320900000001</v>
      </c>
      <c r="I287">
        <v>99.9</v>
      </c>
      <c r="J287">
        <f t="shared" si="24"/>
        <v>0.99900000000000011</v>
      </c>
      <c r="K287">
        <f>AVERAGE(8.7,7.7)</f>
        <v>8.1999999999999993</v>
      </c>
      <c r="L287">
        <f t="shared" si="25"/>
        <v>281.34999999999997</v>
      </c>
      <c r="M287">
        <v>125</v>
      </c>
      <c r="N287">
        <v>0.25</v>
      </c>
      <c r="O287" s="2">
        <f t="shared" si="26"/>
        <v>22.160177999999998</v>
      </c>
      <c r="P287">
        <f t="shared" si="27"/>
        <v>6.1023360000000002</v>
      </c>
      <c r="Q287">
        <f t="shared" si="28"/>
        <v>0.95887125732228096</v>
      </c>
      <c r="R287">
        <f t="shared" si="29"/>
        <v>264.04817654998163</v>
      </c>
      <c r="S287">
        <v>0.38981500695302085</v>
      </c>
      <c r="T287">
        <f>AVERAGE(236.2,375.4)</f>
        <v>305.79999999999995</v>
      </c>
      <c r="X287" s="1">
        <v>0.42788194444444444</v>
      </c>
    </row>
    <row r="288" spans="1:24" x14ac:dyDescent="0.25">
      <c r="A288" t="s">
        <v>313</v>
      </c>
      <c r="B288" s="1" t="s">
        <v>25</v>
      </c>
      <c r="C288">
        <v>0.14253837599999999</v>
      </c>
      <c r="D288">
        <v>8.3296996999999998E-2</v>
      </c>
      <c r="E288">
        <v>0.66291384099999995</v>
      </c>
      <c r="F288">
        <v>0.122455824</v>
      </c>
      <c r="G288">
        <v>0.34227544399999998</v>
      </c>
      <c r="H288">
        <v>0.83892096800000004</v>
      </c>
      <c r="I288">
        <v>99.9</v>
      </c>
      <c r="J288">
        <f t="shared" si="24"/>
        <v>0.99900000000000011</v>
      </c>
      <c r="K288">
        <v>11.7</v>
      </c>
      <c r="L288">
        <f t="shared" si="25"/>
        <v>284.84999999999997</v>
      </c>
      <c r="M288">
        <v>125</v>
      </c>
      <c r="N288">
        <v>0.25</v>
      </c>
      <c r="O288" s="2">
        <f t="shared" si="26"/>
        <v>71.269188</v>
      </c>
      <c r="P288">
        <f t="shared" si="27"/>
        <v>41.648498500000002</v>
      </c>
      <c r="Q288">
        <f t="shared" si="28"/>
        <v>3.0459275042074183</v>
      </c>
      <c r="R288">
        <f t="shared" si="29"/>
        <v>1779.9881077653279</v>
      </c>
      <c r="S288">
        <v>0.58411292399758274</v>
      </c>
      <c r="T288">
        <v>78.7</v>
      </c>
      <c r="X288" s="1">
        <v>0.79122685185185182</v>
      </c>
    </row>
    <row r="289" spans="1:24" x14ac:dyDescent="0.25">
      <c r="A289" t="s">
        <v>314</v>
      </c>
      <c r="B289" s="1" t="s">
        <v>25</v>
      </c>
      <c r="C289">
        <v>1.5550612E-2</v>
      </c>
      <c r="D289">
        <v>8.4705227999999994E-2</v>
      </c>
      <c r="E289">
        <v>1.154599183</v>
      </c>
      <c r="F289">
        <v>7.2658210000000001E-2</v>
      </c>
      <c r="G289">
        <v>2.0376470000000001E-3</v>
      </c>
      <c r="H289">
        <v>0.93864259699999997</v>
      </c>
      <c r="I289">
        <v>99.9</v>
      </c>
      <c r="J289">
        <f t="shared" si="24"/>
        <v>0.99900000000000011</v>
      </c>
      <c r="K289">
        <v>11.7</v>
      </c>
      <c r="L289">
        <f t="shared" si="25"/>
        <v>284.84999999999997</v>
      </c>
      <c r="M289">
        <v>125</v>
      </c>
      <c r="N289">
        <v>0.25</v>
      </c>
      <c r="O289" s="2">
        <f t="shared" si="26"/>
        <v>7.7753060000000005</v>
      </c>
      <c r="P289">
        <f t="shared" si="27"/>
        <v>42.352613999999996</v>
      </c>
      <c r="Q289">
        <f t="shared" si="28"/>
        <v>0.33230374953940778</v>
      </c>
      <c r="R289">
        <f t="shared" si="29"/>
        <v>1810.0808424768379</v>
      </c>
      <c r="S289">
        <v>0.58411292399758274</v>
      </c>
      <c r="T289">
        <v>78.7</v>
      </c>
      <c r="X289" s="1">
        <v>0.79482638888888879</v>
      </c>
    </row>
    <row r="290" spans="1:24" x14ac:dyDescent="0.25">
      <c r="A290" t="s">
        <v>315</v>
      </c>
      <c r="B290" s="1" t="s">
        <v>25</v>
      </c>
      <c r="C290">
        <v>-7.7908788000000007E-2</v>
      </c>
      <c r="D290">
        <v>7.3463848999999998E-2</v>
      </c>
      <c r="E290">
        <v>0.42916756499999997</v>
      </c>
      <c r="F290">
        <v>4.1195896000000003E-2</v>
      </c>
      <c r="G290">
        <v>0.27057242399999998</v>
      </c>
      <c r="H290">
        <v>0.97282235399999994</v>
      </c>
      <c r="I290">
        <v>99.9</v>
      </c>
      <c r="J290">
        <f t="shared" si="24"/>
        <v>0.99900000000000011</v>
      </c>
      <c r="K290">
        <v>11.7</v>
      </c>
      <c r="L290">
        <f t="shared" si="25"/>
        <v>284.84999999999997</v>
      </c>
      <c r="M290">
        <v>125</v>
      </c>
      <c r="N290">
        <v>0.25</v>
      </c>
      <c r="O290" s="2">
        <f t="shared" si="26"/>
        <v>-38.954394000000001</v>
      </c>
      <c r="P290">
        <f t="shared" si="27"/>
        <v>36.731924499999998</v>
      </c>
      <c r="Q290">
        <f t="shared" si="28"/>
        <v>-1.664846526584987</v>
      </c>
      <c r="R290">
        <f t="shared" si="29"/>
        <v>1569.8618471283876</v>
      </c>
      <c r="S290">
        <v>0.58411292399758274</v>
      </c>
      <c r="T290">
        <v>78.7</v>
      </c>
      <c r="X290" s="1">
        <v>0.79827546296296292</v>
      </c>
    </row>
    <row r="291" spans="1:24" x14ac:dyDescent="0.25">
      <c r="A291" t="s">
        <v>316</v>
      </c>
      <c r="B291" s="1" t="s">
        <v>40</v>
      </c>
      <c r="C291">
        <v>-0.14269187999999999</v>
      </c>
      <c r="D291">
        <v>1.2240267000000001E-2</v>
      </c>
      <c r="E291">
        <v>2.1084988610000002</v>
      </c>
      <c r="F291">
        <v>2.4013118999999999E-2</v>
      </c>
      <c r="G291">
        <v>4.9023445999999998E-2</v>
      </c>
      <c r="H291">
        <v>0.74519713200000004</v>
      </c>
      <c r="I291">
        <v>99.9</v>
      </c>
      <c r="J291">
        <f t="shared" si="24"/>
        <v>0.99900000000000011</v>
      </c>
      <c r="K291">
        <v>11.5</v>
      </c>
      <c r="L291">
        <f t="shared" si="25"/>
        <v>284.64999999999998</v>
      </c>
      <c r="M291">
        <v>125</v>
      </c>
      <c r="N291">
        <v>0.25</v>
      </c>
      <c r="O291" s="2">
        <f t="shared" si="26"/>
        <v>-71.345939999999999</v>
      </c>
      <c r="P291">
        <f t="shared" si="27"/>
        <v>6.1201335000000006</v>
      </c>
      <c r="Q291">
        <f t="shared" si="28"/>
        <v>-3.0513501840174793</v>
      </c>
      <c r="R291">
        <f t="shared" si="29"/>
        <v>261.74818751335448</v>
      </c>
      <c r="S291">
        <v>0.64582433937762529</v>
      </c>
      <c r="T291">
        <v>747.1</v>
      </c>
      <c r="X291" s="1">
        <v>0.54809027777777775</v>
      </c>
    </row>
    <row r="292" spans="1:24" x14ac:dyDescent="0.25">
      <c r="A292" t="s">
        <v>317</v>
      </c>
      <c r="B292" s="1" t="s">
        <v>40</v>
      </c>
      <c r="C292">
        <v>0.235408231</v>
      </c>
      <c r="D292">
        <v>6.9076750000000003E-3</v>
      </c>
      <c r="E292">
        <v>0.72725363099999996</v>
      </c>
      <c r="F292">
        <v>1.0930274E-2</v>
      </c>
      <c r="G292">
        <v>0.541153895</v>
      </c>
      <c r="H292">
        <v>0.818034967</v>
      </c>
      <c r="I292">
        <v>99.9</v>
      </c>
      <c r="J292">
        <f t="shared" si="24"/>
        <v>0.99900000000000011</v>
      </c>
      <c r="K292">
        <v>11</v>
      </c>
      <c r="L292">
        <f t="shared" si="25"/>
        <v>284.14999999999998</v>
      </c>
      <c r="M292">
        <v>125</v>
      </c>
      <c r="N292">
        <v>0.25</v>
      </c>
      <c r="O292" s="2">
        <f t="shared" si="26"/>
        <v>117.7041155</v>
      </c>
      <c r="P292">
        <f t="shared" si="27"/>
        <v>3.4538375000000001</v>
      </c>
      <c r="Q292">
        <f t="shared" si="28"/>
        <v>5.0428722143542144</v>
      </c>
      <c r="R292">
        <f t="shared" si="29"/>
        <v>147.97495472148231</v>
      </c>
      <c r="S292">
        <v>0.61185347183575745</v>
      </c>
      <c r="T292">
        <v>203.2</v>
      </c>
      <c r="X292" s="1">
        <v>0.56314814814814818</v>
      </c>
    </row>
    <row r="293" spans="1:24" x14ac:dyDescent="0.25">
      <c r="A293" t="s">
        <v>318</v>
      </c>
      <c r="B293" s="1" t="s">
        <v>40</v>
      </c>
      <c r="C293">
        <v>0.56146607299999995</v>
      </c>
      <c r="D293">
        <v>3.7067852999999998E-2</v>
      </c>
      <c r="E293">
        <v>1.3705619060000001</v>
      </c>
      <c r="F293">
        <v>4.0232315999999997E-2</v>
      </c>
      <c r="G293">
        <v>0.653859474</v>
      </c>
      <c r="H293">
        <v>0.90525745099999999</v>
      </c>
      <c r="I293">
        <v>99.9</v>
      </c>
      <c r="J293">
        <f t="shared" si="24"/>
        <v>0.99900000000000011</v>
      </c>
      <c r="K293">
        <v>11</v>
      </c>
      <c r="L293">
        <f t="shared" si="25"/>
        <v>284.14999999999998</v>
      </c>
      <c r="M293">
        <v>125</v>
      </c>
      <c r="N293">
        <v>0.25</v>
      </c>
      <c r="O293" s="2">
        <f t="shared" si="26"/>
        <v>280.73303649999997</v>
      </c>
      <c r="P293">
        <f t="shared" si="27"/>
        <v>18.5339265</v>
      </c>
      <c r="Q293">
        <f t="shared" si="28"/>
        <v>12.027623871971898</v>
      </c>
      <c r="R293">
        <f t="shared" si="29"/>
        <v>794.06079025107033</v>
      </c>
      <c r="S293">
        <v>0.61185347183575745</v>
      </c>
      <c r="T293">
        <v>203.2</v>
      </c>
      <c r="X293" s="1">
        <v>0.56603009259259263</v>
      </c>
    </row>
    <row r="294" spans="1:24" x14ac:dyDescent="0.25">
      <c r="A294" t="s">
        <v>319</v>
      </c>
      <c r="C294">
        <v>0.36678976600000002</v>
      </c>
      <c r="D294">
        <v>1.0522803000000001E-2</v>
      </c>
      <c r="E294">
        <v>0.46278141</v>
      </c>
      <c r="F294">
        <v>7.5169470000000004E-3</v>
      </c>
      <c r="G294">
        <v>0.87609562200000002</v>
      </c>
      <c r="H294">
        <v>0.95663072199999999</v>
      </c>
      <c r="I294">
        <v>99.9</v>
      </c>
      <c r="J294">
        <f t="shared" si="24"/>
        <v>0.99900000000000011</v>
      </c>
      <c r="K294">
        <v>11</v>
      </c>
      <c r="L294">
        <f t="shared" si="25"/>
        <v>284.14999999999998</v>
      </c>
      <c r="M294">
        <v>125</v>
      </c>
      <c r="N294">
        <v>0.25</v>
      </c>
      <c r="O294" s="2">
        <f t="shared" si="26"/>
        <v>183.39488300000002</v>
      </c>
      <c r="P294">
        <f t="shared" si="27"/>
        <v>5.2614015000000007</v>
      </c>
      <c r="Q294">
        <f t="shared" si="28"/>
        <v>7.8573035089452095</v>
      </c>
      <c r="R294">
        <f t="shared" si="29"/>
        <v>225.41756777324909</v>
      </c>
      <c r="S294">
        <v>0.61185347183575745</v>
      </c>
      <c r="T294">
        <v>203.2</v>
      </c>
      <c r="X294" s="1">
        <v>0.56743055555555555</v>
      </c>
    </row>
    <row r="295" spans="1:24" x14ac:dyDescent="0.25">
      <c r="A295" t="s">
        <v>320</v>
      </c>
      <c r="B295" s="1" t="s">
        <v>40</v>
      </c>
      <c r="C295">
        <v>3.1931033999999997E-2</v>
      </c>
      <c r="D295">
        <v>6.5236929999999999E-2</v>
      </c>
      <c r="E295">
        <v>0.393374004</v>
      </c>
      <c r="F295">
        <v>6.8526672999999996E-2</v>
      </c>
      <c r="G295">
        <v>6.9044017999999999E-2</v>
      </c>
      <c r="H295">
        <v>0.91072361199999996</v>
      </c>
      <c r="I295">
        <v>99.9</v>
      </c>
      <c r="J295">
        <f t="shared" si="24"/>
        <v>0.99900000000000011</v>
      </c>
      <c r="K295">
        <v>11.25</v>
      </c>
      <c r="L295">
        <f t="shared" si="25"/>
        <v>284.39999999999998</v>
      </c>
      <c r="M295">
        <v>125</v>
      </c>
      <c r="N295">
        <v>0.25</v>
      </c>
      <c r="O295" s="2">
        <f t="shared" si="26"/>
        <v>15.965516999999998</v>
      </c>
      <c r="P295">
        <f t="shared" si="27"/>
        <v>32.618465</v>
      </c>
      <c r="Q295">
        <f t="shared" si="28"/>
        <v>0.68341950587251699</v>
      </c>
      <c r="R295">
        <f t="shared" si="29"/>
        <v>1396.2651652696238</v>
      </c>
      <c r="S295">
        <v>0.62865405160648591</v>
      </c>
      <c r="T295">
        <f>AVERAGE(747.1,203.2)</f>
        <v>475.15</v>
      </c>
      <c r="X295" s="1">
        <v>0.55160879629629633</v>
      </c>
    </row>
    <row r="296" spans="1:24" x14ac:dyDescent="0.25">
      <c r="A296" t="s">
        <v>321</v>
      </c>
      <c r="B296" s="1" t="s">
        <v>40</v>
      </c>
      <c r="C296">
        <v>0.29632480500000002</v>
      </c>
      <c r="D296">
        <v>5.6068965999999998E-2</v>
      </c>
      <c r="E296">
        <v>0.96698951099999997</v>
      </c>
      <c r="F296">
        <v>6.3115452000000002E-2</v>
      </c>
      <c r="G296">
        <v>0.51385498399999996</v>
      </c>
      <c r="H296">
        <v>0.89881536900000003</v>
      </c>
      <c r="I296">
        <v>99.9</v>
      </c>
      <c r="J296">
        <f t="shared" si="24"/>
        <v>0.99900000000000011</v>
      </c>
      <c r="K296">
        <v>11.25</v>
      </c>
      <c r="L296">
        <f t="shared" si="25"/>
        <v>284.39999999999998</v>
      </c>
      <c r="M296">
        <v>125</v>
      </c>
      <c r="N296">
        <v>0.25</v>
      </c>
      <c r="O296" s="2">
        <f t="shared" si="26"/>
        <v>148.16240250000001</v>
      </c>
      <c r="P296">
        <f t="shared" si="27"/>
        <v>28.034482999999998</v>
      </c>
      <c r="Q296">
        <f t="shared" si="28"/>
        <v>6.3422359517349163</v>
      </c>
      <c r="R296">
        <f t="shared" si="29"/>
        <v>1200.0433508824974</v>
      </c>
      <c r="S296">
        <v>0.62865405160648591</v>
      </c>
      <c r="T296">
        <f>AVERAGE(747.1,203.2)</f>
        <v>475.15</v>
      </c>
      <c r="X296" s="1">
        <v>0.55487268518518518</v>
      </c>
    </row>
    <row r="297" spans="1:24" x14ac:dyDescent="0.25">
      <c r="A297" t="s">
        <v>322</v>
      </c>
      <c r="B297" s="1" t="s">
        <v>40</v>
      </c>
      <c r="C297">
        <v>-0.28208676300000002</v>
      </c>
      <c r="D297">
        <v>5.0609566000000002E-2</v>
      </c>
      <c r="E297">
        <v>3.0187947830000001</v>
      </c>
      <c r="F297">
        <v>4.5364428999999998E-2</v>
      </c>
      <c r="G297">
        <v>8.9488254000000003E-2</v>
      </c>
      <c r="H297">
        <v>0.93337466000000002</v>
      </c>
      <c r="I297">
        <v>99.9</v>
      </c>
      <c r="J297">
        <f t="shared" si="24"/>
        <v>0.99900000000000011</v>
      </c>
      <c r="K297">
        <v>11</v>
      </c>
      <c r="L297">
        <f t="shared" si="25"/>
        <v>284.14999999999998</v>
      </c>
      <c r="M297">
        <v>125</v>
      </c>
      <c r="N297">
        <v>0.25</v>
      </c>
      <c r="O297" s="2">
        <f t="shared" si="26"/>
        <v>-141.04338150000001</v>
      </c>
      <c r="P297">
        <f t="shared" si="27"/>
        <v>25.304783</v>
      </c>
      <c r="Q297">
        <f t="shared" si="28"/>
        <v>-6.0428112183121687</v>
      </c>
      <c r="R297">
        <f t="shared" si="29"/>
        <v>1084.1488977584893</v>
      </c>
      <c r="S297">
        <v>0.61185347183575745</v>
      </c>
      <c r="T297">
        <v>203.2</v>
      </c>
      <c r="X297" s="1">
        <v>0.55833333333333335</v>
      </c>
    </row>
    <row r="298" spans="1:24" x14ac:dyDescent="0.25">
      <c r="A298" t="s">
        <v>323</v>
      </c>
      <c r="B298" s="1" t="s">
        <v>40</v>
      </c>
      <c r="C298">
        <v>-3.951057E-3</v>
      </c>
      <c r="D298">
        <v>5.5281424000000003E-2</v>
      </c>
      <c r="E298">
        <v>1.137805873</v>
      </c>
      <c r="F298">
        <v>5.9475034000000003E-2</v>
      </c>
      <c r="G298">
        <v>1.35711E-4</v>
      </c>
      <c r="H298">
        <v>0.90675634100000002</v>
      </c>
      <c r="I298">
        <v>99.9</v>
      </c>
      <c r="J298">
        <f t="shared" si="24"/>
        <v>0.99900000000000011</v>
      </c>
      <c r="K298">
        <v>11</v>
      </c>
      <c r="L298">
        <f t="shared" si="25"/>
        <v>284.14999999999998</v>
      </c>
      <c r="M298">
        <v>125</v>
      </c>
      <c r="N298">
        <v>0.25</v>
      </c>
      <c r="O298" s="2">
        <f t="shared" si="26"/>
        <v>-1.9755285</v>
      </c>
      <c r="P298">
        <f t="shared" si="27"/>
        <v>27.640712000000001</v>
      </c>
      <c r="Q298">
        <f t="shared" si="28"/>
        <v>-8.4638822856749299E-2</v>
      </c>
      <c r="R298">
        <f t="shared" si="29"/>
        <v>1184.2285882498911</v>
      </c>
      <c r="S298">
        <v>0.61185347183575745</v>
      </c>
      <c r="T298">
        <v>203.2</v>
      </c>
      <c r="X298" s="1">
        <v>0.56159722222222219</v>
      </c>
    </row>
    <row r="299" spans="1:24" x14ac:dyDescent="0.25">
      <c r="A299" t="s">
        <v>324</v>
      </c>
      <c r="B299" s="1" t="s">
        <v>47</v>
      </c>
      <c r="C299">
        <v>7.8191324000000006E-2</v>
      </c>
      <c r="D299">
        <v>7.4794220000000003E-3</v>
      </c>
      <c r="E299">
        <v>0.23256954199999999</v>
      </c>
      <c r="F299">
        <v>1.077706E-2</v>
      </c>
      <c r="G299">
        <v>0.559919634</v>
      </c>
      <c r="H299">
        <v>0.84427260800000004</v>
      </c>
      <c r="I299">
        <v>99.9</v>
      </c>
      <c r="J299">
        <f t="shared" si="24"/>
        <v>0.99900000000000011</v>
      </c>
      <c r="K299">
        <v>9.1999999999999993</v>
      </c>
      <c r="L299">
        <f t="shared" si="25"/>
        <v>282.34999999999997</v>
      </c>
      <c r="M299">
        <v>125</v>
      </c>
      <c r="N299">
        <v>0.25</v>
      </c>
      <c r="O299" s="2">
        <f t="shared" si="26"/>
        <v>39.095662000000004</v>
      </c>
      <c r="P299">
        <f t="shared" si="27"/>
        <v>3.7397110000000002</v>
      </c>
      <c r="Q299">
        <f t="shared" si="28"/>
        <v>1.6856785281222104</v>
      </c>
      <c r="R299">
        <f t="shared" si="29"/>
        <v>161.24424582150414</v>
      </c>
      <c r="S299">
        <v>0.47489827578805632</v>
      </c>
      <c r="T299">
        <v>595.1</v>
      </c>
      <c r="X299" s="1">
        <v>0.54245370370370372</v>
      </c>
    </row>
    <row r="300" spans="1:24" x14ac:dyDescent="0.25">
      <c r="A300" t="s">
        <v>325</v>
      </c>
      <c r="B300" s="1" t="s">
        <v>47</v>
      </c>
      <c r="C300">
        <v>8.0656284999999994E-2</v>
      </c>
      <c r="D300">
        <v>7.5528360000000003E-3</v>
      </c>
      <c r="E300">
        <v>0.178854925</v>
      </c>
      <c r="F300">
        <v>7.7158239999999996E-3</v>
      </c>
      <c r="G300">
        <v>0.69596161199999995</v>
      </c>
      <c r="H300">
        <v>0.91514953499999996</v>
      </c>
      <c r="I300">
        <v>99.9</v>
      </c>
      <c r="J300">
        <f t="shared" si="24"/>
        <v>0.99900000000000011</v>
      </c>
      <c r="K300">
        <v>8.9</v>
      </c>
      <c r="L300">
        <f t="shared" si="25"/>
        <v>282.04999999999995</v>
      </c>
      <c r="M300">
        <v>125</v>
      </c>
      <c r="N300">
        <v>0.25</v>
      </c>
      <c r="O300" s="2">
        <f t="shared" si="26"/>
        <v>40.328142499999998</v>
      </c>
      <c r="P300">
        <f t="shared" si="27"/>
        <v>3.7764180000000001</v>
      </c>
      <c r="Q300">
        <f t="shared" si="28"/>
        <v>1.7406685816428014</v>
      </c>
      <c r="R300">
        <f t="shared" si="29"/>
        <v>163.0001224021251</v>
      </c>
      <c r="S300">
        <v>0.48220112355062461</v>
      </c>
      <c r="T300">
        <v>168.5</v>
      </c>
      <c r="X300" s="1">
        <v>0.64853009259259264</v>
      </c>
    </row>
    <row r="301" spans="1:24" x14ac:dyDescent="0.25">
      <c r="A301" t="s">
        <v>326</v>
      </c>
      <c r="B301" s="1" t="s">
        <v>47</v>
      </c>
      <c r="C301">
        <v>4.4682980999999997E-2</v>
      </c>
      <c r="D301">
        <v>4.5964405E-2</v>
      </c>
      <c r="E301">
        <v>0.22320374900000001</v>
      </c>
      <c r="F301">
        <v>3.7322951E-2</v>
      </c>
      <c r="G301">
        <v>0.31086304599999998</v>
      </c>
      <c r="H301">
        <v>0.94466447799999997</v>
      </c>
      <c r="I301">
        <v>99.9</v>
      </c>
      <c r="J301">
        <f t="shared" si="24"/>
        <v>0.99900000000000011</v>
      </c>
      <c r="K301">
        <v>8.9</v>
      </c>
      <c r="L301">
        <f t="shared" si="25"/>
        <v>282.04999999999995</v>
      </c>
      <c r="M301">
        <v>125</v>
      </c>
      <c r="N301">
        <v>0.25</v>
      </c>
      <c r="O301" s="2">
        <f t="shared" si="26"/>
        <v>22.341490499999999</v>
      </c>
      <c r="P301">
        <f t="shared" si="27"/>
        <v>22.9822025</v>
      </c>
      <c r="Q301">
        <f t="shared" si="28"/>
        <v>0.9643174262345735</v>
      </c>
      <c r="R301">
        <f t="shared" si="29"/>
        <v>991.97223945294888</v>
      </c>
      <c r="S301">
        <v>0.48220112355062461</v>
      </c>
      <c r="T301">
        <v>168.5</v>
      </c>
      <c r="X301" s="1">
        <v>0.65103009259259259</v>
      </c>
    </row>
    <row r="302" spans="1:24" x14ac:dyDescent="0.25">
      <c r="A302" t="s">
        <v>327</v>
      </c>
      <c r="B302" s="1" t="s">
        <v>47</v>
      </c>
      <c r="C302">
        <v>6.9719689000000001E-2</v>
      </c>
      <c r="D302">
        <v>4.2625140000000002E-3</v>
      </c>
      <c r="E302">
        <v>0.19047307499999999</v>
      </c>
      <c r="F302">
        <v>6.230775E-3</v>
      </c>
      <c r="G302">
        <v>0.60128949399999998</v>
      </c>
      <c r="H302">
        <v>0.84045451199999999</v>
      </c>
      <c r="I302">
        <v>99.9</v>
      </c>
      <c r="J302">
        <f t="shared" si="24"/>
        <v>0.99900000000000011</v>
      </c>
      <c r="K302">
        <v>8.9</v>
      </c>
      <c r="L302">
        <f t="shared" si="25"/>
        <v>282.04999999999995</v>
      </c>
      <c r="M302">
        <v>125</v>
      </c>
      <c r="N302">
        <v>0.25</v>
      </c>
      <c r="O302" s="2">
        <f t="shared" si="26"/>
        <v>34.859844500000001</v>
      </c>
      <c r="P302">
        <f t="shared" si="27"/>
        <v>2.1312570000000002</v>
      </c>
      <c r="Q302">
        <f t="shared" si="28"/>
        <v>1.5046424734812323</v>
      </c>
      <c r="R302">
        <f t="shared" si="29"/>
        <v>91.990651424282476</v>
      </c>
      <c r="S302">
        <v>0.48220112355062461</v>
      </c>
      <c r="T302">
        <v>168.5</v>
      </c>
      <c r="X302" s="1">
        <v>0.65263888888888888</v>
      </c>
    </row>
    <row r="303" spans="1:24" x14ac:dyDescent="0.25">
      <c r="A303" t="s">
        <v>328</v>
      </c>
      <c r="B303" s="1" t="s">
        <v>47</v>
      </c>
      <c r="C303">
        <v>1.3279199E-2</v>
      </c>
      <c r="D303">
        <v>4.6996663000000001E-2</v>
      </c>
      <c r="E303">
        <v>0.26935484500000001</v>
      </c>
      <c r="F303">
        <v>5.1448128000000003E-2</v>
      </c>
      <c r="G303">
        <v>2.6628998000000001E-2</v>
      </c>
      <c r="H303">
        <v>0.90377594699999997</v>
      </c>
      <c r="I303">
        <v>99.9</v>
      </c>
      <c r="J303">
        <f t="shared" si="24"/>
        <v>0.99900000000000011</v>
      </c>
      <c r="K303">
        <v>8.9</v>
      </c>
      <c r="L303">
        <f t="shared" si="25"/>
        <v>282.04999999999995</v>
      </c>
      <c r="M303">
        <v>125</v>
      </c>
      <c r="N303">
        <v>0.25</v>
      </c>
      <c r="O303" s="2">
        <f t="shared" si="26"/>
        <v>6.6395995000000001</v>
      </c>
      <c r="P303">
        <f t="shared" si="27"/>
        <v>23.498331499999999</v>
      </c>
      <c r="Q303">
        <f t="shared" si="28"/>
        <v>0.28658255818108291</v>
      </c>
      <c r="R303">
        <f t="shared" si="29"/>
        <v>1014.2497230830147</v>
      </c>
      <c r="S303">
        <v>0.4721085418949138</v>
      </c>
      <c r="T303">
        <f>AVERAGE(168.5,488.9)</f>
        <v>328.7</v>
      </c>
      <c r="X303" s="1">
        <v>0.63533564814814814</v>
      </c>
    </row>
    <row r="304" spans="1:24" x14ac:dyDescent="0.25">
      <c r="A304" t="s">
        <v>329</v>
      </c>
      <c r="B304" s="1" t="s">
        <v>47</v>
      </c>
      <c r="C304">
        <v>0.10727919900000001</v>
      </c>
      <c r="D304">
        <v>7.726363E-3</v>
      </c>
      <c r="E304">
        <v>0.206823805</v>
      </c>
      <c r="F304">
        <v>1.0247635999999999E-2</v>
      </c>
      <c r="G304">
        <v>0.75176206000000001</v>
      </c>
      <c r="H304">
        <v>0.86483930499999995</v>
      </c>
      <c r="I304">
        <v>99.9</v>
      </c>
      <c r="J304">
        <f t="shared" si="24"/>
        <v>0.99900000000000011</v>
      </c>
      <c r="K304">
        <v>8.9</v>
      </c>
      <c r="L304">
        <f t="shared" si="25"/>
        <v>282.04999999999995</v>
      </c>
      <c r="M304">
        <v>125</v>
      </c>
      <c r="N304">
        <v>0.25</v>
      </c>
      <c r="O304" s="2">
        <f t="shared" si="26"/>
        <v>53.639599500000003</v>
      </c>
      <c r="P304">
        <f t="shared" si="27"/>
        <v>3.8631815</v>
      </c>
      <c r="Q304">
        <f t="shared" si="28"/>
        <v>2.315226038034182</v>
      </c>
      <c r="R304">
        <f t="shared" si="29"/>
        <v>166.7450630098748</v>
      </c>
      <c r="S304">
        <v>0.4721085418949138</v>
      </c>
      <c r="T304">
        <f>AVERAGE(168.5,488.9)</f>
        <v>328.7</v>
      </c>
      <c r="X304" s="1">
        <v>0.63674768518518521</v>
      </c>
    </row>
    <row r="305" spans="1:24" x14ac:dyDescent="0.25">
      <c r="A305" t="s">
        <v>330</v>
      </c>
      <c r="B305" s="1" t="s">
        <v>47</v>
      </c>
      <c r="C305">
        <v>0.15901891000000001</v>
      </c>
      <c r="D305">
        <v>7.5701890999999993E-2</v>
      </c>
      <c r="E305">
        <v>0.36097406700000001</v>
      </c>
      <c r="F305">
        <v>6.1246638999999999E-2</v>
      </c>
      <c r="G305">
        <v>0.68596692599999998</v>
      </c>
      <c r="H305">
        <v>0.94504331500000005</v>
      </c>
      <c r="I305">
        <v>99.9</v>
      </c>
      <c r="J305">
        <f t="shared" si="24"/>
        <v>0.99900000000000011</v>
      </c>
      <c r="K305">
        <v>8.9</v>
      </c>
      <c r="L305">
        <f t="shared" si="25"/>
        <v>282.04999999999995</v>
      </c>
      <c r="M305">
        <v>125</v>
      </c>
      <c r="N305">
        <v>0.25</v>
      </c>
      <c r="O305" s="2">
        <f t="shared" si="26"/>
        <v>79.509455000000003</v>
      </c>
      <c r="P305">
        <f t="shared" si="27"/>
        <v>37.850945499999995</v>
      </c>
      <c r="Q305">
        <f t="shared" si="28"/>
        <v>3.43183696749837</v>
      </c>
      <c r="R305">
        <f t="shared" si="29"/>
        <v>1633.7462509542552</v>
      </c>
      <c r="S305">
        <v>0.48220112355062461</v>
      </c>
      <c r="T305">
        <v>168.5</v>
      </c>
      <c r="X305" s="1">
        <v>0.63921296296296293</v>
      </c>
    </row>
    <row r="306" spans="1:24" x14ac:dyDescent="0.25">
      <c r="A306" t="s">
        <v>331</v>
      </c>
      <c r="B306" s="1" t="s">
        <v>47</v>
      </c>
      <c r="C306">
        <v>3.6669633E-2</v>
      </c>
      <c r="D306">
        <v>4.2783092000000002E-2</v>
      </c>
      <c r="E306">
        <v>0.32235817999999999</v>
      </c>
      <c r="F306">
        <v>4.5979429000000002E-2</v>
      </c>
      <c r="G306">
        <v>0.12713498300000001</v>
      </c>
      <c r="H306">
        <v>0.90693687899999997</v>
      </c>
      <c r="I306">
        <v>99.9</v>
      </c>
      <c r="J306">
        <f t="shared" si="24"/>
        <v>0.99900000000000011</v>
      </c>
      <c r="K306">
        <v>8.9</v>
      </c>
      <c r="L306">
        <f t="shared" si="25"/>
        <v>282.04999999999995</v>
      </c>
      <c r="M306">
        <v>125</v>
      </c>
      <c r="N306">
        <v>0.25</v>
      </c>
      <c r="O306" s="2">
        <f t="shared" si="26"/>
        <v>18.334816499999999</v>
      </c>
      <c r="P306">
        <f t="shared" si="27"/>
        <v>21.391546000000002</v>
      </c>
      <c r="Q306">
        <f t="shared" si="28"/>
        <v>0.79137884993676633</v>
      </c>
      <c r="R306">
        <f t="shared" si="29"/>
        <v>923.3153258910138</v>
      </c>
      <c r="S306">
        <v>0.48220112355062461</v>
      </c>
      <c r="T306">
        <v>168.5</v>
      </c>
      <c r="X306" s="1">
        <v>0.64362268518518517</v>
      </c>
    </row>
    <row r="307" spans="1:24" x14ac:dyDescent="0.25">
      <c r="A307" t="s">
        <v>332</v>
      </c>
      <c r="B307" s="1" t="s">
        <v>47</v>
      </c>
      <c r="C307">
        <v>0.13054060100000001</v>
      </c>
      <c r="D307">
        <v>7.3770859999999997E-3</v>
      </c>
      <c r="E307">
        <v>0.280664095</v>
      </c>
      <c r="F307">
        <v>9.3550200000000003E-3</v>
      </c>
      <c r="G307">
        <v>0.70887955599999997</v>
      </c>
      <c r="H307">
        <v>0.87499103499999997</v>
      </c>
      <c r="I307">
        <v>99.9</v>
      </c>
      <c r="J307">
        <f t="shared" si="24"/>
        <v>0.99900000000000011</v>
      </c>
      <c r="K307">
        <v>8.9</v>
      </c>
      <c r="L307">
        <f t="shared" si="25"/>
        <v>282.04999999999995</v>
      </c>
      <c r="M307">
        <v>125</v>
      </c>
      <c r="N307">
        <v>0.25</v>
      </c>
      <c r="O307" s="2">
        <f t="shared" si="26"/>
        <v>65.270300500000005</v>
      </c>
      <c r="P307">
        <f t="shared" si="27"/>
        <v>3.6885429999999997</v>
      </c>
      <c r="Q307">
        <f t="shared" si="28"/>
        <v>2.8172376497314362</v>
      </c>
      <c r="R307">
        <f t="shared" si="29"/>
        <v>159.20720653420827</v>
      </c>
      <c r="S307">
        <v>0.48220112355062461</v>
      </c>
      <c r="T307">
        <v>168.5</v>
      </c>
      <c r="X307" s="1">
        <v>0.64520833333333327</v>
      </c>
    </row>
    <row r="308" spans="1:24" x14ac:dyDescent="0.25">
      <c r="A308" t="s">
        <v>333</v>
      </c>
      <c r="B308" s="1" t="s">
        <v>47</v>
      </c>
      <c r="C308">
        <v>3.1199109999999999E-2</v>
      </c>
      <c r="D308">
        <v>3.8796440000000001E-2</v>
      </c>
      <c r="E308">
        <v>0.223243574</v>
      </c>
      <c r="F308">
        <v>3.6132332000000003E-2</v>
      </c>
      <c r="G308">
        <v>0.180221042</v>
      </c>
      <c r="H308">
        <v>0.92845384500000006</v>
      </c>
      <c r="I308">
        <v>99.9</v>
      </c>
      <c r="J308">
        <f t="shared" si="24"/>
        <v>0.99900000000000011</v>
      </c>
      <c r="K308">
        <v>8.9</v>
      </c>
      <c r="L308">
        <f t="shared" si="25"/>
        <v>282.04999999999995</v>
      </c>
      <c r="M308">
        <v>125</v>
      </c>
      <c r="N308">
        <v>0.25</v>
      </c>
      <c r="O308" s="2">
        <f t="shared" si="26"/>
        <v>15.599554999999999</v>
      </c>
      <c r="P308">
        <f t="shared" si="27"/>
        <v>19.398220000000002</v>
      </c>
      <c r="Q308">
        <f t="shared" si="28"/>
        <v>0.67331777743318744</v>
      </c>
      <c r="R308">
        <f t="shared" si="29"/>
        <v>837.27813880331883</v>
      </c>
      <c r="S308">
        <v>0.48220112355062461</v>
      </c>
      <c r="T308">
        <v>168.5</v>
      </c>
      <c r="X308" s="1">
        <v>0.64711805555555557</v>
      </c>
    </row>
    <row r="309" spans="1:24" x14ac:dyDescent="0.25">
      <c r="A309" t="s">
        <v>334</v>
      </c>
      <c r="B309" s="1" t="s">
        <v>47</v>
      </c>
      <c r="C309">
        <v>4.4789766000000002E-2</v>
      </c>
      <c r="D309">
        <v>7.7641819999999997E-3</v>
      </c>
      <c r="E309">
        <v>0.53003719699999996</v>
      </c>
      <c r="F309">
        <v>9.8047269999999992E-3</v>
      </c>
      <c r="G309">
        <v>7.4396440999999994E-2</v>
      </c>
      <c r="H309">
        <v>0.87590498699999997</v>
      </c>
      <c r="I309">
        <v>99.9</v>
      </c>
      <c r="J309">
        <f t="shared" si="24"/>
        <v>0.99900000000000011</v>
      </c>
      <c r="K309">
        <v>5.8</v>
      </c>
      <c r="L309">
        <f t="shared" si="25"/>
        <v>278.95</v>
      </c>
      <c r="M309">
        <v>125</v>
      </c>
      <c r="N309">
        <v>0.25</v>
      </c>
      <c r="O309" s="2">
        <f t="shared" si="26"/>
        <v>22.394883</v>
      </c>
      <c r="P309">
        <f t="shared" si="27"/>
        <v>3.882091</v>
      </c>
      <c r="Q309">
        <f t="shared" si="28"/>
        <v>0.97736415622684525</v>
      </c>
      <c r="R309">
        <f t="shared" si="29"/>
        <v>169.42337205382273</v>
      </c>
      <c r="S309">
        <v>0.18867425680764316</v>
      </c>
      <c r="T309">
        <v>64.099999999999994</v>
      </c>
      <c r="X309" s="1">
        <v>0.44756944444444446</v>
      </c>
    </row>
    <row r="310" spans="1:24" x14ac:dyDescent="0.25">
      <c r="A310" t="s">
        <v>335</v>
      </c>
      <c r="B310" s="1" t="s">
        <v>47</v>
      </c>
      <c r="C310">
        <v>0.107370412</v>
      </c>
      <c r="D310">
        <v>2.6498331E-2</v>
      </c>
      <c r="E310">
        <v>0.44992876199999998</v>
      </c>
      <c r="F310">
        <v>3.7288363999999997E-2</v>
      </c>
      <c r="G310">
        <v>0.39061873400000002</v>
      </c>
      <c r="H310">
        <v>0.85039443299999995</v>
      </c>
      <c r="I310">
        <v>99.9</v>
      </c>
      <c r="J310">
        <f t="shared" si="24"/>
        <v>0.99900000000000011</v>
      </c>
      <c r="K310">
        <v>5.8</v>
      </c>
      <c r="L310">
        <f t="shared" si="25"/>
        <v>278.95</v>
      </c>
      <c r="M310">
        <v>125</v>
      </c>
      <c r="N310">
        <v>0.25</v>
      </c>
      <c r="O310" s="2">
        <f t="shared" si="26"/>
        <v>53.685206000000001</v>
      </c>
      <c r="P310">
        <f t="shared" si="27"/>
        <v>13.2491655</v>
      </c>
      <c r="Q310">
        <f t="shared" si="28"/>
        <v>2.3429457552448194</v>
      </c>
      <c r="R310">
        <f t="shared" si="29"/>
        <v>578.22402821293281</v>
      </c>
      <c r="S310">
        <v>0.18867425680764316</v>
      </c>
      <c r="T310">
        <v>64.099999999999994</v>
      </c>
      <c r="X310" s="1">
        <v>0.45651620370370366</v>
      </c>
    </row>
    <row r="311" spans="1:24" x14ac:dyDescent="0.25">
      <c r="A311" t="s">
        <v>336</v>
      </c>
      <c r="B311" s="1" t="s">
        <v>47</v>
      </c>
      <c r="C311">
        <v>0.18971078999999999</v>
      </c>
      <c r="D311">
        <v>7.7886539999999999E-3</v>
      </c>
      <c r="E311">
        <v>0.51484417599999999</v>
      </c>
      <c r="F311">
        <v>1.3567724999999999E-2</v>
      </c>
      <c r="G311">
        <v>0.60448066899999997</v>
      </c>
      <c r="H311">
        <v>0.78765462100000005</v>
      </c>
      <c r="I311">
        <v>99.9</v>
      </c>
      <c r="J311">
        <f t="shared" si="24"/>
        <v>0.99900000000000011</v>
      </c>
      <c r="K311">
        <v>5.8</v>
      </c>
      <c r="L311">
        <f t="shared" si="25"/>
        <v>278.95</v>
      </c>
      <c r="M311">
        <v>125</v>
      </c>
      <c r="N311">
        <v>0.25</v>
      </c>
      <c r="O311" s="2">
        <f t="shared" si="26"/>
        <v>94.855395000000001</v>
      </c>
      <c r="P311">
        <f t="shared" si="27"/>
        <v>3.8943270000000001</v>
      </c>
      <c r="Q311">
        <f t="shared" si="28"/>
        <v>4.1397074098462188</v>
      </c>
      <c r="R311">
        <f t="shared" si="29"/>
        <v>169.95737921142174</v>
      </c>
      <c r="S311">
        <v>0.18867425680764316</v>
      </c>
      <c r="T311">
        <v>64.099999999999994</v>
      </c>
      <c r="X311" s="1">
        <v>0.45796296296296296</v>
      </c>
    </row>
    <row r="312" spans="1:24" x14ac:dyDescent="0.25">
      <c r="A312" t="s">
        <v>337</v>
      </c>
      <c r="B312" s="1" t="s">
        <v>47</v>
      </c>
      <c r="C312">
        <v>0.117192436</v>
      </c>
      <c r="D312">
        <v>4.1339266E-2</v>
      </c>
      <c r="E312">
        <v>0.27735981500000001</v>
      </c>
      <c r="F312">
        <v>3.3081285000000002E-2</v>
      </c>
      <c r="G312">
        <v>0.66772211999999997</v>
      </c>
      <c r="H312">
        <v>0.94616979199999995</v>
      </c>
      <c r="I312">
        <v>99.9</v>
      </c>
      <c r="J312">
        <f t="shared" si="24"/>
        <v>0.99900000000000011</v>
      </c>
      <c r="K312">
        <v>5.8</v>
      </c>
      <c r="L312">
        <f t="shared" si="25"/>
        <v>278.95</v>
      </c>
      <c r="M312">
        <v>125</v>
      </c>
      <c r="N312">
        <v>0.25</v>
      </c>
      <c r="O312" s="2">
        <f t="shared" si="26"/>
        <v>58.596218</v>
      </c>
      <c r="P312">
        <f t="shared" si="27"/>
        <v>20.669633000000001</v>
      </c>
      <c r="Q312">
        <f t="shared" si="28"/>
        <v>2.557273604137797</v>
      </c>
      <c r="R312">
        <f t="shared" si="29"/>
        <v>902.07028170513581</v>
      </c>
      <c r="S312">
        <v>0.18867425680764316</v>
      </c>
      <c r="T312">
        <v>64.099999999999994</v>
      </c>
      <c r="X312" s="1">
        <v>0.46017361111111116</v>
      </c>
    </row>
    <row r="313" spans="1:24" x14ac:dyDescent="0.25">
      <c r="A313" t="s">
        <v>338</v>
      </c>
      <c r="B313" s="1" t="s">
        <v>47</v>
      </c>
      <c r="C313">
        <v>5.7706340000000002E-2</v>
      </c>
      <c r="D313">
        <v>3.5753058999999997E-2</v>
      </c>
      <c r="E313">
        <v>0.30251013999999998</v>
      </c>
      <c r="F313">
        <v>2.5016475E-2</v>
      </c>
      <c r="G313">
        <v>0.29057390100000002</v>
      </c>
      <c r="H313">
        <v>0.95831757100000003</v>
      </c>
      <c r="I313">
        <v>99.9</v>
      </c>
      <c r="J313">
        <f t="shared" si="24"/>
        <v>0.99900000000000011</v>
      </c>
      <c r="K313">
        <v>5.8</v>
      </c>
      <c r="L313">
        <f t="shared" si="25"/>
        <v>278.95</v>
      </c>
      <c r="M313">
        <v>125</v>
      </c>
      <c r="N313">
        <v>0.25</v>
      </c>
      <c r="O313" s="2">
        <f t="shared" si="26"/>
        <v>28.853170000000002</v>
      </c>
      <c r="P313">
        <f t="shared" si="27"/>
        <v>17.876529499999997</v>
      </c>
      <c r="Q313">
        <f t="shared" si="28"/>
        <v>1.2592186416655862</v>
      </c>
      <c r="R313">
        <f t="shared" si="29"/>
        <v>780.172826579706</v>
      </c>
      <c r="S313">
        <v>0.18867425680764316</v>
      </c>
      <c r="T313">
        <v>64.099999999999994</v>
      </c>
      <c r="X313" s="1">
        <v>0.46452546296296293</v>
      </c>
    </row>
    <row r="314" spans="1:24" x14ac:dyDescent="0.25">
      <c r="A314" t="s">
        <v>339</v>
      </c>
      <c r="B314" s="1" t="s">
        <v>25</v>
      </c>
      <c r="C314">
        <v>-1.818465E-2</v>
      </c>
      <c r="D314">
        <v>3.0709677000000001E-2</v>
      </c>
      <c r="E314">
        <v>0.25572858399999998</v>
      </c>
      <c r="F314">
        <v>1.7663572999999998E-2</v>
      </c>
      <c r="G314">
        <v>5.3850922000000002E-2</v>
      </c>
      <c r="H314">
        <v>0.97144752899999998</v>
      </c>
      <c r="I314">
        <v>99.9</v>
      </c>
      <c r="J314">
        <f t="shared" si="24"/>
        <v>0.99900000000000011</v>
      </c>
      <c r="K314">
        <v>8</v>
      </c>
      <c r="L314">
        <f t="shared" si="25"/>
        <v>281.14999999999998</v>
      </c>
      <c r="M314">
        <v>125</v>
      </c>
      <c r="N314">
        <v>0.25</v>
      </c>
      <c r="O314" s="2">
        <f t="shared" si="26"/>
        <v>-9.0923250000000007</v>
      </c>
      <c r="P314">
        <f t="shared" si="27"/>
        <v>15.354838500000001</v>
      </c>
      <c r="Q314">
        <f t="shared" si="28"/>
        <v>-0.39370491694634124</v>
      </c>
      <c r="R314">
        <f t="shared" si="29"/>
        <v>664.87674124791874</v>
      </c>
      <c r="S314">
        <v>0.4346619283704668</v>
      </c>
      <c r="T314">
        <v>379</v>
      </c>
      <c r="X314" s="1">
        <v>0.7240509259259259</v>
      </c>
    </row>
    <row r="315" spans="1:24" x14ac:dyDescent="0.25">
      <c r="A315" t="s">
        <v>340</v>
      </c>
      <c r="B315" s="1" t="s">
        <v>25</v>
      </c>
      <c r="C315">
        <v>8.4008898999999998E-2</v>
      </c>
      <c r="D315">
        <v>3.4438260000000001E-3</v>
      </c>
      <c r="E315">
        <v>0.22235869</v>
      </c>
      <c r="F315">
        <v>6.7378289999999999E-3</v>
      </c>
      <c r="G315">
        <v>0.61636765100000002</v>
      </c>
      <c r="H315">
        <v>0.746226677</v>
      </c>
      <c r="I315">
        <v>99.9</v>
      </c>
      <c r="J315">
        <f t="shared" si="24"/>
        <v>0.99900000000000011</v>
      </c>
      <c r="K315">
        <v>7.25</v>
      </c>
      <c r="L315">
        <f t="shared" si="25"/>
        <v>280.39999999999998</v>
      </c>
      <c r="M315">
        <v>125</v>
      </c>
      <c r="N315">
        <v>0.25</v>
      </c>
      <c r="O315" s="2">
        <f t="shared" si="26"/>
        <v>42.0044495</v>
      </c>
      <c r="P315">
        <f t="shared" si="27"/>
        <v>1.721913</v>
      </c>
      <c r="Q315">
        <f t="shared" si="28"/>
        <v>1.823691036867878</v>
      </c>
      <c r="R315">
        <f t="shared" si="29"/>
        <v>74.759634794553818</v>
      </c>
      <c r="S315">
        <v>0.39693088510691099</v>
      </c>
      <c r="T315">
        <f>AVERAGE(379,128.2)</f>
        <v>253.6</v>
      </c>
      <c r="X315" s="1">
        <v>0.74034722222222227</v>
      </c>
    </row>
    <row r="316" spans="1:24" x14ac:dyDescent="0.25">
      <c r="A316" t="s">
        <v>341</v>
      </c>
      <c r="B316" s="1" t="s">
        <v>25</v>
      </c>
      <c r="C316">
        <v>1.9374861E-2</v>
      </c>
      <c r="D316">
        <v>1.9788653999999999E-2</v>
      </c>
      <c r="E316">
        <v>0.66913997400000003</v>
      </c>
      <c r="F316">
        <v>3.3466662000000001E-2</v>
      </c>
      <c r="G316">
        <v>9.3485949999999995E-3</v>
      </c>
      <c r="H316">
        <v>0.79738257899999998</v>
      </c>
      <c r="I316">
        <v>99.9</v>
      </c>
      <c r="J316">
        <f t="shared" si="24"/>
        <v>0.99900000000000011</v>
      </c>
      <c r="K316">
        <v>7.25</v>
      </c>
      <c r="L316">
        <f t="shared" si="25"/>
        <v>280.39999999999998</v>
      </c>
      <c r="M316">
        <v>125</v>
      </c>
      <c r="N316">
        <v>0.25</v>
      </c>
      <c r="O316" s="2">
        <f t="shared" si="26"/>
        <v>9.6874304999999996</v>
      </c>
      <c r="P316">
        <f t="shared" si="27"/>
        <v>9.8943269999999988</v>
      </c>
      <c r="Q316">
        <f t="shared" si="28"/>
        <v>0.42059544604031784</v>
      </c>
      <c r="R316">
        <f t="shared" si="29"/>
        <v>429.57819184702896</v>
      </c>
      <c r="S316">
        <v>0.39693088510691099</v>
      </c>
      <c r="T316">
        <f>AVERAGE(379,128.2)</f>
        <v>253.6</v>
      </c>
      <c r="X316" s="1">
        <v>0.74255787037037047</v>
      </c>
    </row>
    <row r="317" spans="1:24" x14ac:dyDescent="0.25">
      <c r="A317" t="s">
        <v>342</v>
      </c>
      <c r="B317" s="1" t="s">
        <v>25</v>
      </c>
      <c r="C317">
        <v>5.2073414999999998E-2</v>
      </c>
      <c r="D317">
        <v>8.3114569999999995E-3</v>
      </c>
      <c r="E317">
        <v>0.26792156499999997</v>
      </c>
      <c r="F317">
        <v>5.9750949999999997E-3</v>
      </c>
      <c r="G317">
        <v>0.29834687199999999</v>
      </c>
      <c r="H317">
        <v>0.95610078799999998</v>
      </c>
      <c r="I317">
        <v>99.9</v>
      </c>
      <c r="J317">
        <f t="shared" si="24"/>
        <v>0.99900000000000011</v>
      </c>
      <c r="K317">
        <v>8</v>
      </c>
      <c r="L317">
        <f t="shared" si="25"/>
        <v>281.14999999999998</v>
      </c>
      <c r="M317">
        <v>125</v>
      </c>
      <c r="N317">
        <v>0.25</v>
      </c>
      <c r="O317" s="2">
        <f t="shared" si="26"/>
        <v>26.036707499999999</v>
      </c>
      <c r="P317">
        <f t="shared" si="27"/>
        <v>4.1557284999999995</v>
      </c>
      <c r="Q317">
        <f t="shared" si="28"/>
        <v>1.1274101798872871</v>
      </c>
      <c r="R317">
        <f t="shared" si="29"/>
        <v>179.94635518902402</v>
      </c>
      <c r="S317">
        <v>0.4346619283704668</v>
      </c>
      <c r="T317">
        <v>379</v>
      </c>
      <c r="X317" s="1">
        <v>0.73265046296296299</v>
      </c>
    </row>
    <row r="318" spans="1:24" x14ac:dyDescent="0.25">
      <c r="A318" t="s">
        <v>343</v>
      </c>
      <c r="B318" s="1" t="s">
        <v>25</v>
      </c>
      <c r="C318">
        <v>1.3773081E-2</v>
      </c>
      <c r="D318">
        <v>2.5937709E-2</v>
      </c>
      <c r="E318">
        <v>0.281878833</v>
      </c>
      <c r="F318">
        <v>1.7646536000000001E-2</v>
      </c>
      <c r="G318">
        <v>2.6169939E-2</v>
      </c>
      <c r="H318">
        <v>0.96050229499999995</v>
      </c>
      <c r="I318">
        <v>99.9</v>
      </c>
      <c r="J318">
        <f t="shared" si="24"/>
        <v>0.99900000000000011</v>
      </c>
      <c r="K318">
        <v>8</v>
      </c>
      <c r="L318">
        <f t="shared" si="25"/>
        <v>281.14999999999998</v>
      </c>
      <c r="M318">
        <v>125</v>
      </c>
      <c r="N318">
        <v>0.25</v>
      </c>
      <c r="O318" s="2">
        <f t="shared" si="26"/>
        <v>6.8865404999999997</v>
      </c>
      <c r="P318">
        <f t="shared" si="27"/>
        <v>12.968854499999999</v>
      </c>
      <c r="Q318">
        <f t="shared" si="28"/>
        <v>0.29819269060445103</v>
      </c>
      <c r="R318">
        <f t="shared" si="29"/>
        <v>561.56173297937357</v>
      </c>
      <c r="S318">
        <v>0.4346619283704668</v>
      </c>
      <c r="T318">
        <v>379</v>
      </c>
      <c r="X318" s="1">
        <v>0.73533564814814811</v>
      </c>
    </row>
    <row r="319" spans="1:24" x14ac:dyDescent="0.25">
      <c r="A319" t="s">
        <v>344</v>
      </c>
      <c r="B319" s="1" t="s">
        <v>25</v>
      </c>
      <c r="C319">
        <v>6.7784205E-2</v>
      </c>
      <c r="D319">
        <v>2.2582870000000001E-2</v>
      </c>
      <c r="E319">
        <v>0.33294617199999998</v>
      </c>
      <c r="F319">
        <v>1.9425089999999999E-2</v>
      </c>
      <c r="G319">
        <v>0.31812408800000003</v>
      </c>
      <c r="H319">
        <v>0.93832104299999997</v>
      </c>
      <c r="I319">
        <v>99.9</v>
      </c>
      <c r="J319">
        <f t="shared" si="24"/>
        <v>0.99900000000000011</v>
      </c>
      <c r="K319">
        <v>7.25</v>
      </c>
      <c r="L319">
        <f t="shared" si="25"/>
        <v>280.39999999999998</v>
      </c>
      <c r="M319">
        <v>125</v>
      </c>
      <c r="N319">
        <v>0.25</v>
      </c>
      <c r="O319" s="2">
        <f t="shared" si="26"/>
        <v>33.8921025</v>
      </c>
      <c r="P319">
        <f t="shared" si="27"/>
        <v>11.291435</v>
      </c>
      <c r="Q319">
        <f t="shared" si="28"/>
        <v>1.4714803856638425</v>
      </c>
      <c r="R319">
        <f t="shared" si="29"/>
        <v>490.23589281598015</v>
      </c>
      <c r="S319">
        <v>0.39693088510691099</v>
      </c>
      <c r="T319">
        <f>AVERAGE(379,128.2)</f>
        <v>253.6</v>
      </c>
      <c r="X319" s="1">
        <v>0.73857638888888888</v>
      </c>
    </row>
    <row r="320" spans="1:24" x14ac:dyDescent="0.25">
      <c r="A320" t="s">
        <v>345</v>
      </c>
      <c r="B320" s="1" t="s">
        <v>25</v>
      </c>
      <c r="C320">
        <v>2.7677419000000002E-2</v>
      </c>
      <c r="D320">
        <v>6.7519470000000003E-3</v>
      </c>
      <c r="E320">
        <v>0.225723963</v>
      </c>
      <c r="F320">
        <v>1.0067051E-2</v>
      </c>
      <c r="G320">
        <v>0.14473649299999999</v>
      </c>
      <c r="H320">
        <v>0.83507394700000004</v>
      </c>
      <c r="I320">
        <v>99.9</v>
      </c>
      <c r="J320">
        <f t="shared" si="24"/>
        <v>0.99900000000000011</v>
      </c>
      <c r="K320">
        <f>AVERAGE(6.1,4.9)</f>
        <v>5.5</v>
      </c>
      <c r="L320">
        <f t="shared" si="25"/>
        <v>278.64999999999998</v>
      </c>
      <c r="M320">
        <v>125</v>
      </c>
      <c r="N320">
        <v>0.25</v>
      </c>
      <c r="O320" s="2">
        <f t="shared" si="26"/>
        <v>13.8387095</v>
      </c>
      <c r="P320">
        <f t="shared" si="27"/>
        <v>3.3759735000000002</v>
      </c>
      <c r="Q320">
        <f t="shared" si="28"/>
        <v>0.6046033107249672</v>
      </c>
      <c r="R320">
        <f t="shared" si="29"/>
        <v>147.49386530729294</v>
      </c>
      <c r="S320">
        <v>0.32737830084763686</v>
      </c>
      <c r="T320">
        <f>AVERAGE(108,80.6)</f>
        <v>94.3</v>
      </c>
      <c r="X320" s="1">
        <v>0.79200231481481476</v>
      </c>
    </row>
    <row r="321" spans="1:24" x14ac:dyDescent="0.25">
      <c r="A321" t="s">
        <v>346</v>
      </c>
      <c r="B321" s="1" t="s">
        <v>25</v>
      </c>
      <c r="C321">
        <v>0.58952391500000001</v>
      </c>
      <c r="D321">
        <v>1.1214683E-2</v>
      </c>
      <c r="E321">
        <v>0.46756365599999999</v>
      </c>
      <c r="F321">
        <v>6.6502189999999997E-3</v>
      </c>
      <c r="G321">
        <v>0.94707270399999999</v>
      </c>
      <c r="H321">
        <v>0.96970606100000001</v>
      </c>
      <c r="I321">
        <v>99.9</v>
      </c>
      <c r="J321">
        <f t="shared" si="24"/>
        <v>0.99900000000000011</v>
      </c>
      <c r="K321">
        <v>3.9</v>
      </c>
      <c r="L321">
        <f t="shared" si="25"/>
        <v>277.04999999999995</v>
      </c>
      <c r="M321">
        <v>125</v>
      </c>
      <c r="N321">
        <v>0.25</v>
      </c>
      <c r="O321" s="2">
        <f t="shared" si="26"/>
        <v>294.76195749999999</v>
      </c>
      <c r="P321">
        <f t="shared" si="27"/>
        <v>5.6073414999999995</v>
      </c>
      <c r="Q321">
        <f t="shared" si="28"/>
        <v>12.952310681001043</v>
      </c>
      <c r="R321">
        <f t="shared" si="29"/>
        <v>246.39553156200768</v>
      </c>
      <c r="S321">
        <v>0.2430876348011235</v>
      </c>
      <c r="T321">
        <v>60.4</v>
      </c>
      <c r="X321" s="1">
        <v>0.81562499999999993</v>
      </c>
    </row>
    <row r="322" spans="1:24" x14ac:dyDescent="0.25">
      <c r="A322" t="s">
        <v>347</v>
      </c>
      <c r="B322" s="1" t="s">
        <v>25</v>
      </c>
      <c r="C322">
        <v>0.13517686300000001</v>
      </c>
      <c r="D322">
        <v>1.2480534E-2</v>
      </c>
      <c r="E322">
        <v>0.30397598100000001</v>
      </c>
      <c r="F322">
        <v>8.1022260000000006E-3</v>
      </c>
      <c r="G322">
        <v>0.69001036299999996</v>
      </c>
      <c r="H322">
        <v>0.96390922000000001</v>
      </c>
      <c r="I322">
        <v>99.9</v>
      </c>
      <c r="J322">
        <f t="shared" ref="J322:J380" si="30">I322/100</f>
        <v>0.99900000000000011</v>
      </c>
      <c r="K322">
        <f>AVERAGE(6.1,4.9)</f>
        <v>5.5</v>
      </c>
      <c r="L322">
        <f t="shared" ref="L322:L380" si="31">K322+273.15</f>
        <v>278.64999999999998</v>
      </c>
      <c r="M322">
        <v>125</v>
      </c>
      <c r="N322">
        <v>0.25</v>
      </c>
      <c r="O322" s="2">
        <f t="shared" si="26"/>
        <v>67.588431499999999</v>
      </c>
      <c r="P322">
        <f t="shared" si="27"/>
        <v>6.2402670000000002</v>
      </c>
      <c r="Q322">
        <f t="shared" si="28"/>
        <v>2.9528901847103342</v>
      </c>
      <c r="R322">
        <f t="shared" si="29"/>
        <v>272.63279773361523</v>
      </c>
      <c r="S322">
        <v>0.32737830084763686</v>
      </c>
      <c r="T322">
        <f>AVERAGE(108,80.6)</f>
        <v>94.3</v>
      </c>
      <c r="X322" s="1">
        <v>0.79666666666666675</v>
      </c>
    </row>
    <row r="323" spans="1:24" x14ac:dyDescent="0.25">
      <c r="A323" t="s">
        <v>348</v>
      </c>
      <c r="B323" s="1" t="s">
        <v>25</v>
      </c>
      <c r="C323">
        <v>0.242856507</v>
      </c>
      <c r="D323">
        <v>1.3521691000000001E-2</v>
      </c>
      <c r="E323">
        <v>0.45159668600000002</v>
      </c>
      <c r="F323">
        <v>1.1790122E-2</v>
      </c>
      <c r="G323">
        <v>0.76499448299999995</v>
      </c>
      <c r="H323">
        <v>0.93672878299999995</v>
      </c>
      <c r="I323">
        <v>99.9</v>
      </c>
      <c r="J323">
        <f t="shared" si="30"/>
        <v>0.99900000000000011</v>
      </c>
      <c r="K323">
        <f>AVERAGE(5.5,3.9)</f>
        <v>4.7</v>
      </c>
      <c r="L323">
        <f t="shared" si="31"/>
        <v>277.84999999999997</v>
      </c>
      <c r="M323">
        <v>125</v>
      </c>
      <c r="N323">
        <v>0.25</v>
      </c>
      <c r="O323" s="2">
        <f t="shared" ref="O323:O386" si="32">C323*M323/N323</f>
        <v>121.4282535</v>
      </c>
      <c r="P323">
        <f t="shared" ref="P323:P379" si="33">D323*M323/N323</f>
        <v>6.7608455000000003</v>
      </c>
      <c r="Q323">
        <f t="shared" ref="Q323:Q380" si="34">(O323*J323)/(0.08206*L323)</f>
        <v>5.3203882185294287</v>
      </c>
      <c r="R323">
        <f t="shared" ref="R323:R380" si="35">(P323*J323)/(0.08206*L323)*1000</f>
        <v>296.22696290775281</v>
      </c>
      <c r="S323">
        <v>0.2840028680760236</v>
      </c>
      <c r="T323">
        <f>AVERAGE(94.3,60.4)</f>
        <v>77.349999999999994</v>
      </c>
      <c r="X323" s="1">
        <v>0.80158564814814814</v>
      </c>
    </row>
    <row r="324" spans="1:24" x14ac:dyDescent="0.25">
      <c r="A324" t="s">
        <v>349</v>
      </c>
      <c r="B324" s="1" t="s">
        <v>25</v>
      </c>
      <c r="C324">
        <v>0.10629588399999999</v>
      </c>
      <c r="D324">
        <v>1.025584E-2</v>
      </c>
      <c r="E324">
        <v>0.19491994400000001</v>
      </c>
      <c r="F324">
        <v>8.2498099999999998E-3</v>
      </c>
      <c r="G324">
        <v>0.769975411</v>
      </c>
      <c r="H324">
        <v>0.94563886600000002</v>
      </c>
      <c r="I324">
        <v>99.9</v>
      </c>
      <c r="J324">
        <f t="shared" si="30"/>
        <v>0.99900000000000011</v>
      </c>
      <c r="K324">
        <v>3.9</v>
      </c>
      <c r="L324">
        <f t="shared" si="31"/>
        <v>277.04999999999995</v>
      </c>
      <c r="M324">
        <v>125</v>
      </c>
      <c r="N324">
        <v>0.25</v>
      </c>
      <c r="O324" s="2">
        <f t="shared" si="32"/>
        <v>53.147941999999993</v>
      </c>
      <c r="P324">
        <f t="shared" si="33"/>
        <v>5.1279200000000005</v>
      </c>
      <c r="Q324">
        <f t="shared" si="34"/>
        <v>2.3354053646486044</v>
      </c>
      <c r="R324">
        <f t="shared" si="35"/>
        <v>225.32898597444984</v>
      </c>
      <c r="S324">
        <v>0.2430876348011235</v>
      </c>
      <c r="T324">
        <v>60.4</v>
      </c>
      <c r="X324" s="1">
        <v>0.80829861111111112</v>
      </c>
    </row>
    <row r="325" spans="1:24" x14ac:dyDescent="0.25">
      <c r="A325" t="s">
        <v>350</v>
      </c>
      <c r="B325" s="1" t="s">
        <v>25</v>
      </c>
      <c r="C325">
        <v>0.19097441600000001</v>
      </c>
      <c r="D325">
        <v>8.8320359999999997E-3</v>
      </c>
      <c r="E325">
        <v>0.44753256899999999</v>
      </c>
      <c r="F325">
        <v>6.81395E-3</v>
      </c>
      <c r="G325">
        <v>0.67209536000000003</v>
      </c>
      <c r="H325">
        <v>0.94977557000000001</v>
      </c>
      <c r="I325">
        <v>99.9</v>
      </c>
      <c r="J325">
        <f t="shared" si="30"/>
        <v>0.99900000000000011</v>
      </c>
      <c r="K325">
        <v>3.9</v>
      </c>
      <c r="L325">
        <f t="shared" si="31"/>
        <v>277.04999999999995</v>
      </c>
      <c r="M325">
        <v>125</v>
      </c>
      <c r="N325">
        <v>0.25</v>
      </c>
      <c r="O325" s="2">
        <f t="shared" si="32"/>
        <v>95.48720800000001</v>
      </c>
      <c r="P325">
        <f t="shared" si="33"/>
        <v>4.4160180000000002</v>
      </c>
      <c r="Q325">
        <f t="shared" si="34"/>
        <v>4.1958602615039577</v>
      </c>
      <c r="R325">
        <f t="shared" si="35"/>
        <v>194.04687631338203</v>
      </c>
      <c r="S325">
        <v>0.2430876348011235</v>
      </c>
      <c r="T325">
        <v>60.4</v>
      </c>
      <c r="X325" s="1">
        <v>0.81179398148148152</v>
      </c>
    </row>
    <row r="326" spans="1:24" x14ac:dyDescent="0.25">
      <c r="A326" t="s">
        <v>351</v>
      </c>
      <c r="B326" s="1" t="s">
        <v>25</v>
      </c>
      <c r="C326">
        <v>9.0978865000000006E-2</v>
      </c>
      <c r="D326">
        <v>3.8698554000000003E-2</v>
      </c>
      <c r="E326">
        <v>0.59960672400000004</v>
      </c>
      <c r="F326">
        <v>3.0129795000000001E-2</v>
      </c>
      <c r="G326">
        <v>0.20580557199999999</v>
      </c>
      <c r="H326">
        <v>0.94889774699999996</v>
      </c>
      <c r="I326">
        <v>99.9</v>
      </c>
      <c r="J326">
        <f t="shared" si="30"/>
        <v>0.99900000000000011</v>
      </c>
      <c r="K326">
        <v>7.7</v>
      </c>
      <c r="L326">
        <f t="shared" si="31"/>
        <v>280.84999999999997</v>
      </c>
      <c r="M326">
        <v>125</v>
      </c>
      <c r="N326">
        <v>0.25</v>
      </c>
      <c r="O326" s="2">
        <f t="shared" si="32"/>
        <v>45.489432499999999</v>
      </c>
      <c r="P326">
        <f t="shared" si="33"/>
        <v>19.349277000000001</v>
      </c>
      <c r="Q326">
        <f t="shared" si="34"/>
        <v>1.9718327079613784</v>
      </c>
      <c r="R326">
        <f t="shared" si="35"/>
        <v>838.73407882159938</v>
      </c>
      <c r="S326">
        <v>0.4331024461112194</v>
      </c>
      <c r="T326">
        <v>276.5</v>
      </c>
      <c r="X326" s="1">
        <v>0.75723379629629628</v>
      </c>
    </row>
    <row r="327" spans="1:24" x14ac:dyDescent="0.25">
      <c r="A327" t="s">
        <v>352</v>
      </c>
      <c r="B327" s="1" t="s">
        <v>25</v>
      </c>
      <c r="C327">
        <v>0.43809121200000001</v>
      </c>
      <c r="D327">
        <v>2.0731923999999999E-2</v>
      </c>
      <c r="E327">
        <v>1.1945752460000001</v>
      </c>
      <c r="F327">
        <v>1.4799402E-2</v>
      </c>
      <c r="G327">
        <v>0.60220459900000001</v>
      </c>
      <c r="H327">
        <v>0.95668905299999996</v>
      </c>
      <c r="I327">
        <v>99.9</v>
      </c>
      <c r="J327">
        <f t="shared" si="30"/>
        <v>0.99900000000000011</v>
      </c>
      <c r="K327">
        <f>AVERAGE(7.7,6.3)</f>
        <v>7</v>
      </c>
      <c r="L327">
        <f t="shared" si="31"/>
        <v>280.14999999999998</v>
      </c>
      <c r="M327">
        <v>125</v>
      </c>
      <c r="N327">
        <v>0.25</v>
      </c>
      <c r="O327" s="2">
        <f t="shared" si="32"/>
        <v>219.04560599999999</v>
      </c>
      <c r="P327">
        <f t="shared" si="33"/>
        <v>10.365962</v>
      </c>
      <c r="Q327">
        <f t="shared" si="34"/>
        <v>9.51870559202621</v>
      </c>
      <c r="R327">
        <f t="shared" si="35"/>
        <v>450.45660699594771</v>
      </c>
      <c r="S327">
        <v>0.3946215243016602</v>
      </c>
      <c r="T327">
        <f>AVERAGE(276.5,137.3)</f>
        <v>206.9</v>
      </c>
      <c r="X327" s="1">
        <v>0.76128472222222221</v>
      </c>
    </row>
    <row r="328" spans="1:24" x14ac:dyDescent="0.25">
      <c r="A328" t="s">
        <v>353</v>
      </c>
      <c r="B328" s="1" t="s">
        <v>25</v>
      </c>
      <c r="C328">
        <v>1.1523914999999999E-2</v>
      </c>
      <c r="D328">
        <v>2.6791991000000001E-2</v>
      </c>
      <c r="E328">
        <v>0.33858231500000002</v>
      </c>
      <c r="F328">
        <v>3.1126724000000001E-2</v>
      </c>
      <c r="G328">
        <v>1.2871452E-2</v>
      </c>
      <c r="H328">
        <v>0.89292467099999995</v>
      </c>
      <c r="I328">
        <v>99.9</v>
      </c>
      <c r="J328">
        <f t="shared" si="30"/>
        <v>0.99900000000000011</v>
      </c>
      <c r="K328">
        <v>6.3</v>
      </c>
      <c r="L328">
        <f t="shared" si="31"/>
        <v>279.45</v>
      </c>
      <c r="M328">
        <v>125</v>
      </c>
      <c r="N328">
        <v>0.25</v>
      </c>
      <c r="O328" s="2">
        <f t="shared" si="32"/>
        <v>5.7619574999999994</v>
      </c>
      <c r="P328">
        <f t="shared" si="33"/>
        <v>13.3959955</v>
      </c>
      <c r="Q328">
        <f t="shared" si="34"/>
        <v>0.251015137386218</v>
      </c>
      <c r="R328">
        <f t="shared" si="35"/>
        <v>583.58598633496649</v>
      </c>
      <c r="S328">
        <v>0.35869511153920575</v>
      </c>
      <c r="T328">
        <v>137.30000000000001</v>
      </c>
      <c r="X328" s="1">
        <v>0.76515046296296296</v>
      </c>
    </row>
    <row r="329" spans="1:24" x14ac:dyDescent="0.25">
      <c r="A329" t="s">
        <v>354</v>
      </c>
      <c r="B329" s="1" t="s">
        <v>25</v>
      </c>
      <c r="C329">
        <v>8.7383760000000005E-2</v>
      </c>
      <c r="D329">
        <v>2.9977752999999999E-2</v>
      </c>
      <c r="E329">
        <v>0.33845453399999997</v>
      </c>
      <c r="F329">
        <v>1.9984556000000001E-2</v>
      </c>
      <c r="G329">
        <v>0.42867392799999998</v>
      </c>
      <c r="H329">
        <v>0.96201682300000002</v>
      </c>
      <c r="I329">
        <v>99.9</v>
      </c>
      <c r="J329">
        <f t="shared" si="30"/>
        <v>0.99900000000000011</v>
      </c>
      <c r="K329">
        <v>6.3</v>
      </c>
      <c r="L329">
        <f t="shared" si="31"/>
        <v>279.45</v>
      </c>
      <c r="M329">
        <v>125</v>
      </c>
      <c r="N329">
        <v>0.25</v>
      </c>
      <c r="O329" s="2">
        <f t="shared" si="32"/>
        <v>43.691880000000005</v>
      </c>
      <c r="P329">
        <f t="shared" si="33"/>
        <v>14.9888765</v>
      </c>
      <c r="Q329">
        <f t="shared" si="34"/>
        <v>1.9034023178515549</v>
      </c>
      <c r="R329">
        <f t="shared" si="35"/>
        <v>652.97859172209337</v>
      </c>
      <c r="S329">
        <v>0.35869511153920575</v>
      </c>
      <c r="T329">
        <v>137.30000000000001</v>
      </c>
      <c r="X329" s="1">
        <v>0.76898148148148149</v>
      </c>
    </row>
    <row r="330" spans="1:24" x14ac:dyDescent="0.25">
      <c r="A330" t="s">
        <v>355</v>
      </c>
      <c r="B330" s="1" t="s">
        <v>40</v>
      </c>
      <c r="C330">
        <v>9.2609566000000004E-2</v>
      </c>
      <c r="D330">
        <v>3.2734148999999997E-2</v>
      </c>
      <c r="E330">
        <v>0.31902006199999999</v>
      </c>
      <c r="F330">
        <v>2.4158505E-2</v>
      </c>
      <c r="G330">
        <v>0.48679656799999999</v>
      </c>
      <c r="H330">
        <v>0.95384349800000001</v>
      </c>
      <c r="I330">
        <v>99.9</v>
      </c>
      <c r="J330">
        <f t="shared" si="30"/>
        <v>0.99900000000000011</v>
      </c>
      <c r="K330">
        <f>AVERAGE(8.3,7.8)</f>
        <v>8.0500000000000007</v>
      </c>
      <c r="L330">
        <f t="shared" si="31"/>
        <v>281.2</v>
      </c>
      <c r="M330">
        <v>125</v>
      </c>
      <c r="N330">
        <v>0.25</v>
      </c>
      <c r="O330" s="2">
        <f t="shared" si="32"/>
        <v>46.304783</v>
      </c>
      <c r="P330">
        <f t="shared" si="33"/>
        <v>16.367074499999998</v>
      </c>
      <c r="Q330">
        <f t="shared" si="34"/>
        <v>2.0046774840617267</v>
      </c>
      <c r="R330">
        <f t="shared" si="35"/>
        <v>708.58135173877906</v>
      </c>
      <c r="S330">
        <v>0.44355344626559745</v>
      </c>
      <c r="T330">
        <f>AVERAGE(166.2,269.2)</f>
        <v>217.7</v>
      </c>
      <c r="X330" s="1">
        <v>0.71341435185185187</v>
      </c>
    </row>
    <row r="331" spans="1:24" x14ac:dyDescent="0.25">
      <c r="A331" t="s">
        <v>356</v>
      </c>
      <c r="B331" s="1" t="s">
        <v>40</v>
      </c>
      <c r="C331">
        <v>0.13611568399999999</v>
      </c>
      <c r="D331">
        <v>4.5450500000000001E-3</v>
      </c>
      <c r="E331">
        <v>0.32045623299999998</v>
      </c>
      <c r="F331">
        <v>5.6919249999999996E-3</v>
      </c>
      <c r="G331">
        <v>0.67005104900000001</v>
      </c>
      <c r="H331">
        <v>0.87770533100000003</v>
      </c>
      <c r="I331">
        <v>99.9</v>
      </c>
      <c r="J331">
        <f t="shared" si="30"/>
        <v>0.99900000000000011</v>
      </c>
      <c r="K331">
        <f>AVERAGE(8.3,7.8)</f>
        <v>8.0500000000000007</v>
      </c>
      <c r="L331">
        <f t="shared" si="31"/>
        <v>281.2</v>
      </c>
      <c r="M331">
        <v>125</v>
      </c>
      <c r="N331">
        <v>0.25</v>
      </c>
      <c r="O331" s="2">
        <f t="shared" si="32"/>
        <v>68.057841999999994</v>
      </c>
      <c r="P331">
        <f t="shared" si="33"/>
        <v>2.2725249999999999</v>
      </c>
      <c r="Q331">
        <f t="shared" si="34"/>
        <v>2.946434787767616</v>
      </c>
      <c r="R331">
        <f t="shared" si="35"/>
        <v>98.384646343497053</v>
      </c>
      <c r="S331">
        <v>0.44355344626559745</v>
      </c>
      <c r="T331">
        <f>AVERAGE(166.2,269.2)</f>
        <v>217.7</v>
      </c>
      <c r="X331" s="1">
        <v>0.71482638888888894</v>
      </c>
    </row>
    <row r="332" spans="1:24" x14ac:dyDescent="0.25">
      <c r="A332" t="s">
        <v>357</v>
      </c>
      <c r="B332" s="1" t="s">
        <v>40</v>
      </c>
      <c r="C332">
        <v>0.119828699</v>
      </c>
      <c r="D332">
        <v>5.5045605999999997E-2</v>
      </c>
      <c r="E332">
        <v>0.38016015199999997</v>
      </c>
      <c r="F332">
        <v>6.8025241E-2</v>
      </c>
      <c r="G332">
        <v>0.52793046300000002</v>
      </c>
      <c r="H332">
        <v>0.88053050700000002</v>
      </c>
      <c r="I332">
        <v>99.9</v>
      </c>
      <c r="J332">
        <f t="shared" si="30"/>
        <v>0.99900000000000011</v>
      </c>
      <c r="K332">
        <f>AVERAGE(8.05,8.6)</f>
        <v>8.3249999999999993</v>
      </c>
      <c r="L332">
        <f t="shared" si="31"/>
        <v>281.47499999999997</v>
      </c>
      <c r="M332">
        <v>125</v>
      </c>
      <c r="N332">
        <v>0.25</v>
      </c>
      <c r="O332" s="2">
        <f t="shared" si="32"/>
        <v>59.9143495</v>
      </c>
      <c r="P332">
        <f t="shared" si="33"/>
        <v>27.522803</v>
      </c>
      <c r="Q332">
        <f t="shared" si="34"/>
        <v>2.591343564485483</v>
      </c>
      <c r="R332">
        <f t="shared" si="35"/>
        <v>1190.3832558617987</v>
      </c>
      <c r="S332">
        <v>0.46108816370170524</v>
      </c>
      <c r="T332">
        <f>AVERAGE(217.7,380.9)</f>
        <v>299.29999999999995</v>
      </c>
      <c r="X332" s="1">
        <v>0.69857638888888884</v>
      </c>
    </row>
    <row r="333" spans="1:24" x14ac:dyDescent="0.25">
      <c r="A333" t="s">
        <v>358</v>
      </c>
      <c r="B333" s="1" t="s">
        <v>40</v>
      </c>
      <c r="C333">
        <v>0.32185317000000002</v>
      </c>
      <c r="D333">
        <v>3.7383760000000002E-2</v>
      </c>
      <c r="E333">
        <v>0.97962764400000002</v>
      </c>
      <c r="F333">
        <v>4.5874457E-2</v>
      </c>
      <c r="G333">
        <v>0.54853243900000004</v>
      </c>
      <c r="H333">
        <v>0.88200473199999996</v>
      </c>
      <c r="I333">
        <v>99.9</v>
      </c>
      <c r="J333">
        <f t="shared" si="30"/>
        <v>0.99900000000000011</v>
      </c>
      <c r="K333">
        <f>AVERAGE(8.3,7.8)</f>
        <v>8.0500000000000007</v>
      </c>
      <c r="L333">
        <f t="shared" si="31"/>
        <v>281.2</v>
      </c>
      <c r="M333">
        <v>125</v>
      </c>
      <c r="N333">
        <v>0.25</v>
      </c>
      <c r="O333" s="2">
        <f t="shared" si="32"/>
        <v>160.92658500000002</v>
      </c>
      <c r="P333">
        <f t="shared" si="33"/>
        <v>18.691880000000001</v>
      </c>
      <c r="Q333">
        <f t="shared" si="34"/>
        <v>6.9670103310158193</v>
      </c>
      <c r="R333">
        <f t="shared" si="35"/>
        <v>809.22938286491285</v>
      </c>
      <c r="S333">
        <v>0.44355344626559745</v>
      </c>
      <c r="T333">
        <f>AVERAGE(166.2,269.2)</f>
        <v>217.7</v>
      </c>
      <c r="X333" s="1">
        <v>0.70185185185185184</v>
      </c>
    </row>
    <row r="334" spans="1:24" x14ac:dyDescent="0.25">
      <c r="A334" t="s">
        <v>359</v>
      </c>
      <c r="B334" s="1" t="s">
        <v>40</v>
      </c>
      <c r="C334">
        <v>1.5194659999999999E-3</v>
      </c>
      <c r="D334">
        <v>2.8233593000000001E-2</v>
      </c>
      <c r="E334">
        <v>0.30093720699999998</v>
      </c>
      <c r="F334">
        <v>4.7596049000000001E-2</v>
      </c>
      <c r="G334">
        <v>2.8687199999999997E-4</v>
      </c>
      <c r="H334">
        <v>0.79841583699999996</v>
      </c>
      <c r="I334">
        <v>99.9</v>
      </c>
      <c r="J334">
        <f t="shared" si="30"/>
        <v>0.99900000000000011</v>
      </c>
      <c r="K334">
        <f>AVERAGE(8.3,7.8)</f>
        <v>8.0500000000000007</v>
      </c>
      <c r="L334">
        <f t="shared" si="31"/>
        <v>281.2</v>
      </c>
      <c r="M334">
        <v>125</v>
      </c>
      <c r="N334">
        <v>0.25</v>
      </c>
      <c r="O334" s="2">
        <f t="shared" si="32"/>
        <v>0.75973299999999999</v>
      </c>
      <c r="P334">
        <f t="shared" si="33"/>
        <v>14.116796500000001</v>
      </c>
      <c r="Q334">
        <f t="shared" si="34"/>
        <v>3.2891194825352445E-2</v>
      </c>
      <c r="R334">
        <f t="shared" si="35"/>
        <v>611.15984693484893</v>
      </c>
      <c r="S334">
        <v>0.44355344626559745</v>
      </c>
      <c r="T334">
        <f>AVERAGE(166.2,269.2)</f>
        <v>217.7</v>
      </c>
      <c r="X334" s="1">
        <v>0.71020833333333344</v>
      </c>
    </row>
    <row r="335" spans="1:24" x14ac:dyDescent="0.25">
      <c r="A335" t="s">
        <v>360</v>
      </c>
      <c r="B335" s="1" t="s">
        <v>40</v>
      </c>
      <c r="C335">
        <v>0.103866518</v>
      </c>
      <c r="D335">
        <v>8.6028919999999991E-3</v>
      </c>
      <c r="E335">
        <v>0.35904549400000002</v>
      </c>
      <c r="F335">
        <v>1.2161738E-2</v>
      </c>
      <c r="G335">
        <v>0.48505746900000002</v>
      </c>
      <c r="H335">
        <v>0.849221008</v>
      </c>
      <c r="I335">
        <v>99.9</v>
      </c>
      <c r="J335">
        <f t="shared" si="30"/>
        <v>0.99900000000000011</v>
      </c>
      <c r="K335">
        <f>AVERAGE(9.4,9)</f>
        <v>9.1999999999999993</v>
      </c>
      <c r="L335">
        <f t="shared" si="31"/>
        <v>282.34999999999997</v>
      </c>
      <c r="M335">
        <v>125</v>
      </c>
      <c r="N335">
        <v>0.25</v>
      </c>
      <c r="O335" s="2">
        <f t="shared" si="32"/>
        <v>51.933259</v>
      </c>
      <c r="P335">
        <f t="shared" si="33"/>
        <v>4.3014459999999994</v>
      </c>
      <c r="Q335">
        <f t="shared" si="34"/>
        <v>2.239194199901501</v>
      </c>
      <c r="R335">
        <f t="shared" si="35"/>
        <v>185.46444262990528</v>
      </c>
      <c r="S335">
        <v>0.5378366014949072</v>
      </c>
      <c r="T335">
        <f>AVERAGE(183.1,659.2)</f>
        <v>421.15000000000003</v>
      </c>
      <c r="X335" s="1">
        <v>0.61526620370370366</v>
      </c>
    </row>
    <row r="336" spans="1:24" x14ac:dyDescent="0.25">
      <c r="A336" t="s">
        <v>361</v>
      </c>
      <c r="B336" s="1" t="s">
        <v>40</v>
      </c>
      <c r="C336">
        <v>0.21516573999999999</v>
      </c>
      <c r="D336">
        <v>5.0522802999999998E-2</v>
      </c>
      <c r="E336">
        <v>1.229171083</v>
      </c>
      <c r="F336">
        <v>0.105898046</v>
      </c>
      <c r="G336">
        <v>0.25645495899999998</v>
      </c>
      <c r="H336">
        <v>0.71925982200000005</v>
      </c>
      <c r="I336">
        <v>99.9</v>
      </c>
      <c r="J336">
        <f t="shared" si="30"/>
        <v>0.99900000000000011</v>
      </c>
      <c r="K336">
        <v>9</v>
      </c>
      <c r="L336">
        <f t="shared" si="31"/>
        <v>282.14999999999998</v>
      </c>
      <c r="M336">
        <v>125</v>
      </c>
      <c r="N336">
        <v>0.25</v>
      </c>
      <c r="O336" s="2">
        <f t="shared" si="32"/>
        <v>107.58287</v>
      </c>
      <c r="P336">
        <f t="shared" si="33"/>
        <v>25.261401499999998</v>
      </c>
      <c r="Q336">
        <f t="shared" si="34"/>
        <v>4.6419135374163156</v>
      </c>
      <c r="R336">
        <f t="shared" si="35"/>
        <v>1089.9620134409765</v>
      </c>
      <c r="S336">
        <v>0.51933889668791444</v>
      </c>
      <c r="T336">
        <v>181.3</v>
      </c>
      <c r="X336" s="1">
        <v>0.61739583333333337</v>
      </c>
    </row>
    <row r="337" spans="1:24" x14ac:dyDescent="0.25">
      <c r="A337" t="s">
        <v>362</v>
      </c>
      <c r="B337" s="1" t="s">
        <v>40</v>
      </c>
      <c r="C337">
        <v>0.17230700800000001</v>
      </c>
      <c r="D337">
        <v>3.8286986000000002E-2</v>
      </c>
      <c r="E337">
        <v>0.69761619699999999</v>
      </c>
      <c r="F337">
        <v>4.7670569000000003E-2</v>
      </c>
      <c r="G337">
        <v>0.407119656</v>
      </c>
      <c r="H337">
        <v>0.878946212</v>
      </c>
      <c r="I337">
        <v>99.9</v>
      </c>
      <c r="J337">
        <f t="shared" si="30"/>
        <v>0.99900000000000011</v>
      </c>
      <c r="K337">
        <v>9.4</v>
      </c>
      <c r="L337">
        <f t="shared" si="31"/>
        <v>282.54999999999995</v>
      </c>
      <c r="M337">
        <v>125</v>
      </c>
      <c r="N337">
        <v>0.25</v>
      </c>
      <c r="O337" s="2">
        <f t="shared" si="32"/>
        <v>86.153504000000012</v>
      </c>
      <c r="P337">
        <f t="shared" si="33"/>
        <v>19.143492999999999</v>
      </c>
      <c r="Q337">
        <f t="shared" si="34"/>
        <v>3.712031129058492</v>
      </c>
      <c r="R337">
        <f t="shared" si="35"/>
        <v>824.82126246325777</v>
      </c>
      <c r="S337">
        <v>0.54976989008153632</v>
      </c>
      <c r="T337">
        <v>659.2</v>
      </c>
      <c r="X337" s="1">
        <v>0.60223379629629636</v>
      </c>
    </row>
    <row r="338" spans="1:24" x14ac:dyDescent="0.25">
      <c r="A338" t="s">
        <v>363</v>
      </c>
      <c r="B338" s="1" t="s">
        <v>40</v>
      </c>
      <c r="C338">
        <v>0.12635817599999999</v>
      </c>
      <c r="D338">
        <v>5.6952169999999998E-3</v>
      </c>
      <c r="E338">
        <v>1.8504017770000001</v>
      </c>
      <c r="F338">
        <v>7.8319860000000008E-3</v>
      </c>
      <c r="G338">
        <v>4.9870058000000002E-2</v>
      </c>
      <c r="H338">
        <v>0.85615537600000002</v>
      </c>
      <c r="I338">
        <v>99.9</v>
      </c>
      <c r="J338">
        <f t="shared" si="30"/>
        <v>0.99900000000000011</v>
      </c>
      <c r="K338">
        <v>9.4</v>
      </c>
      <c r="L338">
        <f t="shared" si="31"/>
        <v>282.54999999999995</v>
      </c>
      <c r="M338">
        <v>125</v>
      </c>
      <c r="N338">
        <v>0.25</v>
      </c>
      <c r="O338" s="2">
        <f t="shared" si="32"/>
        <v>63.179087999999993</v>
      </c>
      <c r="P338">
        <f t="shared" si="33"/>
        <v>2.8476084999999998</v>
      </c>
      <c r="Q338">
        <f t="shared" si="34"/>
        <v>2.7221497730553801</v>
      </c>
      <c r="R338">
        <f t="shared" si="35"/>
        <v>122.6927623903905</v>
      </c>
      <c r="S338">
        <v>0.54976989008153632</v>
      </c>
      <c r="T338">
        <v>659.2</v>
      </c>
      <c r="X338" s="1">
        <v>0.60398148148148145</v>
      </c>
    </row>
    <row r="339" spans="1:24" x14ac:dyDescent="0.25">
      <c r="A339" t="s">
        <v>364</v>
      </c>
      <c r="B339" s="1" t="s">
        <v>40</v>
      </c>
      <c r="C339">
        <v>-3.6142380000000002E-2</v>
      </c>
      <c r="D339">
        <v>7.1788653999999993E-2</v>
      </c>
      <c r="E339">
        <v>0.35122747100000001</v>
      </c>
      <c r="F339">
        <v>6.5250500000000003E-2</v>
      </c>
      <c r="G339">
        <v>0.106496439</v>
      </c>
      <c r="H339">
        <v>0.93162241599999995</v>
      </c>
      <c r="I339">
        <v>99.9</v>
      </c>
      <c r="J339">
        <f t="shared" si="30"/>
        <v>0.99900000000000011</v>
      </c>
      <c r="K339">
        <v>9.4</v>
      </c>
      <c r="L339">
        <f t="shared" si="31"/>
        <v>282.54999999999995</v>
      </c>
      <c r="M339">
        <v>125</v>
      </c>
      <c r="N339">
        <v>0.25</v>
      </c>
      <c r="O339" s="2">
        <f t="shared" si="32"/>
        <v>-18.071190000000001</v>
      </c>
      <c r="P339">
        <f t="shared" si="33"/>
        <v>35.894326999999997</v>
      </c>
      <c r="Q339">
        <f t="shared" si="34"/>
        <v>-0.7786197508476328</v>
      </c>
      <c r="R339">
        <f t="shared" si="35"/>
        <v>1546.5518289378538</v>
      </c>
      <c r="S339">
        <v>0.54976989008153632</v>
      </c>
      <c r="T339">
        <v>659.2</v>
      </c>
      <c r="X339" s="1">
        <v>0.61026620370370377</v>
      </c>
    </row>
    <row r="340" spans="1:24" x14ac:dyDescent="0.25">
      <c r="A340" t="s">
        <v>365</v>
      </c>
      <c r="B340" s="1" t="s">
        <v>40</v>
      </c>
      <c r="C340">
        <v>-2.6302558E-2</v>
      </c>
      <c r="D340">
        <v>2.7065628000000001E-2</v>
      </c>
      <c r="E340">
        <v>0.51640514699999995</v>
      </c>
      <c r="F340">
        <v>4.3402888000000001E-2</v>
      </c>
      <c r="G340">
        <v>2.8372456000000001E-2</v>
      </c>
      <c r="H340">
        <v>0.81402432300000005</v>
      </c>
      <c r="I340">
        <v>99.9</v>
      </c>
      <c r="J340">
        <f t="shared" si="30"/>
        <v>0.99900000000000011</v>
      </c>
      <c r="K340">
        <f>AVERAGE(9.4,9)</f>
        <v>9.1999999999999993</v>
      </c>
      <c r="L340">
        <f t="shared" si="31"/>
        <v>282.34999999999997</v>
      </c>
      <c r="M340">
        <v>125</v>
      </c>
      <c r="N340">
        <v>0.25</v>
      </c>
      <c r="O340" s="2">
        <f t="shared" si="32"/>
        <v>-13.151279000000001</v>
      </c>
      <c r="P340">
        <f t="shared" si="33"/>
        <v>13.532814</v>
      </c>
      <c r="Q340">
        <f t="shared" si="34"/>
        <v>-0.56704062531655131</v>
      </c>
      <c r="R340">
        <f t="shared" si="35"/>
        <v>583.49118080854191</v>
      </c>
      <c r="S340">
        <v>0.5378366014949072</v>
      </c>
      <c r="T340">
        <f>AVERAGE(183.1,659.2)</f>
        <v>421.15000000000003</v>
      </c>
      <c r="X340" s="1">
        <v>0.6138541666666667</v>
      </c>
    </row>
    <row r="341" spans="1:24" x14ac:dyDescent="0.25">
      <c r="A341" t="s">
        <v>366</v>
      </c>
      <c r="B341" s="1" t="s">
        <v>40</v>
      </c>
      <c r="C341">
        <v>0.15512124599999999</v>
      </c>
      <c r="D341">
        <v>6.8071190000000004E-2</v>
      </c>
      <c r="E341">
        <v>0.77889251699999995</v>
      </c>
      <c r="F341">
        <v>6.5977868999999995E-2</v>
      </c>
      <c r="G341">
        <v>0.30865070700000002</v>
      </c>
      <c r="H341">
        <v>0.92296749099999997</v>
      </c>
      <c r="I341">
        <v>99.9</v>
      </c>
      <c r="J341">
        <f t="shared" si="30"/>
        <v>0.99900000000000011</v>
      </c>
      <c r="K341">
        <v>8.8000000000000007</v>
      </c>
      <c r="L341">
        <f t="shared" si="31"/>
        <v>281.95</v>
      </c>
      <c r="M341">
        <v>125</v>
      </c>
      <c r="N341">
        <v>0.25</v>
      </c>
      <c r="O341" s="2">
        <f t="shared" si="32"/>
        <v>77.560622999999993</v>
      </c>
      <c r="P341">
        <f t="shared" si="33"/>
        <v>34.035595000000001</v>
      </c>
      <c r="Q341">
        <f t="shared" si="34"/>
        <v>3.3489076037122998</v>
      </c>
      <c r="R341">
        <f t="shared" si="35"/>
        <v>1469.5867372335617</v>
      </c>
      <c r="S341">
        <v>0.50345724027767924</v>
      </c>
      <c r="T341">
        <v>324.10000000000002</v>
      </c>
      <c r="X341" s="1">
        <v>0.68335648148148154</v>
      </c>
    </row>
    <row r="342" spans="1:24" x14ac:dyDescent="0.25">
      <c r="A342" t="s">
        <v>367</v>
      </c>
      <c r="B342" s="1" t="s">
        <v>40</v>
      </c>
      <c r="C342">
        <v>0.223884316</v>
      </c>
      <c r="D342">
        <v>6.513904E-3</v>
      </c>
      <c r="E342">
        <v>0.68725546800000004</v>
      </c>
      <c r="F342">
        <v>9.204406E-3</v>
      </c>
      <c r="G342">
        <v>0.54431934699999995</v>
      </c>
      <c r="H342">
        <v>0.84933700999999995</v>
      </c>
      <c r="I342">
        <v>99.9</v>
      </c>
      <c r="J342">
        <f t="shared" si="30"/>
        <v>0.99900000000000011</v>
      </c>
      <c r="K342">
        <v>8.8000000000000007</v>
      </c>
      <c r="L342">
        <f t="shared" si="31"/>
        <v>281.95</v>
      </c>
      <c r="M342">
        <v>125</v>
      </c>
      <c r="N342">
        <v>0.25</v>
      </c>
      <c r="O342" s="2">
        <f t="shared" si="32"/>
        <v>111.94215800000001</v>
      </c>
      <c r="P342">
        <f t="shared" si="33"/>
        <v>3.2569520000000001</v>
      </c>
      <c r="Q342">
        <f t="shared" si="34"/>
        <v>4.8334313160708335</v>
      </c>
      <c r="R342">
        <f t="shared" si="35"/>
        <v>140.62846449448949</v>
      </c>
      <c r="S342">
        <v>0.50345724027767924</v>
      </c>
      <c r="T342">
        <v>324.10000000000002</v>
      </c>
      <c r="X342" s="1">
        <v>0.68479166666666658</v>
      </c>
    </row>
    <row r="343" spans="1:24" x14ac:dyDescent="0.25">
      <c r="A343" t="s">
        <v>368</v>
      </c>
      <c r="B343" s="1" t="s">
        <v>40</v>
      </c>
      <c r="C343">
        <v>-1.3423803999999999E-2</v>
      </c>
      <c r="D343">
        <v>5.9263626E-2</v>
      </c>
      <c r="E343">
        <v>0.221235599</v>
      </c>
      <c r="F343">
        <v>6.2608432000000006E-2</v>
      </c>
      <c r="G343">
        <v>3.9791383999999999E-2</v>
      </c>
      <c r="H343">
        <v>0.90979123900000003</v>
      </c>
      <c r="I343">
        <v>99.9</v>
      </c>
      <c r="J343">
        <f t="shared" si="30"/>
        <v>0.99900000000000011</v>
      </c>
      <c r="K343">
        <v>8.9</v>
      </c>
      <c r="L343">
        <f t="shared" si="31"/>
        <v>282.04999999999995</v>
      </c>
      <c r="M343">
        <v>125</v>
      </c>
      <c r="N343">
        <v>0.25</v>
      </c>
      <c r="O343" s="2">
        <f t="shared" si="32"/>
        <v>-6.7119019999999994</v>
      </c>
      <c r="P343">
        <f t="shared" si="33"/>
        <v>29.631813000000001</v>
      </c>
      <c r="Q343">
        <f t="shared" si="34"/>
        <v>-0.28970332403644627</v>
      </c>
      <c r="R343">
        <f t="shared" si="35"/>
        <v>1278.9868986952404</v>
      </c>
      <c r="S343">
        <v>0.5180858583264849</v>
      </c>
      <c r="T343">
        <v>329.6</v>
      </c>
      <c r="X343" s="1">
        <v>0.66979166666666667</v>
      </c>
    </row>
    <row r="344" spans="1:24" x14ac:dyDescent="0.25">
      <c r="A344" t="s">
        <v>369</v>
      </c>
      <c r="B344" s="1" t="s">
        <v>40</v>
      </c>
      <c r="C344">
        <v>1.3250278000000001E-2</v>
      </c>
      <c r="D344">
        <v>9.5528360000000003E-3</v>
      </c>
      <c r="E344">
        <v>0.242316373</v>
      </c>
      <c r="F344">
        <v>9.5700820000000006E-3</v>
      </c>
      <c r="G344">
        <v>3.2560460999999999E-2</v>
      </c>
      <c r="H344">
        <v>0.91813626299999995</v>
      </c>
      <c r="I344">
        <v>99.9</v>
      </c>
      <c r="J344">
        <f t="shared" si="30"/>
        <v>0.99900000000000011</v>
      </c>
      <c r="K344">
        <v>8.8000000000000007</v>
      </c>
      <c r="L344">
        <f t="shared" si="31"/>
        <v>281.95</v>
      </c>
      <c r="M344">
        <v>125</v>
      </c>
      <c r="N344">
        <v>0.25</v>
      </c>
      <c r="O344" s="2">
        <f t="shared" si="32"/>
        <v>6.6251390000000008</v>
      </c>
      <c r="P344">
        <f t="shared" si="33"/>
        <v>4.7764180000000005</v>
      </c>
      <c r="Q344">
        <f t="shared" si="34"/>
        <v>0.28605982668229613</v>
      </c>
      <c r="R344">
        <f t="shared" si="35"/>
        <v>206.23586995566424</v>
      </c>
      <c r="S344">
        <v>0.51014030098932983</v>
      </c>
      <c r="T344">
        <f>AVERAGE(329.6,324.1)</f>
        <v>326.85000000000002</v>
      </c>
      <c r="X344" s="1">
        <v>0.676875</v>
      </c>
    </row>
    <row r="345" spans="1:24" x14ac:dyDescent="0.25">
      <c r="A345" t="s">
        <v>370</v>
      </c>
      <c r="B345" s="1" t="s">
        <v>40</v>
      </c>
      <c r="C345">
        <v>1.3201335E-2</v>
      </c>
      <c r="D345">
        <v>5.0565072000000003E-2</v>
      </c>
      <c r="E345">
        <v>0.28950079400000001</v>
      </c>
      <c r="F345">
        <v>3.3168489000000002E-2</v>
      </c>
      <c r="G345">
        <v>2.2870237000000002E-2</v>
      </c>
      <c r="H345">
        <v>0.963180692</v>
      </c>
      <c r="I345">
        <v>99.9</v>
      </c>
      <c r="J345">
        <f t="shared" si="30"/>
        <v>0.99900000000000011</v>
      </c>
      <c r="K345">
        <v>8.8000000000000007</v>
      </c>
      <c r="L345">
        <f t="shared" si="31"/>
        <v>281.95</v>
      </c>
      <c r="M345">
        <v>125</v>
      </c>
      <c r="N345">
        <v>0.25</v>
      </c>
      <c r="O345" s="2">
        <f t="shared" si="32"/>
        <v>6.6006675000000001</v>
      </c>
      <c r="P345">
        <f t="shared" si="33"/>
        <v>25.282536</v>
      </c>
      <c r="Q345">
        <f t="shared" si="34"/>
        <v>0.28500319782535349</v>
      </c>
      <c r="R345">
        <f t="shared" si="35"/>
        <v>1091.6477173156534</v>
      </c>
      <c r="S345">
        <v>0.51014030098932983</v>
      </c>
      <c r="T345">
        <f>AVERAGE(329.6,324.1)</f>
        <v>326.85000000000002</v>
      </c>
      <c r="X345" s="1">
        <v>0.67966435185185192</v>
      </c>
    </row>
    <row r="346" spans="1:24" x14ac:dyDescent="0.25">
      <c r="A346" t="s">
        <v>371</v>
      </c>
      <c r="B346" s="1" t="s">
        <v>25</v>
      </c>
      <c r="C346">
        <v>5.9630701000000001E-2</v>
      </c>
      <c r="D346">
        <v>1.1993326E-2</v>
      </c>
      <c r="E346">
        <v>0.24082208199999999</v>
      </c>
      <c r="F346">
        <v>1.1853826E-2</v>
      </c>
      <c r="G346">
        <v>0.408328733</v>
      </c>
      <c r="H346">
        <v>0.92014335800000002</v>
      </c>
      <c r="I346">
        <v>99.9</v>
      </c>
      <c r="J346">
        <f t="shared" si="30"/>
        <v>0.99900000000000011</v>
      </c>
      <c r="K346">
        <v>6.5</v>
      </c>
      <c r="L346">
        <f t="shared" si="31"/>
        <v>279.64999999999998</v>
      </c>
      <c r="M346">
        <v>125</v>
      </c>
      <c r="N346">
        <v>0.25</v>
      </c>
      <c r="O346" s="2">
        <f t="shared" si="32"/>
        <v>29.815350500000001</v>
      </c>
      <c r="P346">
        <f t="shared" si="33"/>
        <v>5.9966629999999999</v>
      </c>
      <c r="Q346">
        <f t="shared" si="34"/>
        <v>1.2979533123230056</v>
      </c>
      <c r="R346">
        <f t="shared" si="35"/>
        <v>261.05306404950068</v>
      </c>
      <c r="S346">
        <v>0.32559394730611846</v>
      </c>
      <c r="T346">
        <v>341</v>
      </c>
      <c r="X346" s="1">
        <v>0.65615740740740736</v>
      </c>
    </row>
    <row r="347" spans="1:24" x14ac:dyDescent="0.25">
      <c r="A347" t="s">
        <v>372</v>
      </c>
      <c r="B347" s="1" t="s">
        <v>25</v>
      </c>
      <c r="C347">
        <v>0.36141268100000001</v>
      </c>
      <c r="D347">
        <v>5.0789770000000001E-3</v>
      </c>
      <c r="E347">
        <v>0.21080300299999999</v>
      </c>
      <c r="F347">
        <v>1.0604327E-2</v>
      </c>
      <c r="G347">
        <v>0.97066186300000001</v>
      </c>
      <c r="H347">
        <v>0.72083200700000005</v>
      </c>
      <c r="I347">
        <v>99.9</v>
      </c>
      <c r="J347">
        <f t="shared" si="30"/>
        <v>0.99900000000000011</v>
      </c>
      <c r="K347">
        <v>6.2</v>
      </c>
      <c r="L347">
        <f t="shared" si="31"/>
        <v>279.34999999999997</v>
      </c>
      <c r="M347">
        <v>125</v>
      </c>
      <c r="N347">
        <v>0.25</v>
      </c>
      <c r="O347" s="2">
        <f t="shared" si="32"/>
        <v>180.70634050000001</v>
      </c>
      <c r="P347">
        <f t="shared" si="33"/>
        <v>2.5394885</v>
      </c>
      <c r="Q347">
        <f t="shared" si="34"/>
        <v>7.8751473941696704</v>
      </c>
      <c r="R347">
        <f t="shared" si="35"/>
        <v>110.67041802719061</v>
      </c>
      <c r="S347">
        <v>0.3226565589831828</v>
      </c>
      <c r="T347">
        <v>305.8</v>
      </c>
      <c r="X347" s="1">
        <v>0.65769675925925919</v>
      </c>
    </row>
    <row r="348" spans="1:24" x14ac:dyDescent="0.25">
      <c r="A348" t="s">
        <v>373</v>
      </c>
      <c r="B348" s="1" t="s">
        <v>25</v>
      </c>
      <c r="C348">
        <v>-0.50354838700000004</v>
      </c>
      <c r="D348">
        <v>5.7041160000000004E-3</v>
      </c>
      <c r="E348">
        <v>2.0632444940000001</v>
      </c>
      <c r="F348">
        <v>8.0874429999999997E-3</v>
      </c>
      <c r="G348">
        <v>0.40135718999999997</v>
      </c>
      <c r="H348">
        <v>0.84846955899999998</v>
      </c>
      <c r="I348">
        <v>99.9</v>
      </c>
      <c r="J348">
        <f t="shared" si="30"/>
        <v>0.99900000000000011</v>
      </c>
      <c r="K348">
        <v>6.2</v>
      </c>
      <c r="L348">
        <f t="shared" si="31"/>
        <v>279.34999999999997</v>
      </c>
      <c r="M348">
        <v>125</v>
      </c>
      <c r="N348">
        <v>0.25</v>
      </c>
      <c r="O348" s="2">
        <f t="shared" si="32"/>
        <v>-251.77419350000002</v>
      </c>
      <c r="P348">
        <f t="shared" si="33"/>
        <v>2.852058</v>
      </c>
      <c r="Q348">
        <f t="shared" si="34"/>
        <v>-10.972270692741382</v>
      </c>
      <c r="R348">
        <f t="shared" si="35"/>
        <v>124.29213642739204</v>
      </c>
      <c r="S348">
        <v>0.3226565589831828</v>
      </c>
      <c r="T348">
        <v>305.8</v>
      </c>
      <c r="X348" s="1">
        <v>0.65984953703703708</v>
      </c>
    </row>
    <row r="349" spans="1:24" x14ac:dyDescent="0.25">
      <c r="A349" t="s">
        <v>374</v>
      </c>
      <c r="B349" s="1" t="s">
        <v>25</v>
      </c>
      <c r="C349">
        <v>0.227167964</v>
      </c>
      <c r="D349">
        <v>5.9176860000000001E-3</v>
      </c>
      <c r="E349">
        <v>0.30272670099999999</v>
      </c>
      <c r="F349">
        <v>8.0195149999999996E-3</v>
      </c>
      <c r="G349">
        <v>0.86372924500000003</v>
      </c>
      <c r="H349">
        <v>0.85972795000000002</v>
      </c>
      <c r="I349">
        <v>99.9</v>
      </c>
      <c r="J349">
        <f t="shared" si="30"/>
        <v>0.99900000000000011</v>
      </c>
      <c r="K349">
        <v>6.2</v>
      </c>
      <c r="L349">
        <f t="shared" si="31"/>
        <v>279.34999999999997</v>
      </c>
      <c r="M349">
        <v>125</v>
      </c>
      <c r="N349">
        <v>0.25</v>
      </c>
      <c r="O349" s="2">
        <f t="shared" si="32"/>
        <v>113.58398200000001</v>
      </c>
      <c r="P349">
        <f t="shared" si="33"/>
        <v>2.9588429999999999</v>
      </c>
      <c r="Q349">
        <f t="shared" si="34"/>
        <v>4.9499679833686558</v>
      </c>
      <c r="R349">
        <f t="shared" si="35"/>
        <v>128.94580608922888</v>
      </c>
      <c r="S349">
        <v>0.3226565589831828</v>
      </c>
      <c r="T349">
        <v>305.8</v>
      </c>
      <c r="X349" s="1">
        <v>0.6637615740740741</v>
      </c>
    </row>
    <row r="350" spans="1:24" x14ac:dyDescent="0.25">
      <c r="A350" t="s">
        <v>375</v>
      </c>
      <c r="B350" s="1" t="s">
        <v>25</v>
      </c>
      <c r="C350">
        <v>0.19395773099999999</v>
      </c>
      <c r="D350">
        <v>2.8347052000000001E-2</v>
      </c>
      <c r="E350">
        <v>0.25807074800000002</v>
      </c>
      <c r="F350">
        <v>7.0801609999999997E-3</v>
      </c>
      <c r="G350">
        <v>0.86409305800000002</v>
      </c>
      <c r="H350">
        <v>0.99448827100000003</v>
      </c>
      <c r="I350">
        <v>99.9</v>
      </c>
      <c r="J350">
        <f t="shared" si="30"/>
        <v>0.99900000000000011</v>
      </c>
      <c r="K350">
        <v>2.8</v>
      </c>
      <c r="L350">
        <f t="shared" si="31"/>
        <v>275.95</v>
      </c>
      <c r="M350">
        <v>125</v>
      </c>
      <c r="N350">
        <v>0.25</v>
      </c>
      <c r="O350" s="2">
        <f t="shared" si="32"/>
        <v>96.978865499999998</v>
      </c>
      <c r="P350">
        <f t="shared" si="33"/>
        <v>14.173526000000001</v>
      </c>
      <c r="Q350">
        <f t="shared" si="34"/>
        <v>4.2783930139945507</v>
      </c>
      <c r="R350">
        <f t="shared" si="35"/>
        <v>625.28999807767536</v>
      </c>
      <c r="S350">
        <v>3.6749289828542753E-2</v>
      </c>
      <c r="T350">
        <v>0</v>
      </c>
      <c r="X350" s="1">
        <v>0.87891203703703702</v>
      </c>
    </row>
    <row r="351" spans="1:24" x14ac:dyDescent="0.25">
      <c r="A351" t="s">
        <v>376</v>
      </c>
      <c r="B351" s="1" t="s">
        <v>25</v>
      </c>
      <c r="C351">
        <v>0.22983314799999999</v>
      </c>
      <c r="D351">
        <v>1.2576196E-2</v>
      </c>
      <c r="E351">
        <v>0.27652943600000002</v>
      </c>
      <c r="F351">
        <v>9.9153230000000002E-3</v>
      </c>
      <c r="G351">
        <v>0.88604556999999995</v>
      </c>
      <c r="H351">
        <v>0.94766550900000002</v>
      </c>
      <c r="I351">
        <v>99.9</v>
      </c>
      <c r="J351">
        <f t="shared" si="30"/>
        <v>0.99900000000000011</v>
      </c>
      <c r="K351">
        <v>2.8</v>
      </c>
      <c r="L351">
        <f t="shared" si="31"/>
        <v>275.95</v>
      </c>
      <c r="M351">
        <v>125</v>
      </c>
      <c r="N351">
        <v>0.25</v>
      </c>
      <c r="O351" s="2">
        <f t="shared" si="32"/>
        <v>114.916574</v>
      </c>
      <c r="P351">
        <f t="shared" si="33"/>
        <v>6.2880979999999997</v>
      </c>
      <c r="Q351">
        <f t="shared" si="34"/>
        <v>5.0697465355870541</v>
      </c>
      <c r="R351">
        <f t="shared" si="35"/>
        <v>277.41048955159312</v>
      </c>
      <c r="S351">
        <v>3.6749289828542753E-2</v>
      </c>
      <c r="T351">
        <v>0</v>
      </c>
      <c r="X351" s="1">
        <v>0.8796180555555555</v>
      </c>
    </row>
    <row r="352" spans="1:24" x14ac:dyDescent="0.25">
      <c r="A352" t="s">
        <v>377</v>
      </c>
      <c r="B352" s="1" t="s">
        <v>25</v>
      </c>
      <c r="C352">
        <v>0.108794216</v>
      </c>
      <c r="D352">
        <v>4.7677418999999999E-2</v>
      </c>
      <c r="E352">
        <v>0.74168213299999997</v>
      </c>
      <c r="F352">
        <v>6.4761017000000004E-2</v>
      </c>
      <c r="G352">
        <v>0.194970903</v>
      </c>
      <c r="H352">
        <v>0.85916901899999998</v>
      </c>
      <c r="I352">
        <v>99.9</v>
      </c>
      <c r="J352">
        <f t="shared" si="30"/>
        <v>0.99900000000000011</v>
      </c>
      <c r="K352">
        <v>3.4</v>
      </c>
      <c r="L352">
        <f t="shared" si="31"/>
        <v>276.54999999999995</v>
      </c>
      <c r="M352">
        <v>125</v>
      </c>
      <c r="N352">
        <v>0.25</v>
      </c>
      <c r="O352" s="2">
        <f t="shared" si="32"/>
        <v>54.397108000000003</v>
      </c>
      <c r="P352">
        <f t="shared" si="33"/>
        <v>23.8387095</v>
      </c>
      <c r="Q352">
        <f t="shared" si="34"/>
        <v>2.3946173455329642</v>
      </c>
      <c r="R352">
        <f t="shared" si="35"/>
        <v>1049.4048187970113</v>
      </c>
      <c r="S352">
        <v>5.3682234405346474E-2</v>
      </c>
      <c r="T352">
        <v>0</v>
      </c>
      <c r="X352" s="1">
        <v>0.86194444444444451</v>
      </c>
    </row>
    <row r="353" spans="1:24" x14ac:dyDescent="0.25">
      <c r="A353" t="s">
        <v>378</v>
      </c>
      <c r="B353" s="1" t="s">
        <v>25</v>
      </c>
      <c r="C353">
        <v>0.25294994399999998</v>
      </c>
      <c r="D353">
        <v>8.740823E-3</v>
      </c>
      <c r="E353">
        <v>0.38344731700000001</v>
      </c>
      <c r="F353">
        <v>1.8315728999999999E-2</v>
      </c>
      <c r="G353">
        <v>0.83045788499999995</v>
      </c>
      <c r="H353">
        <v>0.71937942399999999</v>
      </c>
      <c r="I353">
        <v>99.9</v>
      </c>
      <c r="J353">
        <f t="shared" si="30"/>
        <v>0.99900000000000011</v>
      </c>
      <c r="K353">
        <v>3.4</v>
      </c>
      <c r="L353">
        <f t="shared" si="31"/>
        <v>276.54999999999995</v>
      </c>
      <c r="M353">
        <v>125</v>
      </c>
      <c r="N353">
        <v>0.25</v>
      </c>
      <c r="O353" s="2">
        <f t="shared" si="32"/>
        <v>126.47497199999999</v>
      </c>
      <c r="P353">
        <f t="shared" si="33"/>
        <v>4.3704115000000003</v>
      </c>
      <c r="Q353">
        <f t="shared" si="34"/>
        <v>5.5675599836483221</v>
      </c>
      <c r="R353">
        <f t="shared" si="35"/>
        <v>192.39006575527404</v>
      </c>
      <c r="S353">
        <v>5.3682234405346474E-2</v>
      </c>
      <c r="T353">
        <v>0</v>
      </c>
      <c r="X353" s="1">
        <v>0.86331018518518521</v>
      </c>
    </row>
    <row r="354" spans="1:24" x14ac:dyDescent="0.25">
      <c r="A354" t="s">
        <v>379</v>
      </c>
      <c r="B354" s="1" t="s">
        <v>25</v>
      </c>
      <c r="C354">
        <v>1.8162403000000001E-2</v>
      </c>
      <c r="D354">
        <v>6.0266963E-2</v>
      </c>
      <c r="E354">
        <v>0.66238860499999996</v>
      </c>
      <c r="F354">
        <v>5.4295782000000001E-2</v>
      </c>
      <c r="G354">
        <v>8.3915729999999994E-3</v>
      </c>
      <c r="H354">
        <v>0.93274071400000003</v>
      </c>
      <c r="I354">
        <v>99.9</v>
      </c>
      <c r="J354">
        <f t="shared" si="30"/>
        <v>0.99900000000000011</v>
      </c>
      <c r="K354">
        <v>3.4</v>
      </c>
      <c r="L354">
        <f t="shared" si="31"/>
        <v>276.54999999999995</v>
      </c>
      <c r="M354">
        <v>125</v>
      </c>
      <c r="N354">
        <v>0.25</v>
      </c>
      <c r="O354" s="2">
        <f t="shared" si="32"/>
        <v>9.0812015000000006</v>
      </c>
      <c r="P354">
        <f t="shared" si="33"/>
        <v>30.133481499999998</v>
      </c>
      <c r="Q354">
        <f t="shared" si="34"/>
        <v>0.39976394756463846</v>
      </c>
      <c r="R354">
        <f t="shared" si="35"/>
        <v>1326.5072378700111</v>
      </c>
      <c r="S354">
        <v>5.3682234405346474E-2</v>
      </c>
      <c r="T354">
        <v>0</v>
      </c>
      <c r="X354" s="1">
        <v>0.86614583333333339</v>
      </c>
    </row>
    <row r="355" spans="1:24" x14ac:dyDescent="0.25">
      <c r="A355" t="s">
        <v>380</v>
      </c>
      <c r="B355" s="1" t="s">
        <v>25</v>
      </c>
      <c r="C355">
        <v>3.8191323999999999E-2</v>
      </c>
      <c r="D355">
        <v>4.2298109E-2</v>
      </c>
      <c r="E355">
        <v>0.275657924</v>
      </c>
      <c r="F355">
        <v>2.3980772000000001E-2</v>
      </c>
      <c r="G355">
        <v>0.17767092100000001</v>
      </c>
      <c r="H355">
        <v>0.97223650800000005</v>
      </c>
      <c r="I355">
        <v>99.9</v>
      </c>
      <c r="J355">
        <f t="shared" si="30"/>
        <v>0.99900000000000011</v>
      </c>
      <c r="K355">
        <v>2.8</v>
      </c>
      <c r="L355">
        <f t="shared" si="31"/>
        <v>275.95</v>
      </c>
      <c r="M355">
        <v>125</v>
      </c>
      <c r="N355">
        <v>0.25</v>
      </c>
      <c r="O355" s="2">
        <f t="shared" si="32"/>
        <v>19.095662000000001</v>
      </c>
      <c r="P355">
        <f t="shared" si="33"/>
        <v>21.149054500000002</v>
      </c>
      <c r="Q355">
        <f t="shared" si="34"/>
        <v>0.8424386744182033</v>
      </c>
      <c r="R355">
        <f t="shared" si="35"/>
        <v>933.02769174372372</v>
      </c>
      <c r="S355">
        <v>3.6749289828542753E-2</v>
      </c>
      <c r="T355">
        <v>0</v>
      </c>
      <c r="X355" s="1">
        <v>0.87048611111111107</v>
      </c>
    </row>
    <row r="356" spans="1:24" x14ac:dyDescent="0.25">
      <c r="A356" t="s">
        <v>381</v>
      </c>
      <c r="B356" s="1" t="s">
        <v>25</v>
      </c>
      <c r="C356">
        <v>0.13251167999999999</v>
      </c>
      <c r="D356">
        <v>8.1156839999999997E-3</v>
      </c>
      <c r="E356">
        <v>0.238125068</v>
      </c>
      <c r="F356">
        <v>9.6402950000000001E-3</v>
      </c>
      <c r="G356">
        <v>0.77706549499999999</v>
      </c>
      <c r="H356">
        <v>0.88860699899999995</v>
      </c>
      <c r="I356">
        <v>99.9</v>
      </c>
      <c r="J356">
        <f t="shared" si="30"/>
        <v>0.99900000000000011</v>
      </c>
      <c r="K356">
        <v>2.8</v>
      </c>
      <c r="L356">
        <f t="shared" si="31"/>
        <v>275.95</v>
      </c>
      <c r="M356">
        <v>125</v>
      </c>
      <c r="N356">
        <v>0.25</v>
      </c>
      <c r="O356" s="2">
        <f t="shared" si="32"/>
        <v>66.255839999999992</v>
      </c>
      <c r="P356">
        <f t="shared" si="33"/>
        <v>4.0578419999999999</v>
      </c>
      <c r="Q356">
        <f t="shared" si="34"/>
        <v>2.9229927730216714</v>
      </c>
      <c r="R356">
        <f t="shared" si="35"/>
        <v>179.01882822802949</v>
      </c>
      <c r="S356">
        <v>3.6749289828542753E-2</v>
      </c>
      <c r="T356">
        <v>0</v>
      </c>
      <c r="X356" s="1">
        <v>0.8719675925925926</v>
      </c>
    </row>
    <row r="357" spans="1:24" x14ac:dyDescent="0.25">
      <c r="A357" t="s">
        <v>382</v>
      </c>
      <c r="B357" s="1" t="s">
        <v>25</v>
      </c>
      <c r="C357">
        <v>-8.3870968000000004E-2</v>
      </c>
      <c r="D357">
        <v>4.069188E-2</v>
      </c>
      <c r="E357">
        <v>0.32657441799999998</v>
      </c>
      <c r="F357">
        <v>1.9696190999999998E-2</v>
      </c>
      <c r="G357">
        <v>0.426080813</v>
      </c>
      <c r="H357">
        <v>0.97960987499999996</v>
      </c>
      <c r="I357">
        <v>99.9</v>
      </c>
      <c r="J357">
        <f t="shared" si="30"/>
        <v>0.99900000000000011</v>
      </c>
      <c r="K357">
        <v>2.8</v>
      </c>
      <c r="L357">
        <f t="shared" si="31"/>
        <v>275.95</v>
      </c>
      <c r="M357">
        <v>125</v>
      </c>
      <c r="N357">
        <v>0.25</v>
      </c>
      <c r="O357" s="2">
        <f t="shared" si="32"/>
        <v>-41.935484000000002</v>
      </c>
      <c r="P357">
        <f t="shared" si="33"/>
        <v>20.345939999999999</v>
      </c>
      <c r="Q357">
        <f t="shared" si="34"/>
        <v>-1.8500575445902727</v>
      </c>
      <c r="R357">
        <f t="shared" si="35"/>
        <v>897.5968847475566</v>
      </c>
      <c r="S357">
        <v>3.6749289828542753E-2</v>
      </c>
      <c r="T357">
        <v>0</v>
      </c>
      <c r="X357" s="1">
        <v>0.87437500000000001</v>
      </c>
    </row>
    <row r="358" spans="1:24" x14ac:dyDescent="0.25">
      <c r="A358" t="s">
        <v>383</v>
      </c>
      <c r="B358" s="1" t="s">
        <v>25</v>
      </c>
      <c r="C358">
        <v>-6.5461623999999996E-2</v>
      </c>
      <c r="D358">
        <v>5.5523915E-2</v>
      </c>
      <c r="E358">
        <v>0.64393402799999999</v>
      </c>
      <c r="F358">
        <v>5.9197391000000002E-2</v>
      </c>
      <c r="G358">
        <v>0.10420352200000001</v>
      </c>
      <c r="H358">
        <v>0.908276466</v>
      </c>
      <c r="I358">
        <v>99.9</v>
      </c>
      <c r="J358">
        <f t="shared" si="30"/>
        <v>0.99900000000000011</v>
      </c>
      <c r="K358">
        <f>AVERAGE(9.1,7.6)</f>
        <v>8.35</v>
      </c>
      <c r="L358">
        <f t="shared" si="31"/>
        <v>281.5</v>
      </c>
      <c r="M358">
        <v>125</v>
      </c>
      <c r="N358">
        <v>0.25</v>
      </c>
      <c r="O358" s="2">
        <f t="shared" si="32"/>
        <v>-32.730812</v>
      </c>
      <c r="P358">
        <f t="shared" si="33"/>
        <v>27.761957500000001</v>
      </c>
      <c r="Q358">
        <f t="shared" si="34"/>
        <v>-1.4155080906445878</v>
      </c>
      <c r="R358">
        <f t="shared" si="35"/>
        <v>1200.6202428886029</v>
      </c>
      <c r="S358">
        <v>0.17340428071250391</v>
      </c>
      <c r="T358">
        <f>AVERAGE(22,7.3)</f>
        <v>14.65</v>
      </c>
      <c r="X358" s="1">
        <v>0.8216782407407407</v>
      </c>
    </row>
    <row r="359" spans="1:24" x14ac:dyDescent="0.25">
      <c r="A359" t="s">
        <v>384</v>
      </c>
      <c r="B359" s="1" t="s">
        <v>25</v>
      </c>
      <c r="C359">
        <v>-5.7563959999999997E-2</v>
      </c>
      <c r="D359">
        <v>7.2565071999999994E-2</v>
      </c>
      <c r="E359">
        <v>0.64624229300000002</v>
      </c>
      <c r="F359">
        <v>0.110154908</v>
      </c>
      <c r="G359">
        <v>8.1986420000000004E-2</v>
      </c>
      <c r="H359">
        <v>0.83006517599999996</v>
      </c>
      <c r="I359">
        <v>99.9</v>
      </c>
      <c r="J359">
        <f t="shared" si="30"/>
        <v>0.99900000000000011</v>
      </c>
      <c r="K359">
        <f>AVERAGE(9.1,7.6)</f>
        <v>8.35</v>
      </c>
      <c r="L359">
        <f t="shared" si="31"/>
        <v>281.5</v>
      </c>
      <c r="M359">
        <v>125</v>
      </c>
      <c r="N359">
        <v>0.25</v>
      </c>
      <c r="O359" s="2">
        <f t="shared" si="32"/>
        <v>-28.781979999999997</v>
      </c>
      <c r="P359">
        <f t="shared" si="33"/>
        <v>36.282536</v>
      </c>
      <c r="Q359">
        <f t="shared" si="34"/>
        <v>-1.2447331143135314</v>
      </c>
      <c r="R359">
        <f t="shared" si="35"/>
        <v>1569.1093535077443</v>
      </c>
      <c r="S359">
        <v>0.17340428071250391</v>
      </c>
      <c r="T359">
        <f>AVERAGE(22,7.3)</f>
        <v>14.65</v>
      </c>
      <c r="X359" s="1">
        <v>0.82508101851851856</v>
      </c>
    </row>
    <row r="360" spans="1:24" x14ac:dyDescent="0.25">
      <c r="A360" t="s">
        <v>385</v>
      </c>
      <c r="B360" s="1" t="s">
        <v>40</v>
      </c>
      <c r="C360">
        <v>-3.5604004000000002E-2</v>
      </c>
      <c r="D360">
        <v>1.1713014000000001E-2</v>
      </c>
      <c r="E360">
        <v>0.31632146500000002</v>
      </c>
      <c r="F360">
        <v>1.4026653E-2</v>
      </c>
      <c r="G360">
        <v>0.124803857</v>
      </c>
      <c r="H360">
        <v>0.88699222099999997</v>
      </c>
      <c r="I360">
        <v>99.9</v>
      </c>
      <c r="J360">
        <f t="shared" si="30"/>
        <v>0.99900000000000011</v>
      </c>
      <c r="K360">
        <v>10.8</v>
      </c>
      <c r="L360">
        <f t="shared" si="31"/>
        <v>283.95</v>
      </c>
      <c r="M360">
        <v>125</v>
      </c>
      <c r="N360">
        <v>0.25</v>
      </c>
      <c r="O360" s="2">
        <f t="shared" si="32"/>
        <v>-17.802002000000002</v>
      </c>
      <c r="P360">
        <f t="shared" si="33"/>
        <v>5.8565070000000006</v>
      </c>
      <c r="Q360">
        <f t="shared" si="34"/>
        <v>-0.76323969280720372</v>
      </c>
      <c r="R360">
        <f t="shared" si="35"/>
        <v>251.09078201447443</v>
      </c>
      <c r="S360">
        <v>0.46747581599590204</v>
      </c>
      <c r="T360">
        <v>75.099999999999994</v>
      </c>
      <c r="X360" s="1">
        <v>0.75390046296296298</v>
      </c>
    </row>
    <row r="361" spans="1:24" x14ac:dyDescent="0.25">
      <c r="A361" t="s">
        <v>386</v>
      </c>
      <c r="B361" s="1" t="s">
        <v>40</v>
      </c>
      <c r="C361">
        <v>9.9617353000000006E-2</v>
      </c>
      <c r="D361">
        <v>8.8431589999999997E-3</v>
      </c>
      <c r="E361">
        <v>0.23107492700000001</v>
      </c>
      <c r="F361">
        <v>1.0152012E-2</v>
      </c>
      <c r="G361">
        <v>0.67657713200000003</v>
      </c>
      <c r="H361">
        <v>0.89518575099999997</v>
      </c>
      <c r="I361">
        <v>99.9</v>
      </c>
      <c r="J361">
        <f t="shared" si="30"/>
        <v>0.99900000000000011</v>
      </c>
      <c r="K361">
        <v>10.1</v>
      </c>
      <c r="L361">
        <f t="shared" si="31"/>
        <v>283.25</v>
      </c>
      <c r="M361">
        <v>125</v>
      </c>
      <c r="N361">
        <v>0.25</v>
      </c>
      <c r="O361" s="2">
        <f t="shared" si="32"/>
        <v>49.808676500000004</v>
      </c>
      <c r="P361">
        <f t="shared" si="33"/>
        <v>4.4215795</v>
      </c>
      <c r="Q361">
        <f t="shared" si="34"/>
        <v>2.1407653119076979</v>
      </c>
      <c r="R361">
        <f t="shared" si="35"/>
        <v>190.03845680264521</v>
      </c>
      <c r="S361">
        <v>0.3987295567582988</v>
      </c>
      <c r="T361">
        <v>53.1</v>
      </c>
      <c r="X361" s="1">
        <v>0.77089120370370379</v>
      </c>
    </row>
    <row r="362" spans="1:24" x14ac:dyDescent="0.25">
      <c r="A362" t="s">
        <v>387</v>
      </c>
      <c r="B362" s="1" t="s">
        <v>40</v>
      </c>
      <c r="C362">
        <v>3.9228030999999997E-2</v>
      </c>
      <c r="D362">
        <v>3.9112346999999999E-2</v>
      </c>
      <c r="E362">
        <v>0.228763147</v>
      </c>
      <c r="F362">
        <v>2.6903821000000001E-2</v>
      </c>
      <c r="G362">
        <v>0.24867450799999999</v>
      </c>
      <c r="H362">
        <v>0.95966005099999996</v>
      </c>
      <c r="I362">
        <v>99.9</v>
      </c>
      <c r="J362">
        <f t="shared" si="30"/>
        <v>0.99900000000000011</v>
      </c>
      <c r="K362">
        <v>10.1</v>
      </c>
      <c r="L362">
        <f t="shared" si="31"/>
        <v>283.25</v>
      </c>
      <c r="M362">
        <v>125</v>
      </c>
      <c r="N362">
        <v>0.25</v>
      </c>
      <c r="O362" s="2">
        <f t="shared" si="32"/>
        <v>19.614015499999997</v>
      </c>
      <c r="P362">
        <f t="shared" si="33"/>
        <v>19.5561735</v>
      </c>
      <c r="Q362">
        <f t="shared" si="34"/>
        <v>0.84300581665967189</v>
      </c>
      <c r="R362">
        <f t="shared" si="35"/>
        <v>840.51978097527945</v>
      </c>
      <c r="S362">
        <v>0.3987295567582988</v>
      </c>
      <c r="T362">
        <v>53.1</v>
      </c>
      <c r="X362" s="1">
        <v>0.77326388888888886</v>
      </c>
    </row>
    <row r="363" spans="1:24" x14ac:dyDescent="0.25">
      <c r="A363" t="s">
        <v>388</v>
      </c>
      <c r="B363" s="1" t="s">
        <v>40</v>
      </c>
      <c r="C363">
        <v>0.30842046699999998</v>
      </c>
      <c r="D363">
        <v>1.7305895000000002E-2</v>
      </c>
      <c r="E363">
        <v>1.153299783</v>
      </c>
      <c r="F363">
        <v>9.4374430000000002E-3</v>
      </c>
      <c r="G363">
        <v>0.44597673900000001</v>
      </c>
      <c r="H363">
        <v>0.97425973499999996</v>
      </c>
      <c r="I363">
        <v>99.9</v>
      </c>
      <c r="J363">
        <f t="shared" si="30"/>
        <v>0.99900000000000011</v>
      </c>
      <c r="K363">
        <v>10.5</v>
      </c>
      <c r="L363">
        <f t="shared" si="31"/>
        <v>283.64999999999998</v>
      </c>
      <c r="M363">
        <v>125</v>
      </c>
      <c r="N363">
        <v>0.25</v>
      </c>
      <c r="O363" s="2">
        <f t="shared" si="32"/>
        <v>154.21023349999999</v>
      </c>
      <c r="P363">
        <f t="shared" si="33"/>
        <v>8.6529475000000016</v>
      </c>
      <c r="Q363">
        <f t="shared" si="34"/>
        <v>6.6185732918723108</v>
      </c>
      <c r="R363">
        <f t="shared" si="35"/>
        <v>371.37721615260568</v>
      </c>
      <c r="S363">
        <v>0.43387702852070298</v>
      </c>
      <c r="T363">
        <f>AVERAGE(75.1,53.1)</f>
        <v>64.099999999999994</v>
      </c>
      <c r="X363" s="1">
        <v>0.75975694444444442</v>
      </c>
    </row>
    <row r="364" spans="1:24" x14ac:dyDescent="0.25">
      <c r="A364" t="s">
        <v>389</v>
      </c>
      <c r="B364" s="1" t="s">
        <v>40</v>
      </c>
      <c r="C364">
        <v>-1.2266963000000001E-2</v>
      </c>
      <c r="D364">
        <v>6.2429366E-2</v>
      </c>
      <c r="E364">
        <v>0.83759387699999999</v>
      </c>
      <c r="F364">
        <v>7.8878458999999998E-2</v>
      </c>
      <c r="G364">
        <v>2.4084750000000002E-3</v>
      </c>
      <c r="H364">
        <v>0.87578995900000001</v>
      </c>
      <c r="I364">
        <v>99.9</v>
      </c>
      <c r="J364">
        <f t="shared" si="30"/>
        <v>0.99900000000000011</v>
      </c>
      <c r="K364">
        <v>10.5</v>
      </c>
      <c r="L364">
        <f t="shared" si="31"/>
        <v>283.64999999999998</v>
      </c>
      <c r="M364">
        <v>125</v>
      </c>
      <c r="N364">
        <v>0.25</v>
      </c>
      <c r="O364" s="2">
        <f t="shared" si="32"/>
        <v>-6.1334815000000003</v>
      </c>
      <c r="P364">
        <f t="shared" si="33"/>
        <v>31.214683000000001</v>
      </c>
      <c r="Q364">
        <f t="shared" si="34"/>
        <v>-0.26324385821057023</v>
      </c>
      <c r="R364">
        <f t="shared" si="35"/>
        <v>1339.7078944054688</v>
      </c>
      <c r="S364">
        <v>0.43387702852070298</v>
      </c>
      <c r="T364">
        <f>AVERAGE(75.1,53.1)</f>
        <v>64.099999999999994</v>
      </c>
      <c r="X364" s="1">
        <v>0.76258101851851856</v>
      </c>
    </row>
    <row r="365" spans="1:24" x14ac:dyDescent="0.25">
      <c r="A365" t="s">
        <v>390</v>
      </c>
      <c r="B365" s="1" t="s">
        <v>40</v>
      </c>
      <c r="C365">
        <v>-7.8769744000000003E-2</v>
      </c>
      <c r="D365">
        <v>0.11332146799999999</v>
      </c>
      <c r="E365">
        <v>3.587198146</v>
      </c>
      <c r="F365">
        <v>0.217128986</v>
      </c>
      <c r="G365">
        <v>5.398084E-3</v>
      </c>
      <c r="H365">
        <v>0.75405756199999996</v>
      </c>
      <c r="I365">
        <v>99.9</v>
      </c>
      <c r="J365">
        <f t="shared" si="30"/>
        <v>0.99900000000000011</v>
      </c>
      <c r="K365">
        <v>10.8</v>
      </c>
      <c r="L365">
        <f t="shared" si="31"/>
        <v>283.95</v>
      </c>
      <c r="M365">
        <v>125</v>
      </c>
      <c r="N365">
        <v>0.25</v>
      </c>
      <c r="O365" s="2">
        <f t="shared" si="32"/>
        <v>-39.384872000000001</v>
      </c>
      <c r="P365">
        <f t="shared" si="33"/>
        <v>56.660733999999998</v>
      </c>
      <c r="Q365">
        <f t="shared" si="34"/>
        <v>-1.6885796106826096</v>
      </c>
      <c r="R365">
        <f t="shared" si="35"/>
        <v>2429.2616758716622</v>
      </c>
      <c r="S365">
        <v>0.41779854944592876</v>
      </c>
      <c r="T365">
        <v>53.1</v>
      </c>
      <c r="X365" s="1">
        <v>0.76589120370370367</v>
      </c>
    </row>
    <row r="366" spans="1:24" x14ac:dyDescent="0.25">
      <c r="A366" t="s">
        <v>391</v>
      </c>
      <c r="B366" s="1" t="s">
        <v>40</v>
      </c>
      <c r="C366">
        <v>3.2825361999999997E-2</v>
      </c>
      <c r="D366">
        <v>3.8536150999999998E-2</v>
      </c>
      <c r="E366">
        <v>0.44268644899999998</v>
      </c>
      <c r="F366">
        <v>2.4836753E-2</v>
      </c>
      <c r="G366">
        <v>5.8281399999999997E-2</v>
      </c>
      <c r="H366">
        <v>0.96440965099999998</v>
      </c>
      <c r="I366">
        <v>99.9</v>
      </c>
      <c r="J366">
        <f t="shared" si="30"/>
        <v>0.99900000000000011</v>
      </c>
      <c r="K366">
        <v>10.8</v>
      </c>
      <c r="L366">
        <f t="shared" si="31"/>
        <v>283.95</v>
      </c>
      <c r="M366">
        <v>125</v>
      </c>
      <c r="N366">
        <v>0.25</v>
      </c>
      <c r="O366" s="2">
        <f t="shared" si="32"/>
        <v>16.412680999999999</v>
      </c>
      <c r="P366">
        <f t="shared" si="33"/>
        <v>19.268075499999998</v>
      </c>
      <c r="Q366">
        <f t="shared" si="34"/>
        <v>0.70367420499012556</v>
      </c>
      <c r="R366">
        <f t="shared" si="35"/>
        <v>826.09585290497125</v>
      </c>
      <c r="S366">
        <v>0.41779854944592876</v>
      </c>
      <c r="T366">
        <v>53.1</v>
      </c>
      <c r="X366" s="1">
        <v>0.76952546296296298</v>
      </c>
    </row>
    <row r="367" spans="1:24" x14ac:dyDescent="0.25">
      <c r="A367" t="s">
        <v>392</v>
      </c>
      <c r="B367" s="1" t="s">
        <v>40</v>
      </c>
      <c r="C367">
        <v>0.14985762</v>
      </c>
      <c r="D367">
        <v>7.0367069999999997E-3</v>
      </c>
      <c r="E367">
        <v>0.39118482500000001</v>
      </c>
      <c r="F367">
        <v>8.7777370000000007E-3</v>
      </c>
      <c r="G367">
        <v>0.62290763199999999</v>
      </c>
      <c r="H367">
        <v>0.87854684100000002</v>
      </c>
      <c r="I367">
        <v>99.9</v>
      </c>
      <c r="J367">
        <f t="shared" si="30"/>
        <v>0.99900000000000011</v>
      </c>
      <c r="K367">
        <v>12.55</v>
      </c>
      <c r="L367">
        <f t="shared" si="31"/>
        <v>285.7</v>
      </c>
      <c r="M367">
        <v>125</v>
      </c>
      <c r="N367">
        <v>0.25</v>
      </c>
      <c r="O367" s="2">
        <f t="shared" si="32"/>
        <v>74.928809999999999</v>
      </c>
      <c r="P367">
        <f t="shared" si="33"/>
        <v>3.5183534999999999</v>
      </c>
      <c r="Q367">
        <f t="shared" si="34"/>
        <v>3.192806291118846</v>
      </c>
      <c r="R367">
        <f t="shared" si="35"/>
        <v>149.92125444378485</v>
      </c>
      <c r="S367">
        <v>0.67708627447125957</v>
      </c>
      <c r="T367">
        <f>AVERAGE(717.8,589.6)</f>
        <v>653.70000000000005</v>
      </c>
      <c r="X367" s="1">
        <v>0.50973379629629634</v>
      </c>
    </row>
    <row r="368" spans="1:24" x14ac:dyDescent="0.25">
      <c r="A368" t="s">
        <v>393</v>
      </c>
      <c r="B368" s="1" t="s">
        <v>40</v>
      </c>
      <c r="C368">
        <v>-6.8571746000000003E-2</v>
      </c>
      <c r="D368">
        <v>8.9119021000000007E-2</v>
      </c>
      <c r="E368">
        <v>0.60643788300000001</v>
      </c>
      <c r="F368">
        <v>0.147745716</v>
      </c>
      <c r="G368">
        <v>0.125807643</v>
      </c>
      <c r="H368">
        <v>0.80374344399999997</v>
      </c>
      <c r="I368">
        <v>99.9</v>
      </c>
      <c r="J368">
        <f t="shared" si="30"/>
        <v>0.99900000000000011</v>
      </c>
      <c r="K368">
        <v>12.55</v>
      </c>
      <c r="L368">
        <f t="shared" si="31"/>
        <v>285.7</v>
      </c>
      <c r="M368">
        <v>125</v>
      </c>
      <c r="N368">
        <v>0.25</v>
      </c>
      <c r="O368" s="2">
        <f t="shared" si="32"/>
        <v>-34.285873000000002</v>
      </c>
      <c r="P368">
        <f t="shared" si="33"/>
        <v>44.559510500000002</v>
      </c>
      <c r="Q368">
        <f t="shared" si="34"/>
        <v>-1.4609620920297786</v>
      </c>
      <c r="R368">
        <f t="shared" si="35"/>
        <v>1898.7340844406349</v>
      </c>
      <c r="S368">
        <v>0.67708627447125957</v>
      </c>
      <c r="T368">
        <f>AVERAGE(717.8,589.6)</f>
        <v>653.70000000000005</v>
      </c>
      <c r="X368" s="1">
        <v>0.5116666666666666</v>
      </c>
    </row>
    <row r="369" spans="1:24" x14ac:dyDescent="0.25">
      <c r="A369" t="s">
        <v>394</v>
      </c>
      <c r="B369" s="1" t="s">
        <v>40</v>
      </c>
      <c r="C369">
        <v>-1.4384872E-2</v>
      </c>
      <c r="D369">
        <v>7.6567297000000006E-2</v>
      </c>
      <c r="E369">
        <v>6.2131112350000004</v>
      </c>
      <c r="F369">
        <v>0.14687511</v>
      </c>
      <c r="G369" s="3">
        <v>6.0300000000000002E-5</v>
      </c>
      <c r="H369">
        <v>0.75363090399999999</v>
      </c>
      <c r="I369">
        <v>99.9</v>
      </c>
      <c r="J369">
        <f t="shared" si="30"/>
        <v>0.99900000000000011</v>
      </c>
      <c r="K369">
        <v>12.4</v>
      </c>
      <c r="L369">
        <f t="shared" si="31"/>
        <v>285.54999999999995</v>
      </c>
      <c r="M369">
        <v>125</v>
      </c>
      <c r="N369">
        <v>0.25</v>
      </c>
      <c r="O369" s="2">
        <f t="shared" si="32"/>
        <v>-7.1924359999999998</v>
      </c>
      <c r="P369">
        <f t="shared" si="33"/>
        <v>38.283648500000005</v>
      </c>
      <c r="Q369">
        <f t="shared" si="34"/>
        <v>-0.30663930168328396</v>
      </c>
      <c r="R369">
        <f t="shared" si="35"/>
        <v>1632.1690233918389</v>
      </c>
      <c r="S369">
        <v>0.6584134083626394</v>
      </c>
      <c r="T369">
        <v>717.8</v>
      </c>
      <c r="X369" s="1">
        <v>0.4972569444444444</v>
      </c>
    </row>
    <row r="370" spans="1:24" x14ac:dyDescent="0.25">
      <c r="A370" t="s">
        <v>395</v>
      </c>
      <c r="B370" s="1" t="s">
        <v>40</v>
      </c>
      <c r="C370">
        <v>0.27472302599999998</v>
      </c>
      <c r="D370">
        <v>8.6718579999999993E-3</v>
      </c>
      <c r="E370">
        <v>0.92510431299999996</v>
      </c>
      <c r="F370">
        <v>1.5199986E-2</v>
      </c>
      <c r="G370">
        <v>0.49815273500000001</v>
      </c>
      <c r="H370">
        <v>0.78557807899999998</v>
      </c>
      <c r="I370">
        <v>99.9</v>
      </c>
      <c r="J370">
        <f t="shared" si="30"/>
        <v>0.99900000000000011</v>
      </c>
      <c r="K370">
        <v>12.4</v>
      </c>
      <c r="L370">
        <f t="shared" si="31"/>
        <v>285.54999999999995</v>
      </c>
      <c r="M370">
        <v>125</v>
      </c>
      <c r="N370">
        <v>0.25</v>
      </c>
      <c r="O370" s="2">
        <f t="shared" si="32"/>
        <v>137.361513</v>
      </c>
      <c r="P370">
        <f t="shared" si="33"/>
        <v>4.3359289999999993</v>
      </c>
      <c r="Q370">
        <f t="shared" si="34"/>
        <v>5.8562131695686057</v>
      </c>
      <c r="R370">
        <f t="shared" si="35"/>
        <v>184.85617956257096</v>
      </c>
      <c r="S370">
        <v>0.6584134083626394</v>
      </c>
      <c r="T370">
        <v>717.8</v>
      </c>
      <c r="X370" s="1">
        <v>0.50270833333333331</v>
      </c>
    </row>
    <row r="371" spans="1:24" x14ac:dyDescent="0.25">
      <c r="A371" t="s">
        <v>396</v>
      </c>
      <c r="B371" s="1" t="s">
        <v>40</v>
      </c>
      <c r="C371">
        <v>-6.0631813E-2</v>
      </c>
      <c r="D371">
        <v>4.4691880000000003E-2</v>
      </c>
      <c r="E371">
        <v>1.7387314220000001</v>
      </c>
      <c r="F371">
        <v>3.7837163E-2</v>
      </c>
      <c r="G371">
        <v>1.3502505E-2</v>
      </c>
      <c r="H371">
        <v>0.94013307099999999</v>
      </c>
      <c r="I371">
        <v>99.9</v>
      </c>
      <c r="J371">
        <f t="shared" si="30"/>
        <v>0.99900000000000011</v>
      </c>
      <c r="K371">
        <v>12.4</v>
      </c>
      <c r="L371">
        <f t="shared" si="31"/>
        <v>285.54999999999995</v>
      </c>
      <c r="M371">
        <v>125</v>
      </c>
      <c r="N371">
        <v>0.25</v>
      </c>
      <c r="O371" s="2">
        <f t="shared" si="32"/>
        <v>-30.315906500000001</v>
      </c>
      <c r="P371">
        <f t="shared" si="33"/>
        <v>22.345940000000002</v>
      </c>
      <c r="Q371">
        <f t="shared" si="34"/>
        <v>-1.2924756506774242</v>
      </c>
      <c r="R371">
        <f t="shared" si="35"/>
        <v>952.6874395624186</v>
      </c>
      <c r="S371">
        <v>0.6584134083626394</v>
      </c>
      <c r="T371">
        <v>717.8</v>
      </c>
      <c r="X371" s="1">
        <v>0.50480324074074068</v>
      </c>
    </row>
    <row r="372" spans="1:24" x14ac:dyDescent="0.25">
      <c r="A372" t="s">
        <v>397</v>
      </c>
      <c r="B372" s="1" t="s">
        <v>40</v>
      </c>
      <c r="C372">
        <v>-5.1232481000000003E-2</v>
      </c>
      <c r="D372">
        <v>1.0131256999999999E-2</v>
      </c>
      <c r="E372">
        <v>0.50106331400000004</v>
      </c>
      <c r="F372">
        <v>2.1680874999999999E-2</v>
      </c>
      <c r="G372">
        <v>0.105286305</v>
      </c>
      <c r="H372">
        <v>0.710802928</v>
      </c>
      <c r="I372">
        <v>99.9</v>
      </c>
      <c r="J372">
        <f t="shared" si="30"/>
        <v>0.99900000000000011</v>
      </c>
      <c r="K372">
        <v>12.4</v>
      </c>
      <c r="L372">
        <f t="shared" si="31"/>
        <v>285.54999999999995</v>
      </c>
      <c r="M372">
        <v>125</v>
      </c>
      <c r="N372">
        <v>0.25</v>
      </c>
      <c r="O372" s="2">
        <f t="shared" si="32"/>
        <v>-25.6162405</v>
      </c>
      <c r="P372">
        <f t="shared" si="33"/>
        <v>5.0656284999999999</v>
      </c>
      <c r="Q372">
        <f t="shared" si="34"/>
        <v>-1.092112060318793</v>
      </c>
      <c r="R372">
        <f t="shared" si="35"/>
        <v>215.96588218886359</v>
      </c>
      <c r="S372">
        <v>0.6584134083626394</v>
      </c>
      <c r="T372">
        <v>717.8</v>
      </c>
      <c r="X372" s="1">
        <v>0.50612268518518522</v>
      </c>
    </row>
    <row r="373" spans="1:24" x14ac:dyDescent="0.25">
      <c r="A373" t="s">
        <v>398</v>
      </c>
      <c r="B373" s="1" t="s">
        <v>40</v>
      </c>
      <c r="C373">
        <v>0.123159066</v>
      </c>
      <c r="D373">
        <v>5.0324805E-2</v>
      </c>
      <c r="E373">
        <v>0.54738254099999994</v>
      </c>
      <c r="F373">
        <v>7.1019831000000005E-2</v>
      </c>
      <c r="G373">
        <v>0.36298186700000001</v>
      </c>
      <c r="H373">
        <v>0.84966487099999999</v>
      </c>
      <c r="I373">
        <v>99.9</v>
      </c>
      <c r="J373">
        <f t="shared" si="30"/>
        <v>0.99900000000000011</v>
      </c>
      <c r="K373">
        <v>12.55</v>
      </c>
      <c r="L373">
        <f t="shared" si="31"/>
        <v>285.7</v>
      </c>
      <c r="M373">
        <v>125</v>
      </c>
      <c r="N373">
        <v>0.25</v>
      </c>
      <c r="O373" s="2">
        <f t="shared" si="32"/>
        <v>61.579532999999998</v>
      </c>
      <c r="P373">
        <f t="shared" si="33"/>
        <v>25.162402499999999</v>
      </c>
      <c r="Q373">
        <f t="shared" si="34"/>
        <v>2.6239776177756005</v>
      </c>
      <c r="R373">
        <f t="shared" si="35"/>
        <v>1072.2000923498529</v>
      </c>
      <c r="S373">
        <v>0.67708627447125957</v>
      </c>
      <c r="T373">
        <f>AVERAGE(717.8,589.6)</f>
        <v>653.70000000000005</v>
      </c>
      <c r="X373" s="1">
        <v>0.50818287037037035</v>
      </c>
    </row>
    <row r="374" spans="1:24" x14ac:dyDescent="0.25">
      <c r="A374" t="s">
        <v>399</v>
      </c>
      <c r="B374" s="1" t="s">
        <v>25</v>
      </c>
      <c r="C374">
        <v>2.4204672E-2</v>
      </c>
      <c r="D374">
        <v>1.4809789E-2</v>
      </c>
      <c r="E374">
        <v>0.23112818299999999</v>
      </c>
      <c r="F374">
        <v>1.5471155E-2</v>
      </c>
      <c r="G374">
        <v>0.109881069</v>
      </c>
      <c r="H374">
        <v>0.91161529399999996</v>
      </c>
      <c r="I374">
        <v>99.9</v>
      </c>
      <c r="J374">
        <f t="shared" si="30"/>
        <v>0.99900000000000011</v>
      </c>
      <c r="K374">
        <v>6</v>
      </c>
      <c r="L374">
        <f t="shared" si="31"/>
        <v>279.14999999999998</v>
      </c>
      <c r="M374">
        <v>125</v>
      </c>
      <c r="N374">
        <v>0.25</v>
      </c>
      <c r="O374" s="2">
        <f t="shared" si="32"/>
        <v>12.102335999999999</v>
      </c>
      <c r="P374">
        <f t="shared" si="33"/>
        <v>7.4048945000000002</v>
      </c>
      <c r="Q374">
        <f t="shared" si="34"/>
        <v>0.5277953377582596</v>
      </c>
      <c r="R374">
        <f t="shared" si="35"/>
        <v>322.93507581443606</v>
      </c>
      <c r="S374">
        <v>0.15267566154525003</v>
      </c>
      <c r="T374">
        <v>271</v>
      </c>
      <c r="X374" s="1">
        <v>0.71039351851851851</v>
      </c>
    </row>
    <row r="375" spans="1:24" x14ac:dyDescent="0.25">
      <c r="A375" t="s">
        <v>400</v>
      </c>
      <c r="B375" s="1" t="s">
        <v>25</v>
      </c>
      <c r="C375">
        <v>6.0607341000000002E-2</v>
      </c>
      <c r="D375">
        <v>4.9766410000000004E-3</v>
      </c>
      <c r="E375">
        <v>0.36077358300000001</v>
      </c>
      <c r="F375">
        <v>7.8399909999999993E-3</v>
      </c>
      <c r="G375">
        <v>0.241079188</v>
      </c>
      <c r="H375">
        <v>0.81934732899999996</v>
      </c>
      <c r="I375">
        <v>99.9</v>
      </c>
      <c r="J375">
        <f t="shared" si="30"/>
        <v>0.99900000000000011</v>
      </c>
      <c r="K375">
        <v>6.3</v>
      </c>
      <c r="L375">
        <f t="shared" si="31"/>
        <v>279.45</v>
      </c>
      <c r="M375">
        <v>125</v>
      </c>
      <c r="N375">
        <v>0.25</v>
      </c>
      <c r="O375" s="2">
        <f t="shared" si="32"/>
        <v>30.303670500000003</v>
      </c>
      <c r="P375">
        <f t="shared" si="33"/>
        <v>2.4883205000000004</v>
      </c>
      <c r="Q375">
        <f t="shared" si="34"/>
        <v>1.3201555224703032</v>
      </c>
      <c r="R375">
        <f t="shared" si="35"/>
        <v>108.40172149281605</v>
      </c>
      <c r="S375">
        <v>0.16197619565579324</v>
      </c>
      <c r="T375">
        <f>AVERAGE(21,402.8)</f>
        <v>211.9</v>
      </c>
      <c r="X375" s="1">
        <v>0.70050925925925922</v>
      </c>
    </row>
    <row r="376" spans="1:24" x14ac:dyDescent="0.25">
      <c r="A376" t="s">
        <v>401</v>
      </c>
      <c r="B376" s="1" t="s">
        <v>25</v>
      </c>
      <c r="C376">
        <v>1.3810901E-2</v>
      </c>
      <c r="D376">
        <v>1.3704116000000001E-2</v>
      </c>
      <c r="E376">
        <v>0.30172026699999999</v>
      </c>
      <c r="F376">
        <v>1.2456078000000001E-2</v>
      </c>
      <c r="G376">
        <v>2.3040602E-2</v>
      </c>
      <c r="H376">
        <v>0.931621755</v>
      </c>
      <c r="I376">
        <v>99.9</v>
      </c>
      <c r="J376">
        <f t="shared" si="30"/>
        <v>0.99900000000000011</v>
      </c>
      <c r="K376">
        <v>6</v>
      </c>
      <c r="L376">
        <f t="shared" si="31"/>
        <v>279.14999999999998</v>
      </c>
      <c r="M376">
        <v>125</v>
      </c>
      <c r="N376">
        <v>0.25</v>
      </c>
      <c r="O376" s="2">
        <f t="shared" si="32"/>
        <v>6.9054505000000006</v>
      </c>
      <c r="P376">
        <f t="shared" si="33"/>
        <v>6.8520580000000004</v>
      </c>
      <c r="Q376">
        <f t="shared" si="34"/>
        <v>0.30115380857219987</v>
      </c>
      <c r="R376">
        <f t="shared" si="35"/>
        <v>298.82530665560643</v>
      </c>
      <c r="S376">
        <v>0.15865392540093759</v>
      </c>
      <c r="T376">
        <f>AVERAGE(21,402.8)</f>
        <v>211.9</v>
      </c>
      <c r="X376" s="1">
        <v>0.70660879629629625</v>
      </c>
    </row>
    <row r="377" spans="1:24" x14ac:dyDescent="0.25">
      <c r="A377" t="s">
        <v>402</v>
      </c>
      <c r="B377" s="1" t="s">
        <v>25</v>
      </c>
      <c r="C377">
        <v>5.6291435000000001E-2</v>
      </c>
      <c r="D377">
        <v>5.8887649999999998E-3</v>
      </c>
      <c r="E377">
        <v>0.26261032899999998</v>
      </c>
      <c r="F377">
        <v>7.9054880000000004E-3</v>
      </c>
      <c r="G377">
        <v>0.34088323199999998</v>
      </c>
      <c r="H377">
        <v>0.86198498099999998</v>
      </c>
      <c r="I377">
        <v>99.9</v>
      </c>
      <c r="J377">
        <f t="shared" si="30"/>
        <v>0.99900000000000011</v>
      </c>
      <c r="K377">
        <f>AVERAGE(5.3,4.4)</f>
        <v>4.8499999999999996</v>
      </c>
      <c r="L377">
        <f t="shared" si="31"/>
        <v>278</v>
      </c>
      <c r="M377">
        <v>125</v>
      </c>
      <c r="N377">
        <v>0.25</v>
      </c>
      <c r="O377" s="2">
        <f t="shared" si="32"/>
        <v>28.1457175</v>
      </c>
      <c r="P377">
        <f t="shared" si="33"/>
        <v>2.9443824999999997</v>
      </c>
      <c r="Q377">
        <f t="shared" si="34"/>
        <v>1.2325413665777107</v>
      </c>
      <c r="R377">
        <f t="shared" si="35"/>
        <v>128.93873571627711</v>
      </c>
      <c r="S377">
        <v>0.140525365408804</v>
      </c>
      <c r="T377">
        <f>AVERAGE(192.3,106)</f>
        <v>149.15</v>
      </c>
      <c r="X377" s="1">
        <v>0.74232638888888891</v>
      </c>
    </row>
    <row r="378" spans="1:24" x14ac:dyDescent="0.25">
      <c r="A378" t="s">
        <v>403</v>
      </c>
      <c r="B378" s="1" t="s">
        <v>25</v>
      </c>
      <c r="C378">
        <v>9.1403782000000003E-2</v>
      </c>
      <c r="D378">
        <v>7.4037820000000002E-3</v>
      </c>
      <c r="E378">
        <v>0.50265814499999995</v>
      </c>
      <c r="F378">
        <v>8.8920349999999995E-3</v>
      </c>
      <c r="G378">
        <v>0.27123814400000001</v>
      </c>
      <c r="H378">
        <v>0.88640828000000005</v>
      </c>
      <c r="I378">
        <v>99.9</v>
      </c>
      <c r="J378">
        <f t="shared" si="30"/>
        <v>0.99900000000000011</v>
      </c>
      <c r="K378">
        <v>5.3</v>
      </c>
      <c r="L378">
        <f t="shared" si="31"/>
        <v>278.45</v>
      </c>
      <c r="M378">
        <v>125</v>
      </c>
      <c r="N378">
        <v>0.25</v>
      </c>
      <c r="O378" s="2">
        <f t="shared" si="32"/>
        <v>45.701891000000003</v>
      </c>
      <c r="P378">
        <f t="shared" si="33"/>
        <v>3.7018910000000003</v>
      </c>
      <c r="Q378">
        <f t="shared" si="34"/>
        <v>1.9981170402186792</v>
      </c>
      <c r="R378">
        <f t="shared" si="35"/>
        <v>161.84913416672771</v>
      </c>
      <c r="S378">
        <v>0.1287931863290841</v>
      </c>
      <c r="T378">
        <v>192.3</v>
      </c>
      <c r="X378" s="1">
        <v>0.72660879629629627</v>
      </c>
    </row>
    <row r="379" spans="1:24" x14ac:dyDescent="0.25">
      <c r="A379" t="s">
        <v>404</v>
      </c>
      <c r="B379" s="1" t="s">
        <v>25</v>
      </c>
      <c r="C379">
        <v>0.32758620700000002</v>
      </c>
      <c r="D379">
        <v>4.8654060000000001E-3</v>
      </c>
      <c r="E379">
        <v>2.2226701659999999</v>
      </c>
      <c r="F379">
        <v>9.52975E-3</v>
      </c>
      <c r="G379">
        <v>0.1964661</v>
      </c>
      <c r="H379">
        <v>0.74580460699999995</v>
      </c>
      <c r="I379">
        <v>99.9</v>
      </c>
      <c r="J379">
        <f t="shared" si="30"/>
        <v>0.99900000000000011</v>
      </c>
      <c r="K379">
        <v>5.3</v>
      </c>
      <c r="L379">
        <f t="shared" si="31"/>
        <v>278.45</v>
      </c>
      <c r="M379">
        <v>125</v>
      </c>
      <c r="N379">
        <v>0.25</v>
      </c>
      <c r="O379" s="2">
        <f t="shared" si="32"/>
        <v>163.7931035</v>
      </c>
      <c r="P379">
        <f t="shared" si="33"/>
        <v>2.4327030000000001</v>
      </c>
      <c r="Q379">
        <f t="shared" si="34"/>
        <v>7.1611433140403697</v>
      </c>
      <c r="R379">
        <f t="shared" si="35"/>
        <v>106.35939152038809</v>
      </c>
      <c r="S379">
        <v>0.1287931863290841</v>
      </c>
      <c r="T379">
        <v>192.3</v>
      </c>
      <c r="X379" s="1">
        <v>0.73111111111111116</v>
      </c>
    </row>
    <row r="380" spans="1:24" x14ac:dyDescent="0.25">
      <c r="A380" t="s">
        <v>405</v>
      </c>
      <c r="B380" s="1" t="s">
        <v>25</v>
      </c>
      <c r="C380">
        <v>0.15559733000000001</v>
      </c>
      <c r="D380">
        <v>4.062291E-3</v>
      </c>
      <c r="E380">
        <v>0.73340673599999995</v>
      </c>
      <c r="F380">
        <v>7.4193419999999998E-3</v>
      </c>
      <c r="G380">
        <v>0.33627003300000002</v>
      </c>
      <c r="H380">
        <v>0.77139602299999999</v>
      </c>
      <c r="I380">
        <v>99.9</v>
      </c>
      <c r="J380">
        <f t="shared" si="30"/>
        <v>0.99900000000000011</v>
      </c>
      <c r="K380">
        <f>AVERAGE(5.3,4.4)</f>
        <v>4.8499999999999996</v>
      </c>
      <c r="L380">
        <f t="shared" si="31"/>
        <v>278</v>
      </c>
      <c r="M380">
        <v>125</v>
      </c>
      <c r="N380">
        <v>0.25</v>
      </c>
      <c r="O380" s="2">
        <f t="shared" si="32"/>
        <v>77.798665</v>
      </c>
      <c r="P380">
        <f>D380*M380/N380</f>
        <v>2.0311455</v>
      </c>
      <c r="Q380">
        <f t="shared" si="34"/>
        <v>3.4069152039567476</v>
      </c>
      <c r="R380">
        <f t="shared" si="35"/>
        <v>88.946776726802852</v>
      </c>
      <c r="S380">
        <v>0.140525365408804</v>
      </c>
      <c r="T380">
        <f>AVERAGE(192.3,106)</f>
        <v>149.15</v>
      </c>
      <c r="X380" s="1">
        <v>0.73961805555555549</v>
      </c>
    </row>
    <row r="381" spans="1:24" x14ac:dyDescent="0.25">
      <c r="A381" t="s">
        <v>406</v>
      </c>
      <c r="B381" t="s">
        <v>47</v>
      </c>
      <c r="C381">
        <v>0.44411325600000001</v>
      </c>
      <c r="D381">
        <v>0.24597402600000001</v>
      </c>
      <c r="E381">
        <v>0.38394688999999999</v>
      </c>
      <c r="F381">
        <v>0.16666324099999999</v>
      </c>
      <c r="G381">
        <v>0.961816542</v>
      </c>
      <c r="H381">
        <v>0.90050460399999999</v>
      </c>
      <c r="I381">
        <v>100.62</v>
      </c>
      <c r="J381">
        <f>I381/100</f>
        <v>1.0062</v>
      </c>
      <c r="K381" s="4">
        <v>13.8</v>
      </c>
      <c r="L381">
        <f>K381+273.15</f>
        <v>286.95</v>
      </c>
      <c r="M381">
        <v>27</v>
      </c>
      <c r="N381">
        <v>0.09</v>
      </c>
      <c r="O381" s="5">
        <f t="shared" si="32"/>
        <v>133.23397680000002</v>
      </c>
      <c r="P381">
        <f t="shared" ref="P381:P444" si="36">D381*M381/N381</f>
        <v>73.7922078</v>
      </c>
      <c r="Q381" s="5">
        <f>(O381*J381)/(0.08206*L381)</f>
        <v>5.6932671399288513</v>
      </c>
      <c r="R381" s="5">
        <f>(P381*J381)/(0.08206*L381)*1000</f>
        <v>3153.2403516048271</v>
      </c>
      <c r="S381">
        <v>0.34697471576245853</v>
      </c>
      <c r="T381">
        <f>AVERAGE(81,100,96)</f>
        <v>92.333333333333329</v>
      </c>
      <c r="U381" s="6">
        <v>4.3</v>
      </c>
      <c r="V381">
        <v>0.503</v>
      </c>
      <c r="W381">
        <f>AVERAGE(23, 30)</f>
        <v>26.5</v>
      </c>
    </row>
    <row r="382" spans="1:24" x14ac:dyDescent="0.25">
      <c r="A382" t="s">
        <v>407</v>
      </c>
      <c r="B382" t="s">
        <v>47</v>
      </c>
      <c r="C382">
        <v>0.55682055699999999</v>
      </c>
      <c r="D382">
        <v>0.224754386</v>
      </c>
      <c r="E382">
        <v>0.47689611700000001</v>
      </c>
      <c r="F382">
        <v>0.15060574099999999</v>
      </c>
      <c r="G382">
        <v>0.96442247199999998</v>
      </c>
      <c r="H382">
        <v>0.87533219100000004</v>
      </c>
      <c r="I382">
        <v>100.62</v>
      </c>
      <c r="J382">
        <f t="shared" ref="J382:J445" si="37">I382/100</f>
        <v>1.0062</v>
      </c>
      <c r="K382" s="4">
        <v>13.55</v>
      </c>
      <c r="L382">
        <f t="shared" ref="L382:L445" si="38">K382+273.15</f>
        <v>286.7</v>
      </c>
      <c r="M382">
        <v>27</v>
      </c>
      <c r="N382">
        <v>0.09</v>
      </c>
      <c r="O382" s="5">
        <f t="shared" si="32"/>
        <v>167.04616709999999</v>
      </c>
      <c r="P382">
        <f t="shared" si="36"/>
        <v>67.426315799999998</v>
      </c>
      <c r="Q382" s="5">
        <f t="shared" ref="Q382:Q445" si="39">(O382*J382)/(0.08206*L382)</f>
        <v>7.1443319071755456</v>
      </c>
      <c r="R382" s="5">
        <f t="shared" ref="R382:R445" si="40">(P382*J382)/(0.08206*L382)*1000</f>
        <v>2883.7296162854291</v>
      </c>
      <c r="S382">
        <v>0.32120480602135326</v>
      </c>
      <c r="T382">
        <v>0</v>
      </c>
      <c r="U382" s="6">
        <v>6.6</v>
      </c>
      <c r="V382">
        <v>0.503</v>
      </c>
      <c r="W382">
        <f t="shared" ref="W382" si="41">AVERAGE(23, 30)</f>
        <v>26.5</v>
      </c>
    </row>
    <row r="383" spans="1:24" x14ac:dyDescent="0.25">
      <c r="A383" t="s">
        <v>408</v>
      </c>
      <c r="B383" t="s">
        <v>47</v>
      </c>
      <c r="C383">
        <v>0.25963636400000001</v>
      </c>
      <c r="D383">
        <v>0.179397059</v>
      </c>
      <c r="E383">
        <v>0.50520329900000005</v>
      </c>
      <c r="F383">
        <v>0.28766928600000002</v>
      </c>
      <c r="G383">
        <v>8.7062158000000001E-2</v>
      </c>
      <c r="H383">
        <v>0.82692924099999998</v>
      </c>
      <c r="I383">
        <v>100.65</v>
      </c>
      <c r="J383">
        <f t="shared" si="37"/>
        <v>1.0065</v>
      </c>
      <c r="K383" s="4">
        <v>15.8</v>
      </c>
      <c r="L383">
        <f t="shared" si="38"/>
        <v>288.95</v>
      </c>
      <c r="M383">
        <v>27</v>
      </c>
      <c r="N383">
        <v>0.09</v>
      </c>
      <c r="O383" s="5">
        <f t="shared" si="32"/>
        <v>77.89090920000001</v>
      </c>
      <c r="P383">
        <f t="shared" si="36"/>
        <v>53.8191177</v>
      </c>
      <c r="Q383" s="5">
        <f t="shared" si="39"/>
        <v>3.3063310914483299</v>
      </c>
      <c r="R383" s="5">
        <f t="shared" si="40"/>
        <v>2284.5261917398066</v>
      </c>
      <c r="S383">
        <v>0.34449962192883299</v>
      </c>
      <c r="T383">
        <v>190</v>
      </c>
      <c r="U383">
        <f>AVERAGE(4.1,3,3.3)</f>
        <v>3.4666666666666663</v>
      </c>
      <c r="V383">
        <v>0.46500000000000002</v>
      </c>
      <c r="W383">
        <f>AVERAGE(26,17)</f>
        <v>21.5</v>
      </c>
    </row>
    <row r="384" spans="1:24" x14ac:dyDescent="0.25">
      <c r="A384" t="s">
        <v>409</v>
      </c>
      <c r="B384" t="s">
        <v>47</v>
      </c>
      <c r="C384">
        <v>0.803083624</v>
      </c>
      <c r="D384">
        <v>0.19197402599999999</v>
      </c>
      <c r="E384">
        <v>1.061921082</v>
      </c>
      <c r="F384">
        <v>0.109188857</v>
      </c>
      <c r="G384">
        <v>0.89971036100000001</v>
      </c>
      <c r="H384">
        <v>0.76680789699999996</v>
      </c>
      <c r="I384">
        <v>100.65</v>
      </c>
      <c r="J384">
        <f t="shared" si="37"/>
        <v>1.0065</v>
      </c>
      <c r="K384" s="4">
        <v>16.3</v>
      </c>
      <c r="L384">
        <f t="shared" si="38"/>
        <v>289.45</v>
      </c>
      <c r="M384">
        <v>27</v>
      </c>
      <c r="N384">
        <v>0.09</v>
      </c>
      <c r="O384" s="5">
        <f t="shared" si="32"/>
        <v>240.92508720000001</v>
      </c>
      <c r="P384">
        <f t="shared" si="36"/>
        <v>57.592207800000004</v>
      </c>
      <c r="Q384" s="5">
        <f t="shared" si="39"/>
        <v>10.209177097360856</v>
      </c>
      <c r="R384" s="5">
        <f t="shared" si="40"/>
        <v>2440.4641944577334</v>
      </c>
      <c r="S384">
        <v>0.43996498810322571</v>
      </c>
      <c r="T384">
        <v>0</v>
      </c>
      <c r="U384">
        <f t="shared" ref="U384" si="42">AVERAGE(4.1,3,3.3)</f>
        <v>3.4666666666666663</v>
      </c>
      <c r="V384">
        <v>0.46500000000000002</v>
      </c>
      <c r="W384">
        <f t="shared" ref="W384" si="43">AVERAGE(26,17)</f>
        <v>21.5</v>
      </c>
    </row>
    <row r="385" spans="1:23" x14ac:dyDescent="0.25">
      <c r="A385" t="s">
        <v>410</v>
      </c>
      <c r="B385" t="s">
        <v>47</v>
      </c>
      <c r="C385">
        <v>0.97041289200000003</v>
      </c>
      <c r="D385">
        <v>0.34602597400000001</v>
      </c>
      <c r="E385">
        <v>1.9763199789999999</v>
      </c>
      <c r="F385">
        <v>0.20808143100000001</v>
      </c>
      <c r="G385">
        <v>0.87142026399999994</v>
      </c>
      <c r="H385">
        <v>0.55229191</v>
      </c>
      <c r="I385">
        <v>99.76</v>
      </c>
      <c r="J385">
        <f t="shared" si="37"/>
        <v>0.99760000000000004</v>
      </c>
      <c r="K385" s="4">
        <v>26.1</v>
      </c>
      <c r="L385">
        <f t="shared" si="38"/>
        <v>299.25</v>
      </c>
      <c r="M385">
        <v>27</v>
      </c>
      <c r="N385">
        <v>0.09</v>
      </c>
      <c r="O385" s="5">
        <f t="shared" si="32"/>
        <v>291.12386759999998</v>
      </c>
      <c r="P385">
        <f t="shared" si="36"/>
        <v>103.80779219999999</v>
      </c>
      <c r="Q385" s="5">
        <f t="shared" si="39"/>
        <v>11.82683617475568</v>
      </c>
      <c r="R385" s="5">
        <f t="shared" si="40"/>
        <v>4217.1662603058958</v>
      </c>
      <c r="S385">
        <v>1.4048614396048684</v>
      </c>
      <c r="T385">
        <f>AVERAGE(312,153)</f>
        <v>232.5</v>
      </c>
      <c r="U385">
        <v>12.5</v>
      </c>
      <c r="V385">
        <v>0.45700000000000002</v>
      </c>
      <c r="W385">
        <f>AVERAGE(21,31)</f>
        <v>26</v>
      </c>
    </row>
    <row r="386" spans="1:23" x14ac:dyDescent="0.25">
      <c r="A386" t="s">
        <v>411</v>
      </c>
      <c r="B386" t="s">
        <v>47</v>
      </c>
      <c r="C386">
        <v>0.49201209699999998</v>
      </c>
      <c r="D386">
        <v>0.25472727299999998</v>
      </c>
      <c r="E386">
        <v>1.436417147</v>
      </c>
      <c r="F386">
        <v>0.13176473999999999</v>
      </c>
      <c r="G386">
        <v>0.87224181700000003</v>
      </c>
      <c r="H386">
        <v>0.78463441300000003</v>
      </c>
      <c r="I386">
        <v>99.76</v>
      </c>
      <c r="J386">
        <f t="shared" si="37"/>
        <v>0.99760000000000004</v>
      </c>
      <c r="K386" s="4">
        <v>26.1</v>
      </c>
      <c r="L386">
        <f t="shared" si="38"/>
        <v>299.25</v>
      </c>
      <c r="M386">
        <v>27</v>
      </c>
      <c r="N386">
        <v>0.09</v>
      </c>
      <c r="O386" s="5">
        <f t="shared" si="32"/>
        <v>147.60362910000001</v>
      </c>
      <c r="P386">
        <f t="shared" si="36"/>
        <v>76.418181899999993</v>
      </c>
      <c r="Q386" s="5">
        <f t="shared" si="39"/>
        <v>5.9963614613819471</v>
      </c>
      <c r="R386" s="5">
        <f t="shared" si="40"/>
        <v>3104.4700166795246</v>
      </c>
      <c r="S386">
        <v>1.4048614396048684</v>
      </c>
      <c r="T386">
        <v>0</v>
      </c>
      <c r="U386">
        <v>10.3</v>
      </c>
      <c r="V386">
        <v>0.45700000000000002</v>
      </c>
      <c r="W386">
        <f t="shared" ref="W386" si="44">AVERAGE(21,31)</f>
        <v>26</v>
      </c>
    </row>
    <row r="387" spans="1:23" x14ac:dyDescent="0.25">
      <c r="A387" t="s">
        <v>412</v>
      </c>
      <c r="B387" t="s">
        <v>47</v>
      </c>
      <c r="C387">
        <v>0.59060801399999996</v>
      </c>
      <c r="D387">
        <v>0.39910389600000001</v>
      </c>
      <c r="E387">
        <v>0.77473004000000001</v>
      </c>
      <c r="F387">
        <v>0.16152038499999999</v>
      </c>
      <c r="G387">
        <v>0.173002349</v>
      </c>
      <c r="H387">
        <v>0.83244249299999995</v>
      </c>
      <c r="I387">
        <v>100.62</v>
      </c>
      <c r="J387">
        <f t="shared" si="37"/>
        <v>1.0062</v>
      </c>
      <c r="K387" s="4">
        <v>13.8</v>
      </c>
      <c r="L387">
        <f t="shared" si="38"/>
        <v>286.95</v>
      </c>
      <c r="M387">
        <v>27</v>
      </c>
      <c r="N387">
        <v>0.09</v>
      </c>
      <c r="O387" s="5">
        <f t="shared" ref="O387:O407" si="45">C387*M387/N387</f>
        <v>177.18240419999998</v>
      </c>
      <c r="P387">
        <f t="shared" si="36"/>
        <v>119.73116880000001</v>
      </c>
      <c r="Q387" s="5">
        <f t="shared" si="39"/>
        <v>7.5712425901667713</v>
      </c>
      <c r="R387" s="5">
        <f t="shared" si="40"/>
        <v>5116.2739815052528</v>
      </c>
      <c r="S387">
        <v>0.34697471576245853</v>
      </c>
      <c r="T387">
        <f>AVERAGE(693,782,709)</f>
        <v>728</v>
      </c>
      <c r="U387" s="6">
        <v>2.1</v>
      </c>
      <c r="V387">
        <v>0.503</v>
      </c>
      <c r="W387">
        <f>AVERAGE(25,31)</f>
        <v>28</v>
      </c>
    </row>
    <row r="388" spans="1:23" x14ac:dyDescent="0.25">
      <c r="A388" t="s">
        <v>413</v>
      </c>
      <c r="B388" t="s">
        <v>47</v>
      </c>
      <c r="C388">
        <v>1.1813571430000001</v>
      </c>
      <c r="D388">
        <v>0.39785714300000002</v>
      </c>
      <c r="E388">
        <v>0.61025393299999997</v>
      </c>
      <c r="F388">
        <v>0.25974393699999998</v>
      </c>
      <c r="G388">
        <v>0.98625805300000002</v>
      </c>
      <c r="H388">
        <v>0.88026537699999996</v>
      </c>
      <c r="I388">
        <v>100.62</v>
      </c>
      <c r="J388">
        <f t="shared" si="37"/>
        <v>1.0062</v>
      </c>
      <c r="K388" s="4">
        <v>13.8</v>
      </c>
      <c r="L388">
        <f t="shared" si="38"/>
        <v>286.95</v>
      </c>
      <c r="M388">
        <v>27</v>
      </c>
      <c r="N388">
        <v>0.09</v>
      </c>
      <c r="O388" s="5">
        <f t="shared" si="45"/>
        <v>354.4071429</v>
      </c>
      <c r="P388">
        <f t="shared" si="36"/>
        <v>119.35714290000001</v>
      </c>
      <c r="Q388" s="5">
        <f t="shared" si="39"/>
        <v>15.144294190493897</v>
      </c>
      <c r="R388" s="5">
        <f t="shared" si="40"/>
        <v>5100.2913514202191</v>
      </c>
      <c r="S388">
        <v>0.34697471576245853</v>
      </c>
      <c r="T388">
        <v>0</v>
      </c>
      <c r="U388" s="6">
        <v>2.2000000000000002</v>
      </c>
      <c r="V388">
        <v>0.503</v>
      </c>
      <c r="W388">
        <f t="shared" ref="W388" si="46">AVERAGE(25,31)</f>
        <v>28</v>
      </c>
    </row>
    <row r="389" spans="1:23" x14ac:dyDescent="0.25">
      <c r="A389" t="s">
        <v>414</v>
      </c>
      <c r="B389" t="s">
        <v>47</v>
      </c>
      <c r="C389">
        <v>1.5439233450000001</v>
      </c>
      <c r="D389">
        <v>0.33211688299999997</v>
      </c>
      <c r="E389">
        <v>2.00302801</v>
      </c>
      <c r="F389">
        <v>0.25030672500000001</v>
      </c>
      <c r="G389">
        <v>0.91630714199999996</v>
      </c>
      <c r="H389">
        <v>0.73149363099999998</v>
      </c>
      <c r="I389">
        <v>100.65</v>
      </c>
      <c r="J389">
        <f t="shared" si="37"/>
        <v>1.0065</v>
      </c>
      <c r="K389" s="4">
        <v>14.85</v>
      </c>
      <c r="L389">
        <f t="shared" si="38"/>
        <v>288</v>
      </c>
      <c r="M389">
        <v>27</v>
      </c>
      <c r="N389">
        <v>0.09</v>
      </c>
      <c r="O389" s="5">
        <f t="shared" si="45"/>
        <v>463.17700350000001</v>
      </c>
      <c r="P389">
        <f t="shared" si="36"/>
        <v>99.635064899999989</v>
      </c>
      <c r="Q389" s="5">
        <f t="shared" si="39"/>
        <v>19.725897294948055</v>
      </c>
      <c r="R389" s="5">
        <f t="shared" si="40"/>
        <v>4243.2828969085112</v>
      </c>
      <c r="S389">
        <v>0.25658689067796336</v>
      </c>
      <c r="T389">
        <v>137</v>
      </c>
      <c r="U389">
        <f>AVERAGE(4.1,3)</f>
        <v>3.55</v>
      </c>
      <c r="V389">
        <v>0.46500000000000002</v>
      </c>
      <c r="W389">
        <f>AVERAGE(29,34)</f>
        <v>31.5</v>
      </c>
    </row>
    <row r="390" spans="1:23" x14ac:dyDescent="0.25">
      <c r="A390" t="s">
        <v>415</v>
      </c>
      <c r="B390" t="s">
        <v>47</v>
      </c>
      <c r="C390">
        <v>1.2136864110000001</v>
      </c>
      <c r="D390">
        <v>0.35062337700000001</v>
      </c>
      <c r="E390">
        <v>0.84888333000000005</v>
      </c>
      <c r="F390">
        <v>0.170094249</v>
      </c>
      <c r="G390">
        <v>0.95483171899999997</v>
      </c>
      <c r="H390">
        <v>0.77691459699999998</v>
      </c>
      <c r="I390">
        <v>100.65</v>
      </c>
      <c r="J390">
        <f t="shared" si="37"/>
        <v>1.0065</v>
      </c>
      <c r="K390" s="4">
        <v>15.8</v>
      </c>
      <c r="L390">
        <f t="shared" si="38"/>
        <v>288.95</v>
      </c>
      <c r="M390">
        <v>27</v>
      </c>
      <c r="N390">
        <v>0.09</v>
      </c>
      <c r="O390" s="5">
        <f t="shared" si="45"/>
        <v>364.10592330000003</v>
      </c>
      <c r="P390">
        <f t="shared" si="36"/>
        <v>105.1870131</v>
      </c>
      <c r="Q390" s="5">
        <f t="shared" si="39"/>
        <v>15.455651335333119</v>
      </c>
      <c r="R390" s="5">
        <f t="shared" si="40"/>
        <v>4465.002339825206</v>
      </c>
      <c r="S390">
        <v>0.34449962192883299</v>
      </c>
      <c r="T390">
        <v>0</v>
      </c>
      <c r="U390">
        <f t="shared" ref="U390" si="47">AVERAGE(4.1,3)</f>
        <v>3.55</v>
      </c>
      <c r="V390">
        <v>0.46500000000000002</v>
      </c>
      <c r="W390">
        <f t="shared" ref="W390" si="48">AVERAGE(29,34)</f>
        <v>31.5</v>
      </c>
    </row>
    <row r="391" spans="1:23" x14ac:dyDescent="0.25">
      <c r="A391" t="s">
        <v>416</v>
      </c>
      <c r="B391" t="s">
        <v>47</v>
      </c>
      <c r="C391">
        <v>2.1816027149999999</v>
      </c>
      <c r="D391">
        <v>0.39773684199999998</v>
      </c>
      <c r="E391">
        <v>2.4826100640000002</v>
      </c>
      <c r="F391">
        <v>0.20621602999999999</v>
      </c>
      <c r="G391">
        <v>0.97207319299999995</v>
      </c>
      <c r="H391">
        <v>0.91826398899999995</v>
      </c>
      <c r="I391">
        <v>99.77</v>
      </c>
      <c r="J391">
        <f t="shared" si="37"/>
        <v>0.99769999999999992</v>
      </c>
      <c r="K391" s="4">
        <v>25.6</v>
      </c>
      <c r="L391">
        <f t="shared" si="38"/>
        <v>298.75</v>
      </c>
      <c r="M391">
        <v>27</v>
      </c>
      <c r="N391">
        <v>0.09</v>
      </c>
      <c r="O391" s="5">
        <f t="shared" si="45"/>
        <v>654.48081450000006</v>
      </c>
      <c r="P391">
        <f t="shared" si="36"/>
        <v>119.32105259999999</v>
      </c>
      <c r="Q391" s="5">
        <f t="shared" si="39"/>
        <v>26.635292214050953</v>
      </c>
      <c r="R391" s="5">
        <f t="shared" si="40"/>
        <v>4855.9881861733993</v>
      </c>
      <c r="S391">
        <v>1.3228198921037364</v>
      </c>
      <c r="T391">
        <f>AVERAGE(562,449)</f>
        <v>505.5</v>
      </c>
      <c r="U391">
        <v>11.5</v>
      </c>
      <c r="V391">
        <v>0.45700000000000002</v>
      </c>
      <c r="W391">
        <f>AVERAGE(31,21)</f>
        <v>26</v>
      </c>
    </row>
    <row r="392" spans="1:23" x14ac:dyDescent="0.25">
      <c r="A392" t="s">
        <v>417</v>
      </c>
      <c r="B392" t="s">
        <v>47</v>
      </c>
      <c r="C392">
        <v>1.7505909500000001</v>
      </c>
      <c r="D392">
        <v>0.28761038999999999</v>
      </c>
      <c r="E392">
        <v>0.98502042899999998</v>
      </c>
      <c r="F392">
        <v>0.24086738999999999</v>
      </c>
      <c r="G392">
        <v>0.97675956600000002</v>
      </c>
      <c r="H392">
        <v>0.93252865100000004</v>
      </c>
      <c r="I392">
        <v>99.77</v>
      </c>
      <c r="J392">
        <f t="shared" si="37"/>
        <v>0.99769999999999992</v>
      </c>
      <c r="K392" s="4">
        <v>25.6</v>
      </c>
      <c r="L392">
        <f t="shared" si="38"/>
        <v>298.75</v>
      </c>
      <c r="M392">
        <v>27</v>
      </c>
      <c r="N392">
        <v>0.09</v>
      </c>
      <c r="O392" s="5">
        <f t="shared" si="45"/>
        <v>525.1772850000001</v>
      </c>
      <c r="P392">
        <f t="shared" si="36"/>
        <v>86.283117000000004</v>
      </c>
      <c r="Q392" s="5">
        <f t="shared" si="39"/>
        <v>21.373048896541672</v>
      </c>
      <c r="R392" s="5">
        <f t="shared" si="40"/>
        <v>3511.4490501755527</v>
      </c>
      <c r="S392">
        <v>1.3228198921037364</v>
      </c>
      <c r="T392">
        <v>0</v>
      </c>
      <c r="U392">
        <v>14.9</v>
      </c>
      <c r="V392">
        <v>0.45700000000000002</v>
      </c>
      <c r="W392">
        <f t="shared" ref="W392" si="49">AVERAGE(31,21)</f>
        <v>26</v>
      </c>
    </row>
    <row r="393" spans="1:23" x14ac:dyDescent="0.25">
      <c r="A393" t="s">
        <v>418</v>
      </c>
      <c r="B393" t="s">
        <v>47</v>
      </c>
      <c r="C393">
        <v>1.06325812</v>
      </c>
      <c r="D393">
        <v>0.37455844199999999</v>
      </c>
      <c r="E393">
        <v>1.8200464460000001</v>
      </c>
      <c r="F393">
        <v>0.39191860899999997</v>
      </c>
      <c r="G393">
        <v>0.68957711600000005</v>
      </c>
      <c r="H393">
        <v>0.85424335100000004</v>
      </c>
      <c r="I393">
        <v>100.63</v>
      </c>
      <c r="J393">
        <f t="shared" si="37"/>
        <v>1.0063</v>
      </c>
      <c r="K393" s="4">
        <v>13.8</v>
      </c>
      <c r="L393">
        <f t="shared" si="38"/>
        <v>286.95</v>
      </c>
      <c r="M393">
        <v>27</v>
      </c>
      <c r="N393">
        <v>0.09</v>
      </c>
      <c r="O393" s="5">
        <f t="shared" si="45"/>
        <v>318.97743600000001</v>
      </c>
      <c r="P393">
        <f t="shared" si="36"/>
        <v>112.3675326</v>
      </c>
      <c r="Q393" s="5">
        <f t="shared" si="39"/>
        <v>13.631689766810945</v>
      </c>
      <c r="R393" s="5">
        <f t="shared" si="40"/>
        <v>4802.0930993539478</v>
      </c>
      <c r="S393">
        <v>0.34697471576245853</v>
      </c>
      <c r="T393">
        <f>AVERAGE(100,203,475)</f>
        <v>259.33333333333331</v>
      </c>
      <c r="U393" s="6">
        <v>6.2</v>
      </c>
      <c r="V393">
        <v>0.503</v>
      </c>
      <c r="W393">
        <f>AVERAGE(43,40)</f>
        <v>41.5</v>
      </c>
    </row>
    <row r="394" spans="1:23" x14ac:dyDescent="0.25">
      <c r="A394" t="s">
        <v>419</v>
      </c>
      <c r="B394" t="s">
        <v>47</v>
      </c>
      <c r="C394">
        <v>0.655597561</v>
      </c>
      <c r="D394">
        <v>0.33211764700000002</v>
      </c>
      <c r="E394">
        <v>0.48287050999999998</v>
      </c>
      <c r="F394">
        <v>0.37256632499999998</v>
      </c>
      <c r="G394">
        <v>0.851655096</v>
      </c>
      <c r="H394">
        <v>0.83310907300000003</v>
      </c>
      <c r="I394">
        <v>100.63</v>
      </c>
      <c r="J394">
        <f t="shared" si="37"/>
        <v>1.0063</v>
      </c>
      <c r="K394" s="4">
        <v>13.8</v>
      </c>
      <c r="L394">
        <f t="shared" si="38"/>
        <v>286.95</v>
      </c>
      <c r="M394">
        <v>27</v>
      </c>
      <c r="N394">
        <v>0.09</v>
      </c>
      <c r="O394" s="5">
        <f t="shared" si="45"/>
        <v>196.67926830000002</v>
      </c>
      <c r="P394">
        <f t="shared" si="36"/>
        <v>99.63529410000001</v>
      </c>
      <c r="Q394" s="5">
        <f t="shared" si="39"/>
        <v>8.4052050911493765</v>
      </c>
      <c r="R394" s="5">
        <f t="shared" si="40"/>
        <v>4257.9733414001394</v>
      </c>
      <c r="S394">
        <v>0.34697471576245853</v>
      </c>
      <c r="T394">
        <v>0</v>
      </c>
      <c r="U394" s="6">
        <v>5.4</v>
      </c>
      <c r="V394">
        <v>0.503</v>
      </c>
      <c r="W394">
        <f t="shared" ref="W394" si="50">AVERAGE(43,40)</f>
        <v>41.5</v>
      </c>
    </row>
    <row r="395" spans="1:23" x14ac:dyDescent="0.25">
      <c r="A395" t="s">
        <v>420</v>
      </c>
      <c r="B395" t="s">
        <v>47</v>
      </c>
      <c r="C395">
        <v>-0.24415384600000001</v>
      </c>
      <c r="D395">
        <v>0.186892857</v>
      </c>
      <c r="E395">
        <v>0.89498820599999995</v>
      </c>
      <c r="F395">
        <v>0.17223002000000001</v>
      </c>
      <c r="G395">
        <v>0.59087646900000002</v>
      </c>
      <c r="H395">
        <v>0.522248669</v>
      </c>
      <c r="I395">
        <v>100.66</v>
      </c>
      <c r="J395">
        <f t="shared" si="37"/>
        <v>1.0065999999999999</v>
      </c>
      <c r="K395" s="4">
        <v>13.9</v>
      </c>
      <c r="L395">
        <f t="shared" si="38"/>
        <v>287.04999999999995</v>
      </c>
      <c r="M395">
        <v>27</v>
      </c>
      <c r="N395">
        <v>0.09</v>
      </c>
      <c r="O395" s="5">
        <f t="shared" si="45"/>
        <v>-73.246153800000002</v>
      </c>
      <c r="P395">
        <f t="shared" si="36"/>
        <v>56.067857100000005</v>
      </c>
      <c r="Q395" s="5">
        <f t="shared" si="39"/>
        <v>-3.1300601743003065</v>
      </c>
      <c r="R395" s="5">
        <f t="shared" si="40"/>
        <v>2395.9724499154613</v>
      </c>
      <c r="S395">
        <v>0.17779300606440795</v>
      </c>
      <c r="T395">
        <v>153</v>
      </c>
      <c r="U395">
        <f>AVERAGE(4,4.1,2.8,3)</f>
        <v>3.4749999999999996</v>
      </c>
      <c r="V395">
        <v>0.46500000000000002</v>
      </c>
      <c r="W395">
        <f>AVERAGE(41,37)</f>
        <v>39</v>
      </c>
    </row>
    <row r="396" spans="1:23" x14ac:dyDescent="0.25">
      <c r="A396" t="s">
        <v>421</v>
      </c>
      <c r="B396" t="s">
        <v>47</v>
      </c>
      <c r="C396">
        <v>0.36940724000000003</v>
      </c>
      <c r="D396">
        <v>0.23135087700000001</v>
      </c>
      <c r="E396">
        <v>1.750144275</v>
      </c>
      <c r="F396">
        <v>0.23466801400000001</v>
      </c>
      <c r="G396">
        <v>0.69838560699999996</v>
      </c>
      <c r="H396">
        <v>0.73858763100000002</v>
      </c>
      <c r="I396">
        <v>100.66</v>
      </c>
      <c r="J396">
        <f t="shared" si="37"/>
        <v>1.0065999999999999</v>
      </c>
      <c r="K396" s="4">
        <v>14.85</v>
      </c>
      <c r="L396">
        <f t="shared" si="38"/>
        <v>288</v>
      </c>
      <c r="M396">
        <v>27</v>
      </c>
      <c r="N396">
        <v>0.09</v>
      </c>
      <c r="O396" s="5">
        <f t="shared" si="45"/>
        <v>110.82217200000001</v>
      </c>
      <c r="P396">
        <f t="shared" si="36"/>
        <v>69.405263099999999</v>
      </c>
      <c r="Q396" s="5">
        <f t="shared" si="39"/>
        <v>4.7201911175765705</v>
      </c>
      <c r="R396" s="5">
        <f t="shared" si="40"/>
        <v>2956.1422636409334</v>
      </c>
      <c r="S396">
        <v>0.25658689067796336</v>
      </c>
      <c r="T396">
        <v>0</v>
      </c>
      <c r="U396">
        <f t="shared" ref="U396" si="51">AVERAGE(4,4.1,2.8,3)</f>
        <v>3.4749999999999996</v>
      </c>
      <c r="V396">
        <v>0.46500000000000002</v>
      </c>
      <c r="W396">
        <f t="shared" ref="W396" si="52">AVERAGE(41,37)</f>
        <v>39</v>
      </c>
    </row>
    <row r="397" spans="1:23" x14ac:dyDescent="0.25">
      <c r="A397" t="s">
        <v>422</v>
      </c>
      <c r="B397" t="s">
        <v>47</v>
      </c>
      <c r="C397">
        <v>0.22495296200000001</v>
      </c>
      <c r="D397">
        <v>0.15498553900000001</v>
      </c>
      <c r="E397">
        <v>1.496167834</v>
      </c>
      <c r="F397">
        <v>0.119157226</v>
      </c>
      <c r="G397">
        <v>0.18278011399999999</v>
      </c>
      <c r="H397">
        <v>0.93645396999999997</v>
      </c>
      <c r="I397">
        <v>99.77</v>
      </c>
      <c r="J397">
        <f t="shared" si="37"/>
        <v>0.99769999999999992</v>
      </c>
      <c r="K397" s="4">
        <v>25.6</v>
      </c>
      <c r="L397">
        <f t="shared" si="38"/>
        <v>298.75</v>
      </c>
      <c r="M397">
        <v>27</v>
      </c>
      <c r="N397">
        <v>0.09</v>
      </c>
      <c r="O397" s="5">
        <f t="shared" si="45"/>
        <v>67.485888599999996</v>
      </c>
      <c r="P397">
        <f t="shared" si="36"/>
        <v>46.495661700000007</v>
      </c>
      <c r="Q397" s="5">
        <f t="shared" si="39"/>
        <v>2.7464615056120785</v>
      </c>
      <c r="R397" s="5">
        <f t="shared" si="40"/>
        <v>1892.225881382436</v>
      </c>
      <c r="S397">
        <v>1.34251448106806</v>
      </c>
      <c r="T397">
        <f>AVERAGE(456,755)</f>
        <v>605.5</v>
      </c>
      <c r="U397">
        <v>12.1</v>
      </c>
      <c r="V397">
        <v>0.45700000000000002</v>
      </c>
      <c r="W397">
        <f>AVERAGE(42,38)</f>
        <v>40</v>
      </c>
    </row>
    <row r="398" spans="1:23" x14ac:dyDescent="0.25">
      <c r="A398" t="s">
        <v>423</v>
      </c>
      <c r="B398" t="s">
        <v>47</v>
      </c>
      <c r="C398">
        <v>1.00403501</v>
      </c>
      <c r="D398">
        <v>0.32747058800000001</v>
      </c>
      <c r="E398">
        <v>0.865631339</v>
      </c>
      <c r="F398">
        <v>0.238540111</v>
      </c>
      <c r="G398">
        <v>0.96614110099999995</v>
      </c>
      <c r="H398">
        <v>0.91119035100000001</v>
      </c>
      <c r="I398">
        <v>99.77</v>
      </c>
      <c r="J398">
        <f t="shared" si="37"/>
        <v>0.99769999999999992</v>
      </c>
      <c r="K398" s="4">
        <v>25.6</v>
      </c>
      <c r="L398">
        <f t="shared" si="38"/>
        <v>298.75</v>
      </c>
      <c r="M398">
        <v>27</v>
      </c>
      <c r="N398">
        <v>0.09</v>
      </c>
      <c r="O398" s="5">
        <f t="shared" si="45"/>
        <v>301.21050300000002</v>
      </c>
      <c r="P398">
        <f t="shared" si="36"/>
        <v>98.241176400000015</v>
      </c>
      <c r="Q398" s="5">
        <f t="shared" si="39"/>
        <v>12.258311607614392</v>
      </c>
      <c r="R398" s="5">
        <f t="shared" si="40"/>
        <v>3998.1041199277602</v>
      </c>
      <c r="S398">
        <v>1.34251448106806</v>
      </c>
      <c r="T398">
        <v>0</v>
      </c>
      <c r="U398">
        <v>9.1999999999999993</v>
      </c>
      <c r="V398">
        <v>0.45600000000000002</v>
      </c>
      <c r="W398">
        <f t="shared" ref="W398" si="53">AVERAGE(42,38)</f>
        <v>40</v>
      </c>
    </row>
    <row r="399" spans="1:23" x14ac:dyDescent="0.25">
      <c r="A399" t="s">
        <v>424</v>
      </c>
      <c r="B399" t="s">
        <v>47</v>
      </c>
      <c r="C399">
        <v>0.56234105499999998</v>
      </c>
      <c r="D399">
        <v>0.26427272699999999</v>
      </c>
      <c r="E399">
        <v>0.94370445400000003</v>
      </c>
      <c r="F399">
        <v>0.210966236</v>
      </c>
      <c r="G399">
        <v>0.85741354199999997</v>
      </c>
      <c r="H399">
        <v>0.80894743000000002</v>
      </c>
      <c r="I399">
        <v>100.62</v>
      </c>
      <c r="J399">
        <f t="shared" si="37"/>
        <v>1.0062</v>
      </c>
      <c r="K399" s="4">
        <v>13.3</v>
      </c>
      <c r="L399">
        <f t="shared" si="38"/>
        <v>286.45</v>
      </c>
      <c r="M399">
        <v>27</v>
      </c>
      <c r="N399">
        <v>0.09</v>
      </c>
      <c r="O399" s="5">
        <f t="shared" si="45"/>
        <v>168.70231649999999</v>
      </c>
      <c r="P399">
        <f t="shared" si="36"/>
        <v>79.281818099999995</v>
      </c>
      <c r="Q399" s="5">
        <f t="shared" si="39"/>
        <v>7.2214601631611428</v>
      </c>
      <c r="R399" s="5">
        <f t="shared" si="40"/>
        <v>3393.7322435767387</v>
      </c>
      <c r="S399">
        <v>0.29616659151690983</v>
      </c>
      <c r="T399">
        <f>AVERAGE(461,333,129)</f>
        <v>307.66666666666669</v>
      </c>
      <c r="U399" s="6">
        <v>2.4</v>
      </c>
      <c r="V399">
        <v>0.503</v>
      </c>
      <c r="W399">
        <f>AVERAGE(21,14)</f>
        <v>17.5</v>
      </c>
    </row>
    <row r="400" spans="1:23" x14ac:dyDescent="0.25">
      <c r="A400" t="s">
        <v>425</v>
      </c>
      <c r="B400" t="s">
        <v>47</v>
      </c>
      <c r="C400">
        <v>0.34864768000000002</v>
      </c>
      <c r="D400">
        <v>0.188038961</v>
      </c>
      <c r="E400">
        <v>0.75171259599999996</v>
      </c>
      <c r="F400">
        <v>0.14593498799999999</v>
      </c>
      <c r="G400">
        <v>0.82022573399999998</v>
      </c>
      <c r="H400">
        <v>0.86403076599999995</v>
      </c>
      <c r="I400">
        <v>100.62</v>
      </c>
      <c r="J400">
        <f t="shared" si="37"/>
        <v>1.0062</v>
      </c>
      <c r="K400" s="4">
        <v>13.3</v>
      </c>
      <c r="L400">
        <f t="shared" si="38"/>
        <v>286.45</v>
      </c>
      <c r="M400">
        <v>27</v>
      </c>
      <c r="N400">
        <v>0.09</v>
      </c>
      <c r="O400" s="5">
        <f t="shared" si="45"/>
        <v>104.59430400000002</v>
      </c>
      <c r="P400">
        <f t="shared" si="36"/>
        <v>56.411688300000002</v>
      </c>
      <c r="Q400" s="5">
        <f t="shared" si="39"/>
        <v>4.4772568349976769</v>
      </c>
      <c r="R400" s="5">
        <f t="shared" si="40"/>
        <v>2414.7549852708366</v>
      </c>
      <c r="S400">
        <v>0.29616659151690983</v>
      </c>
      <c r="T400">
        <v>0</v>
      </c>
      <c r="U400" s="6">
        <v>3.1</v>
      </c>
      <c r="V400">
        <v>0.503</v>
      </c>
      <c r="W400">
        <f t="shared" ref="W400" si="54">AVERAGE(21,14)</f>
        <v>17.5</v>
      </c>
    </row>
    <row r="401" spans="1:23" x14ac:dyDescent="0.25">
      <c r="A401" t="s">
        <v>426</v>
      </c>
      <c r="B401" t="s">
        <v>47</v>
      </c>
      <c r="C401">
        <v>1.077367269</v>
      </c>
      <c r="D401">
        <v>0.177912088</v>
      </c>
      <c r="E401">
        <v>0.834172943</v>
      </c>
      <c r="F401">
        <v>0.18923728100000001</v>
      </c>
      <c r="G401">
        <v>0.75728746300000005</v>
      </c>
      <c r="H401">
        <v>0.84520296699999997</v>
      </c>
      <c r="I401">
        <v>100.63</v>
      </c>
      <c r="J401">
        <f t="shared" si="37"/>
        <v>1.0063</v>
      </c>
      <c r="K401" s="4">
        <v>16.8</v>
      </c>
      <c r="L401">
        <f t="shared" si="38"/>
        <v>289.95</v>
      </c>
      <c r="M401">
        <v>27</v>
      </c>
      <c r="N401">
        <v>0.09</v>
      </c>
      <c r="O401" s="5">
        <f t="shared" si="45"/>
        <v>323.21018070000002</v>
      </c>
      <c r="P401">
        <f t="shared" si="36"/>
        <v>53.373626399999999</v>
      </c>
      <c r="Q401" s="5">
        <f t="shared" si="39"/>
        <v>13.669665235482498</v>
      </c>
      <c r="R401" s="5">
        <f t="shared" si="40"/>
        <v>2257.3534153892165</v>
      </c>
      <c r="S401">
        <v>0.54119541742224841</v>
      </c>
      <c r="T401">
        <v>84</v>
      </c>
      <c r="U401">
        <f>AVERAGE(3.9,2.7)</f>
        <v>3.3</v>
      </c>
      <c r="V401">
        <v>0.46500000000000002</v>
      </c>
      <c r="W401">
        <f>AVERAGE(28, 8)</f>
        <v>18</v>
      </c>
    </row>
    <row r="402" spans="1:23" x14ac:dyDescent="0.25">
      <c r="A402" t="s">
        <v>427</v>
      </c>
      <c r="B402" t="s">
        <v>47</v>
      </c>
      <c r="C402">
        <v>0.66913660200000002</v>
      </c>
      <c r="D402">
        <v>0.101897059</v>
      </c>
      <c r="E402">
        <v>0.56696093299999994</v>
      </c>
      <c r="F402">
        <v>7.1580262000000006E-2</v>
      </c>
      <c r="G402">
        <v>0.94979043699999999</v>
      </c>
      <c r="H402">
        <v>0.85150180200000003</v>
      </c>
      <c r="I402">
        <v>100.63</v>
      </c>
      <c r="J402">
        <f t="shared" si="37"/>
        <v>1.0063</v>
      </c>
      <c r="K402" s="4">
        <v>16.8</v>
      </c>
      <c r="L402">
        <f t="shared" si="38"/>
        <v>289.95</v>
      </c>
      <c r="M402">
        <v>27</v>
      </c>
      <c r="N402">
        <v>0.09</v>
      </c>
      <c r="O402" s="5">
        <f t="shared" si="45"/>
        <v>200.7409806</v>
      </c>
      <c r="P402">
        <f t="shared" si="36"/>
        <v>30.5691177</v>
      </c>
      <c r="Q402" s="5">
        <f t="shared" si="39"/>
        <v>8.4900234203683489</v>
      </c>
      <c r="R402" s="5">
        <f t="shared" si="40"/>
        <v>1292.8726582747231</v>
      </c>
      <c r="S402">
        <v>0.54119541742224841</v>
      </c>
      <c r="T402">
        <v>0</v>
      </c>
      <c r="U402">
        <f t="shared" ref="U402" si="55">AVERAGE(3.9,2.7)</f>
        <v>3.3</v>
      </c>
      <c r="V402">
        <v>0.46500000000000002</v>
      </c>
      <c r="W402">
        <f t="shared" ref="W402" si="56">AVERAGE(28, 8)</f>
        <v>18</v>
      </c>
    </row>
    <row r="403" spans="1:23" x14ac:dyDescent="0.25">
      <c r="A403" t="s">
        <v>428</v>
      </c>
      <c r="B403" t="s">
        <v>47</v>
      </c>
      <c r="C403">
        <v>-2.0864949999999998E-3</v>
      </c>
      <c r="D403">
        <v>0.15579220799999999</v>
      </c>
      <c r="E403">
        <v>0.37901222899999998</v>
      </c>
      <c r="F403">
        <v>6.4456662999999997E-2</v>
      </c>
      <c r="G403">
        <v>2.2402596E-2</v>
      </c>
      <c r="H403">
        <v>0.87630672300000001</v>
      </c>
      <c r="I403">
        <v>100.63</v>
      </c>
      <c r="J403">
        <f t="shared" si="37"/>
        <v>1.0063</v>
      </c>
      <c r="K403" s="4">
        <v>16.8</v>
      </c>
      <c r="L403">
        <f t="shared" si="38"/>
        <v>289.95</v>
      </c>
      <c r="M403">
        <v>27</v>
      </c>
      <c r="N403">
        <v>0.09</v>
      </c>
      <c r="O403" s="5">
        <f t="shared" si="45"/>
        <v>-0.62594850000000002</v>
      </c>
      <c r="P403">
        <f t="shared" si="36"/>
        <v>46.737662400000005</v>
      </c>
      <c r="Q403" s="5">
        <f t="shared" si="39"/>
        <v>-2.6473505355310786E-2</v>
      </c>
      <c r="R403" s="5">
        <f t="shared" si="40"/>
        <v>1976.6957758363631</v>
      </c>
      <c r="S403">
        <v>0.54119541742224841</v>
      </c>
      <c r="T403">
        <v>84</v>
      </c>
      <c r="U403">
        <f>AVERAGE(4.1,3.3)</f>
        <v>3.6999999999999997</v>
      </c>
      <c r="V403">
        <v>0.46500000000000002</v>
      </c>
      <c r="W403">
        <f>AVERAGE(28, 8)</f>
        <v>18</v>
      </c>
    </row>
    <row r="404" spans="1:23" x14ac:dyDescent="0.25">
      <c r="A404" t="s">
        <v>429</v>
      </c>
      <c r="B404" t="s">
        <v>47</v>
      </c>
      <c r="C404">
        <v>0.62015325300000002</v>
      </c>
      <c r="D404">
        <v>0.15205194799999999</v>
      </c>
      <c r="E404">
        <v>0.30092755900000001</v>
      </c>
      <c r="F404">
        <v>9.5233779000000005E-2</v>
      </c>
      <c r="G404">
        <v>0.99047430000000003</v>
      </c>
      <c r="H404">
        <v>0.85539279000000001</v>
      </c>
      <c r="I404">
        <v>100.63</v>
      </c>
      <c r="J404">
        <f t="shared" si="37"/>
        <v>1.0063</v>
      </c>
      <c r="K404" s="4">
        <v>17.100000000000001</v>
      </c>
      <c r="L404">
        <f t="shared" si="38"/>
        <v>290.25</v>
      </c>
      <c r="M404">
        <v>27</v>
      </c>
      <c r="N404">
        <v>0.09</v>
      </c>
      <c r="O404" s="5">
        <f t="shared" si="45"/>
        <v>186.0459759</v>
      </c>
      <c r="P404">
        <f t="shared" si="36"/>
        <v>45.615584399999996</v>
      </c>
      <c r="Q404" s="5">
        <f t="shared" si="39"/>
        <v>7.8603885162983405</v>
      </c>
      <c r="R404" s="5">
        <f t="shared" si="40"/>
        <v>1927.24520940309</v>
      </c>
      <c r="S404">
        <v>0.6071387192498483</v>
      </c>
      <c r="T404">
        <v>0</v>
      </c>
      <c r="U404">
        <f t="shared" ref="U404" si="57">AVERAGE(4.1,3.3)</f>
        <v>3.6999999999999997</v>
      </c>
      <c r="V404">
        <v>0.46500000000000002</v>
      </c>
      <c r="W404">
        <f t="shared" ref="W404" si="58">AVERAGE(28, 8)</f>
        <v>18</v>
      </c>
    </row>
    <row r="405" spans="1:23" x14ac:dyDescent="0.25">
      <c r="A405" t="s">
        <v>430</v>
      </c>
      <c r="B405" t="s">
        <v>47</v>
      </c>
      <c r="C405">
        <v>0.802735529</v>
      </c>
      <c r="D405">
        <v>0.21710294099999999</v>
      </c>
      <c r="E405">
        <v>1.00102617</v>
      </c>
      <c r="F405">
        <v>0.114497347</v>
      </c>
      <c r="G405">
        <v>0.66827431100000001</v>
      </c>
      <c r="H405">
        <v>0.95223063699999999</v>
      </c>
      <c r="I405">
        <v>99.75</v>
      </c>
      <c r="J405">
        <f t="shared" si="37"/>
        <v>0.99750000000000005</v>
      </c>
      <c r="K405" s="4">
        <v>25.36</v>
      </c>
      <c r="L405">
        <f t="shared" si="38"/>
        <v>298.51</v>
      </c>
      <c r="M405">
        <v>27</v>
      </c>
      <c r="N405">
        <v>0.09</v>
      </c>
      <c r="O405" s="5">
        <f t="shared" si="45"/>
        <v>240.8206587</v>
      </c>
      <c r="P405">
        <f t="shared" si="36"/>
        <v>65.13088230000001</v>
      </c>
      <c r="Q405" s="5">
        <f t="shared" si="39"/>
        <v>9.8065500056262866</v>
      </c>
      <c r="R405" s="5">
        <f t="shared" si="40"/>
        <v>2652.2195298085953</v>
      </c>
      <c r="S405">
        <v>1.3591010119677447</v>
      </c>
      <c r="T405">
        <f>AVERAGE(230, 225)</f>
        <v>227.5</v>
      </c>
      <c r="U405">
        <v>7.2</v>
      </c>
      <c r="V405">
        <v>0.45600000000000002</v>
      </c>
      <c r="W405">
        <f>AVERAGE(6,28)</f>
        <v>17</v>
      </c>
    </row>
    <row r="406" spans="1:23" x14ac:dyDescent="0.25">
      <c r="A406" t="s">
        <v>431</v>
      </c>
      <c r="B406" t="s">
        <v>47</v>
      </c>
      <c r="C406">
        <v>0.68908148899999999</v>
      </c>
      <c r="D406">
        <v>0.297666667</v>
      </c>
      <c r="E406">
        <v>0.84427490299999997</v>
      </c>
      <c r="F406">
        <v>0.17047775600000001</v>
      </c>
      <c r="G406">
        <v>0.72545591899999995</v>
      </c>
      <c r="H406">
        <v>0.88829143799999999</v>
      </c>
      <c r="I406">
        <v>99.75</v>
      </c>
      <c r="J406">
        <f t="shared" si="37"/>
        <v>0.99750000000000005</v>
      </c>
      <c r="K406" s="4">
        <v>25.5</v>
      </c>
      <c r="L406">
        <f t="shared" si="38"/>
        <v>298.64999999999998</v>
      </c>
      <c r="M406">
        <v>27</v>
      </c>
      <c r="N406">
        <v>0.09</v>
      </c>
      <c r="O406" s="5">
        <f t="shared" si="45"/>
        <v>206.72444669999999</v>
      </c>
      <c r="P406">
        <f t="shared" si="36"/>
        <v>89.300000100000005</v>
      </c>
      <c r="Q406" s="5">
        <f t="shared" si="39"/>
        <v>8.4141589293852572</v>
      </c>
      <c r="R406" s="5">
        <f t="shared" si="40"/>
        <v>3634.714738532758</v>
      </c>
      <c r="S406">
        <v>1.3606692537599483</v>
      </c>
      <c r="T406">
        <v>0</v>
      </c>
      <c r="U406">
        <v>9.1999999999999993</v>
      </c>
      <c r="V406">
        <v>0.45600000000000002</v>
      </c>
      <c r="W406">
        <f t="shared" ref="W406" si="59">AVERAGE(6,28)</f>
        <v>17</v>
      </c>
    </row>
    <row r="407" spans="1:23" x14ac:dyDescent="0.25">
      <c r="A407" t="s">
        <v>432</v>
      </c>
      <c r="B407" t="s">
        <v>47</v>
      </c>
      <c r="C407">
        <v>-0.283775261</v>
      </c>
      <c r="D407">
        <v>0.21103076900000001</v>
      </c>
      <c r="E407">
        <v>0.434005476</v>
      </c>
      <c r="F407">
        <v>0.111060045</v>
      </c>
      <c r="G407">
        <v>4.4206139999999998E-3</v>
      </c>
      <c r="H407">
        <v>0.81423360899999997</v>
      </c>
      <c r="I407">
        <v>100.65</v>
      </c>
      <c r="J407">
        <f t="shared" si="37"/>
        <v>1.0065</v>
      </c>
      <c r="K407" s="4">
        <v>13.1</v>
      </c>
      <c r="L407">
        <f t="shared" si="38"/>
        <v>286.25</v>
      </c>
      <c r="M407">
        <v>27</v>
      </c>
      <c r="N407">
        <v>0.09</v>
      </c>
      <c r="O407" s="5">
        <f t="shared" si="45"/>
        <v>-85.132578300000006</v>
      </c>
      <c r="P407">
        <f t="shared" si="36"/>
        <v>63.309230700000001</v>
      </c>
      <c r="Q407" s="5">
        <f t="shared" si="39"/>
        <v>-3.6478129245700504</v>
      </c>
      <c r="R407" s="5">
        <f t="shared" si="40"/>
        <v>2712.7127429200282</v>
      </c>
      <c r="S407">
        <v>0.27122825501667602</v>
      </c>
      <c r="T407">
        <f>AVERAGE(304,263,150)</f>
        <v>239</v>
      </c>
      <c r="U407" s="6">
        <v>3.7</v>
      </c>
      <c r="V407">
        <v>0.503</v>
      </c>
      <c r="W407">
        <f>AVERAGE(14,20)</f>
        <v>17</v>
      </c>
    </row>
    <row r="408" spans="1:23" x14ac:dyDescent="0.25">
      <c r="A408" t="s">
        <v>433</v>
      </c>
      <c r="B408" t="s">
        <v>47</v>
      </c>
      <c r="C408">
        <v>0.66224782000000004</v>
      </c>
      <c r="D408">
        <v>0.23374026000000001</v>
      </c>
      <c r="E408">
        <v>0.94524336099999995</v>
      </c>
      <c r="F408">
        <v>0.17924196000000001</v>
      </c>
      <c r="G408">
        <v>0.96010463499999998</v>
      </c>
      <c r="H408">
        <v>0.82318967099999996</v>
      </c>
      <c r="I408">
        <v>100.65</v>
      </c>
      <c r="J408">
        <f t="shared" si="37"/>
        <v>1.0065</v>
      </c>
      <c r="K408" s="4">
        <v>12.9</v>
      </c>
      <c r="L408">
        <f t="shared" si="38"/>
        <v>286.04999999999995</v>
      </c>
      <c r="M408">
        <v>27</v>
      </c>
      <c r="N408">
        <v>0.09</v>
      </c>
      <c r="O408" s="5">
        <f>C409*M408/N408</f>
        <v>217.15243889999999</v>
      </c>
      <c r="P408">
        <f t="shared" si="36"/>
        <v>70.122078000000002</v>
      </c>
      <c r="Q408" s="5">
        <f t="shared" si="39"/>
        <v>9.311186508362729</v>
      </c>
      <c r="R408" s="5">
        <f t="shared" si="40"/>
        <v>3006.7345774211285</v>
      </c>
      <c r="S408">
        <v>0.2468821331054547</v>
      </c>
      <c r="T408">
        <v>0</v>
      </c>
      <c r="U408" s="6">
        <v>4.2</v>
      </c>
      <c r="V408">
        <v>0.503</v>
      </c>
      <c r="W408">
        <f t="shared" ref="W408" si="60">AVERAGE(14,20)</f>
        <v>17</v>
      </c>
    </row>
    <row r="409" spans="1:23" x14ac:dyDescent="0.25">
      <c r="A409" t="s">
        <v>434</v>
      </c>
      <c r="B409" t="s">
        <v>47</v>
      </c>
      <c r="C409">
        <v>0.72384146299999996</v>
      </c>
      <c r="D409">
        <v>0.198400413</v>
      </c>
      <c r="E409">
        <v>1.0273380409999999</v>
      </c>
      <c r="F409">
        <v>0.15837263700000001</v>
      </c>
      <c r="G409">
        <v>0.86113492000000003</v>
      </c>
      <c r="H409">
        <v>0.87980433300000005</v>
      </c>
      <c r="I409">
        <v>100.62</v>
      </c>
      <c r="J409">
        <f t="shared" si="37"/>
        <v>1.0062</v>
      </c>
      <c r="K409" s="4">
        <v>17.100000000000001</v>
      </c>
      <c r="L409">
        <f t="shared" si="38"/>
        <v>290.25</v>
      </c>
      <c r="M409">
        <v>27</v>
      </c>
      <c r="N409">
        <v>0.09</v>
      </c>
      <c r="O409" s="5">
        <f t="shared" ref="O409:O452" si="61">C409*M409/N409</f>
        <v>217.15243889999999</v>
      </c>
      <c r="P409">
        <f t="shared" si="36"/>
        <v>59.520123899999994</v>
      </c>
      <c r="Q409" s="5">
        <f t="shared" si="39"/>
        <v>9.1737158362174025</v>
      </c>
      <c r="R409" s="5">
        <f t="shared" si="40"/>
        <v>2514.4580736046792</v>
      </c>
      <c r="S409">
        <v>0.6071387192498483</v>
      </c>
      <c r="T409">
        <f>AVERAGE(84,93)</f>
        <v>88.5</v>
      </c>
      <c r="U409">
        <f>AVERAGE(4,2.8)</f>
        <v>3.4</v>
      </c>
      <c r="V409">
        <v>0.46500000000000002</v>
      </c>
      <c r="W409">
        <f>AVERAGE(22,21)</f>
        <v>21.5</v>
      </c>
    </row>
    <row r="410" spans="1:23" x14ac:dyDescent="0.25">
      <c r="A410" t="s">
        <v>435</v>
      </c>
      <c r="B410" t="s">
        <v>47</v>
      </c>
      <c r="C410">
        <v>1.079173038</v>
      </c>
      <c r="D410">
        <v>0.19868831200000001</v>
      </c>
      <c r="E410">
        <v>0.92262972899999995</v>
      </c>
      <c r="F410">
        <v>0.129257646</v>
      </c>
      <c r="G410">
        <v>0.98327059999999999</v>
      </c>
      <c r="H410">
        <v>0.87056653100000003</v>
      </c>
      <c r="I410">
        <v>100.62</v>
      </c>
      <c r="J410">
        <f t="shared" si="37"/>
        <v>1.0062</v>
      </c>
      <c r="K410" s="4">
        <v>17.399999999999999</v>
      </c>
      <c r="L410">
        <f t="shared" si="38"/>
        <v>290.54999999999995</v>
      </c>
      <c r="M410">
        <v>27</v>
      </c>
      <c r="N410">
        <v>0.09</v>
      </c>
      <c r="O410" s="5">
        <f t="shared" si="61"/>
        <v>323.75191140000004</v>
      </c>
      <c r="P410">
        <f t="shared" si="36"/>
        <v>59.606493600000007</v>
      </c>
      <c r="Q410" s="5">
        <f t="shared" si="39"/>
        <v>13.662943163408018</v>
      </c>
      <c r="R410" s="5">
        <f t="shared" si="40"/>
        <v>2515.5067987247839</v>
      </c>
      <c r="S410">
        <v>0.67538561786649876</v>
      </c>
      <c r="T410">
        <v>0</v>
      </c>
      <c r="U410">
        <f>AVERAGE(4,2.8)</f>
        <v>3.4</v>
      </c>
      <c r="V410">
        <v>0.46400000000000002</v>
      </c>
      <c r="W410">
        <f t="shared" ref="W410" si="62">AVERAGE(22,21)</f>
        <v>21.5</v>
      </c>
    </row>
    <row r="411" spans="1:23" x14ac:dyDescent="0.25">
      <c r="A411" t="s">
        <v>436</v>
      </c>
      <c r="B411" t="s">
        <v>47</v>
      </c>
      <c r="C411">
        <v>1.1866820840000001</v>
      </c>
      <c r="D411">
        <v>0.12710389599999999</v>
      </c>
      <c r="E411">
        <v>0.90547479900000005</v>
      </c>
      <c r="F411">
        <v>6.8502960000000002E-2</v>
      </c>
      <c r="G411">
        <v>0.97165483600000002</v>
      </c>
      <c r="H411">
        <v>0.88806980099999999</v>
      </c>
      <c r="I411">
        <v>100.62</v>
      </c>
      <c r="J411">
        <f t="shared" si="37"/>
        <v>1.0062</v>
      </c>
      <c r="K411" s="4">
        <v>17.399999999999999</v>
      </c>
      <c r="L411">
        <f t="shared" si="38"/>
        <v>290.54999999999995</v>
      </c>
      <c r="M411">
        <v>27</v>
      </c>
      <c r="N411">
        <v>0.09</v>
      </c>
      <c r="O411" s="5">
        <f t="shared" si="61"/>
        <v>356.00462520000002</v>
      </c>
      <c r="P411">
        <f t="shared" si="36"/>
        <v>38.131168799999998</v>
      </c>
      <c r="Q411" s="5">
        <f t="shared" si="39"/>
        <v>15.024068704287421</v>
      </c>
      <c r="R411" s="5">
        <f t="shared" si="40"/>
        <v>1609.2074632573645</v>
      </c>
      <c r="S411">
        <v>0.67538561786649876</v>
      </c>
      <c r="T411">
        <v>93</v>
      </c>
      <c r="U411">
        <f>AVERAGE(4.1,3.4)</f>
        <v>3.75</v>
      </c>
      <c r="V411">
        <v>0.46400000000000002</v>
      </c>
      <c r="W411">
        <f>AVERAGE(22,21)</f>
        <v>21.5</v>
      </c>
    </row>
    <row r="412" spans="1:23" x14ac:dyDescent="0.25">
      <c r="A412" t="s">
        <v>437</v>
      </c>
      <c r="B412" t="s">
        <v>47</v>
      </c>
      <c r="C412">
        <v>0.95188311699999995</v>
      </c>
      <c r="D412">
        <v>0.15397058799999999</v>
      </c>
      <c r="E412">
        <v>0.97639466600000002</v>
      </c>
      <c r="F412">
        <v>0.13788715800000001</v>
      </c>
      <c r="G412">
        <v>0.917834013</v>
      </c>
      <c r="H412">
        <v>0.884715421</v>
      </c>
      <c r="I412">
        <v>100.62</v>
      </c>
      <c r="J412">
        <f t="shared" si="37"/>
        <v>1.0062</v>
      </c>
      <c r="K412" s="4">
        <v>17.399999999999999</v>
      </c>
      <c r="L412">
        <f t="shared" si="38"/>
        <v>290.54999999999995</v>
      </c>
      <c r="M412">
        <v>27</v>
      </c>
      <c r="N412">
        <v>0.09</v>
      </c>
      <c r="O412" s="5">
        <f t="shared" si="61"/>
        <v>285.56493510000001</v>
      </c>
      <c r="P412">
        <f t="shared" si="36"/>
        <v>46.191176400000003</v>
      </c>
      <c r="Q412" s="5">
        <f t="shared" si="39"/>
        <v>12.05138051806912</v>
      </c>
      <c r="R412" s="5">
        <f t="shared" si="40"/>
        <v>1949.3550326083227</v>
      </c>
      <c r="S412">
        <v>0.67538561786649876</v>
      </c>
      <c r="T412">
        <v>0</v>
      </c>
      <c r="U412">
        <f t="shared" ref="U412" si="63">AVERAGE(4.1,3.4)</f>
        <v>3.75</v>
      </c>
      <c r="V412">
        <v>0.46400000000000002</v>
      </c>
      <c r="W412">
        <f t="shared" ref="W412" si="64">AVERAGE(22,21)</f>
        <v>21.5</v>
      </c>
    </row>
    <row r="413" spans="1:23" x14ac:dyDescent="0.25">
      <c r="A413" t="s">
        <v>438</v>
      </c>
      <c r="B413" t="s">
        <v>47</v>
      </c>
      <c r="C413">
        <v>2.054628959</v>
      </c>
      <c r="D413">
        <v>0.24877193</v>
      </c>
      <c r="E413">
        <v>2.1313110970000002</v>
      </c>
      <c r="F413">
        <v>0.134377671</v>
      </c>
      <c r="G413">
        <v>0.97529301199999996</v>
      </c>
      <c r="H413">
        <v>0.90117517400000002</v>
      </c>
      <c r="I413">
        <v>99.77</v>
      </c>
      <c r="J413">
        <f t="shared" si="37"/>
        <v>0.99769999999999992</v>
      </c>
      <c r="K413" s="4">
        <v>25.6</v>
      </c>
      <c r="L413">
        <f t="shared" si="38"/>
        <v>298.75</v>
      </c>
      <c r="M413">
        <v>27</v>
      </c>
      <c r="N413">
        <v>0.09</v>
      </c>
      <c r="O413" s="5">
        <f t="shared" si="61"/>
        <v>616.38868769999999</v>
      </c>
      <c r="P413">
        <f t="shared" si="36"/>
        <v>74.631579000000002</v>
      </c>
      <c r="Q413" s="5">
        <f t="shared" si="39"/>
        <v>25.085063535235061</v>
      </c>
      <c r="R413" s="5">
        <f t="shared" si="40"/>
        <v>3037.2684286852054</v>
      </c>
      <c r="S413">
        <v>1.3622090700323837</v>
      </c>
      <c r="T413">
        <f>AVERAGE(160,315)</f>
        <v>237.5</v>
      </c>
      <c r="U413">
        <v>13.5</v>
      </c>
      <c r="V413">
        <v>0.45600000000000002</v>
      </c>
      <c r="W413">
        <f>AVERAGE(26,20)</f>
        <v>23</v>
      </c>
    </row>
    <row r="414" spans="1:23" x14ac:dyDescent="0.25">
      <c r="A414" t="s">
        <v>439</v>
      </c>
      <c r="B414" t="s">
        <v>47</v>
      </c>
      <c r="C414">
        <v>1.5632208139999999</v>
      </c>
      <c r="D414">
        <v>0.203205882</v>
      </c>
      <c r="E414">
        <v>0.78303062499999998</v>
      </c>
      <c r="F414">
        <v>0.136619136</v>
      </c>
      <c r="G414">
        <v>0.99115111300000003</v>
      </c>
      <c r="H414">
        <v>0.87725872800000004</v>
      </c>
      <c r="I414">
        <v>99.77</v>
      </c>
      <c r="J414">
        <f t="shared" si="37"/>
        <v>0.99769999999999992</v>
      </c>
      <c r="K414" s="4">
        <v>25.6</v>
      </c>
      <c r="L414">
        <f t="shared" si="38"/>
        <v>298.75</v>
      </c>
      <c r="M414">
        <v>27</v>
      </c>
      <c r="N414">
        <v>0.09</v>
      </c>
      <c r="O414" s="5">
        <f t="shared" si="61"/>
        <v>468.96624419999995</v>
      </c>
      <c r="P414">
        <f t="shared" si="36"/>
        <v>60.961764600000009</v>
      </c>
      <c r="Q414" s="5">
        <f t="shared" si="39"/>
        <v>19.085437916672461</v>
      </c>
      <c r="R414" s="5">
        <f t="shared" si="40"/>
        <v>2480.9503625337934</v>
      </c>
      <c r="S414">
        <v>1.3622090700323837</v>
      </c>
      <c r="T414">
        <f>AVERAGE(52, 51)</f>
        <v>51.5</v>
      </c>
      <c r="U414">
        <v>11</v>
      </c>
      <c r="V414">
        <v>0.45600000000000002</v>
      </c>
      <c r="W414">
        <f t="shared" ref="W414" si="65">AVERAGE(26,20)</f>
        <v>23</v>
      </c>
    </row>
    <row r="415" spans="1:23" x14ac:dyDescent="0.25">
      <c r="A415" t="s">
        <v>440</v>
      </c>
      <c r="B415" t="s">
        <v>47</v>
      </c>
      <c r="C415">
        <v>1.453603604</v>
      </c>
      <c r="D415">
        <v>0.24743082999999999</v>
      </c>
      <c r="E415">
        <v>0.74949711799999996</v>
      </c>
      <c r="F415">
        <v>0.181267917</v>
      </c>
      <c r="G415">
        <v>0.95619105199999999</v>
      </c>
      <c r="H415">
        <v>0.84808551300000001</v>
      </c>
      <c r="I415">
        <v>100.62</v>
      </c>
      <c r="J415">
        <f t="shared" si="37"/>
        <v>1.0062</v>
      </c>
      <c r="K415" s="4">
        <v>13.3</v>
      </c>
      <c r="L415">
        <f t="shared" si="38"/>
        <v>286.45</v>
      </c>
      <c r="M415">
        <v>27</v>
      </c>
      <c r="N415">
        <v>0.09</v>
      </c>
      <c r="O415" s="5">
        <f t="shared" si="61"/>
        <v>436.08108120000003</v>
      </c>
      <c r="P415">
        <f t="shared" si="36"/>
        <v>74.229248999999996</v>
      </c>
      <c r="Q415" s="5">
        <f t="shared" si="39"/>
        <v>18.666857818719045</v>
      </c>
      <c r="R415" s="5">
        <f t="shared" si="40"/>
        <v>3177.4523060260949</v>
      </c>
      <c r="S415">
        <v>0.29616659151690983</v>
      </c>
      <c r="T415">
        <f>AVERAGE(74,66,104)</f>
        <v>81.333333333333329</v>
      </c>
      <c r="U415" s="6">
        <v>5.3</v>
      </c>
      <c r="V415">
        <v>0.503</v>
      </c>
      <c r="W415">
        <f>AVERAGE(13,20)</f>
        <v>16.5</v>
      </c>
    </row>
    <row r="416" spans="1:23" x14ac:dyDescent="0.25">
      <c r="A416" t="s">
        <v>441</v>
      </c>
      <c r="B416" t="s">
        <v>47</v>
      </c>
      <c r="C416">
        <v>0.62507712900000001</v>
      </c>
      <c r="D416">
        <v>0.15962337700000001</v>
      </c>
      <c r="E416">
        <v>1.251912726</v>
      </c>
      <c r="F416">
        <v>8.6030993E-2</v>
      </c>
      <c r="G416">
        <v>0.88503473600000004</v>
      </c>
      <c r="H416">
        <v>0.91004175899999995</v>
      </c>
      <c r="I416">
        <v>100.62</v>
      </c>
      <c r="J416">
        <f t="shared" si="37"/>
        <v>1.0062</v>
      </c>
      <c r="K416" s="4">
        <v>13.1</v>
      </c>
      <c r="L416">
        <f t="shared" si="38"/>
        <v>286.25</v>
      </c>
      <c r="M416">
        <v>27</v>
      </c>
      <c r="N416">
        <v>0.09</v>
      </c>
      <c r="O416" s="5">
        <f t="shared" si="61"/>
        <v>187.5231387</v>
      </c>
      <c r="P416">
        <f t="shared" si="36"/>
        <v>47.887013100000011</v>
      </c>
      <c r="Q416" s="5">
        <f t="shared" si="39"/>
        <v>8.0327114853628245</v>
      </c>
      <c r="R416" s="5">
        <f t="shared" si="40"/>
        <v>2051.280512872997</v>
      </c>
      <c r="S416">
        <v>0.27122825501667602</v>
      </c>
      <c r="T416">
        <v>0</v>
      </c>
      <c r="U416" s="6">
        <v>2.9</v>
      </c>
      <c r="V416">
        <v>0.503</v>
      </c>
      <c r="W416">
        <f t="shared" ref="W416" si="66">AVERAGE(13,20)</f>
        <v>16.5</v>
      </c>
    </row>
    <row r="417" spans="1:23" x14ac:dyDescent="0.25">
      <c r="A417" t="s">
        <v>442</v>
      </c>
      <c r="B417" t="s">
        <v>47</v>
      </c>
      <c r="C417">
        <v>0.50479220800000002</v>
      </c>
      <c r="D417">
        <v>0.15482352899999999</v>
      </c>
      <c r="E417">
        <v>1.9814835529999999</v>
      </c>
      <c r="F417">
        <v>0.22183776699999999</v>
      </c>
      <c r="G417">
        <v>0.54629741899999995</v>
      </c>
      <c r="H417">
        <v>0.820479026</v>
      </c>
      <c r="I417">
        <v>100.63</v>
      </c>
      <c r="J417">
        <f t="shared" si="37"/>
        <v>1.0063</v>
      </c>
      <c r="K417" s="4">
        <v>16.8</v>
      </c>
      <c r="L417">
        <f t="shared" si="38"/>
        <v>289.95</v>
      </c>
      <c r="M417">
        <v>27</v>
      </c>
      <c r="N417">
        <v>0.09</v>
      </c>
      <c r="O417" s="5">
        <f t="shared" si="61"/>
        <v>151.43766240000002</v>
      </c>
      <c r="P417">
        <f t="shared" si="36"/>
        <v>46.447058699999999</v>
      </c>
      <c r="Q417" s="5">
        <f t="shared" si="39"/>
        <v>6.4048172757697266</v>
      </c>
      <c r="R417" s="5">
        <f t="shared" si="40"/>
        <v>1964.4051503164947</v>
      </c>
      <c r="S417">
        <v>0.54119541742224841</v>
      </c>
      <c r="T417">
        <v>84</v>
      </c>
      <c r="U417">
        <f>AVERAGE(3.9,4,2.7,2.8)</f>
        <v>3.3500000000000005</v>
      </c>
      <c r="V417">
        <v>0.46500000000000002</v>
      </c>
      <c r="W417">
        <f>AVERAGE(9,23)</f>
        <v>16</v>
      </c>
    </row>
    <row r="418" spans="1:23" x14ac:dyDescent="0.25">
      <c r="A418" t="s">
        <v>443</v>
      </c>
      <c r="B418" t="s">
        <v>47</v>
      </c>
      <c r="C418">
        <v>1.0934396159999999</v>
      </c>
      <c r="D418">
        <v>7.5259740000000006E-2</v>
      </c>
      <c r="E418">
        <v>0.96485622100000001</v>
      </c>
      <c r="F418">
        <v>4.3393323999999997E-2</v>
      </c>
      <c r="G418">
        <v>0.94455617700000005</v>
      </c>
      <c r="H418">
        <v>0.88198575599999995</v>
      </c>
      <c r="I418">
        <v>100.63</v>
      </c>
      <c r="J418">
        <f t="shared" si="37"/>
        <v>1.0063</v>
      </c>
      <c r="K418" s="4">
        <v>17.100000000000001</v>
      </c>
      <c r="L418">
        <f t="shared" si="38"/>
        <v>290.25</v>
      </c>
      <c r="M418">
        <v>27</v>
      </c>
      <c r="N418">
        <v>0.09</v>
      </c>
      <c r="O418" s="5">
        <f t="shared" si="61"/>
        <v>328.0318848</v>
      </c>
      <c r="P418">
        <f t="shared" si="36"/>
        <v>22.577922000000004</v>
      </c>
      <c r="Q418" s="5">
        <f t="shared" si="39"/>
        <v>13.859251982142014</v>
      </c>
      <c r="R418" s="5">
        <f t="shared" si="40"/>
        <v>953.91065542890726</v>
      </c>
      <c r="S418">
        <v>0.6071387192498483</v>
      </c>
      <c r="T418">
        <v>0</v>
      </c>
      <c r="U418">
        <f t="shared" ref="U418" si="67">AVERAGE(3.9,4,2.7,2.8)</f>
        <v>3.3500000000000005</v>
      </c>
      <c r="V418">
        <v>0.46500000000000002</v>
      </c>
      <c r="W418">
        <f t="shared" ref="W418" si="68">AVERAGE(9,23)</f>
        <v>16</v>
      </c>
    </row>
    <row r="419" spans="1:23" x14ac:dyDescent="0.25">
      <c r="A419" t="s">
        <v>444</v>
      </c>
      <c r="B419" t="s">
        <v>47</v>
      </c>
      <c r="C419">
        <v>1.4319716309999999</v>
      </c>
      <c r="D419">
        <v>0.17376623399999999</v>
      </c>
      <c r="E419">
        <v>1.234900192</v>
      </c>
      <c r="F419">
        <v>0.13406673699999999</v>
      </c>
      <c r="G419">
        <v>0.97534818599999995</v>
      </c>
      <c r="H419">
        <v>0.85906356800000006</v>
      </c>
      <c r="I419">
        <v>100.62</v>
      </c>
      <c r="J419">
        <f t="shared" si="37"/>
        <v>1.0062</v>
      </c>
      <c r="K419" s="4">
        <v>17.100000000000001</v>
      </c>
      <c r="L419">
        <f t="shared" si="38"/>
        <v>290.25</v>
      </c>
      <c r="M419">
        <v>27</v>
      </c>
      <c r="N419">
        <v>0.09</v>
      </c>
      <c r="O419" s="5">
        <f t="shared" si="61"/>
        <v>429.59148929999998</v>
      </c>
      <c r="P419">
        <f t="shared" si="36"/>
        <v>52.129870199999999</v>
      </c>
      <c r="Q419" s="5">
        <f t="shared" si="39"/>
        <v>18.148312164757495</v>
      </c>
      <c r="R419" s="5">
        <f t="shared" si="40"/>
        <v>2202.2530265659275</v>
      </c>
      <c r="S419">
        <v>0.6071387192498483</v>
      </c>
      <c r="T419">
        <v>88.5</v>
      </c>
      <c r="U419">
        <f>AVERAGE(4.1,3.334)</f>
        <v>3.7169999999999996</v>
      </c>
      <c r="V419">
        <f>AVERAGE(0.461,0.46,0.464,0.467)</f>
        <v>0.46300000000000002</v>
      </c>
      <c r="W419">
        <f>AVERAGE(9,23)</f>
        <v>16</v>
      </c>
    </row>
    <row r="420" spans="1:23" x14ac:dyDescent="0.25">
      <c r="A420" t="s">
        <v>445</v>
      </c>
      <c r="B420" t="s">
        <v>47</v>
      </c>
      <c r="C420">
        <v>1.260249774</v>
      </c>
      <c r="D420">
        <v>0.15655844199999999</v>
      </c>
      <c r="E420">
        <v>0.91283199900000001</v>
      </c>
      <c r="F420">
        <v>0.101032055</v>
      </c>
      <c r="G420">
        <v>0.98107922400000003</v>
      </c>
      <c r="H420">
        <v>0.87663877499999998</v>
      </c>
      <c r="I420">
        <v>100.62</v>
      </c>
      <c r="J420">
        <f t="shared" si="37"/>
        <v>1.0062</v>
      </c>
      <c r="K420" s="4">
        <v>17.399999999999999</v>
      </c>
      <c r="L420">
        <f t="shared" si="38"/>
        <v>290.54999999999995</v>
      </c>
      <c r="M420">
        <v>27</v>
      </c>
      <c r="N420">
        <v>0.09</v>
      </c>
      <c r="O420" s="5">
        <f t="shared" si="61"/>
        <v>378.07493220000003</v>
      </c>
      <c r="P420">
        <f t="shared" si="36"/>
        <v>46.967532599999998</v>
      </c>
      <c r="Q420" s="5">
        <f t="shared" si="39"/>
        <v>15.955477414234474</v>
      </c>
      <c r="R420" s="5">
        <f t="shared" si="40"/>
        <v>1982.1187330272337</v>
      </c>
      <c r="S420">
        <v>0.67538561786649876</v>
      </c>
      <c r="T420">
        <v>0</v>
      </c>
      <c r="U420">
        <f t="shared" ref="U420" si="69">AVERAGE(4.1,3.334)</f>
        <v>3.7169999999999996</v>
      </c>
      <c r="V420">
        <f t="shared" ref="V420" si="70">AVERAGE(0.461,0.46,0.464,0.467)</f>
        <v>0.46300000000000002</v>
      </c>
      <c r="W420">
        <f t="shared" ref="W420" si="71">AVERAGE(9,23)</f>
        <v>16</v>
      </c>
    </row>
    <row r="421" spans="1:23" x14ac:dyDescent="0.25">
      <c r="A421" t="s">
        <v>446</v>
      </c>
      <c r="B421" t="s">
        <v>47</v>
      </c>
      <c r="C421">
        <v>2.0446209679999998</v>
      </c>
      <c r="D421">
        <v>0.38502941200000002</v>
      </c>
      <c r="E421">
        <v>2.0273009470000001</v>
      </c>
      <c r="F421">
        <v>0.247368595</v>
      </c>
      <c r="G421">
        <v>0.90600289099999998</v>
      </c>
      <c r="H421">
        <v>0.93094196799999995</v>
      </c>
      <c r="I421">
        <v>99.75</v>
      </c>
      <c r="J421">
        <f t="shared" si="37"/>
        <v>0.99750000000000005</v>
      </c>
      <c r="K421" s="4">
        <v>25.5</v>
      </c>
      <c r="L421">
        <f t="shared" si="38"/>
        <v>298.64999999999998</v>
      </c>
      <c r="M421">
        <v>27</v>
      </c>
      <c r="N421">
        <v>0.09</v>
      </c>
      <c r="O421" s="5">
        <f t="shared" si="61"/>
        <v>613.38629040000001</v>
      </c>
      <c r="P421">
        <f t="shared" si="36"/>
        <v>115.5088236</v>
      </c>
      <c r="Q421" s="5">
        <f t="shared" si="39"/>
        <v>24.966228304974148</v>
      </c>
      <c r="R421" s="5">
        <f t="shared" si="40"/>
        <v>4701.473942881893</v>
      </c>
      <c r="S421">
        <v>1.3606692537599483</v>
      </c>
      <c r="T421">
        <f>AVERAGE(464,602)</f>
        <v>533</v>
      </c>
      <c r="U421">
        <v>10.1</v>
      </c>
      <c r="V421">
        <v>0.45600000000000002</v>
      </c>
      <c r="W421">
        <f>AVERAGE(28,7)</f>
        <v>17.5</v>
      </c>
    </row>
    <row r="422" spans="1:23" x14ac:dyDescent="0.25">
      <c r="A422" t="s">
        <v>447</v>
      </c>
      <c r="B422" t="s">
        <v>47</v>
      </c>
      <c r="C422">
        <v>0.62002466899999997</v>
      </c>
      <c r="D422">
        <v>0.117482578</v>
      </c>
      <c r="E422">
        <v>1.3725987850000001</v>
      </c>
      <c r="F422">
        <v>0.12894250700000001</v>
      </c>
      <c r="G422">
        <v>0.79598356299999995</v>
      </c>
      <c r="H422">
        <v>0.95411823799999995</v>
      </c>
      <c r="I422">
        <v>99.75</v>
      </c>
      <c r="J422">
        <f t="shared" si="37"/>
        <v>0.99750000000000005</v>
      </c>
      <c r="K422" s="4">
        <v>25.5</v>
      </c>
      <c r="L422">
        <f t="shared" si="38"/>
        <v>298.64999999999998</v>
      </c>
      <c r="M422">
        <v>27</v>
      </c>
      <c r="N422">
        <v>0.09</v>
      </c>
      <c r="O422" s="5">
        <f t="shared" si="61"/>
        <v>186.00740070000001</v>
      </c>
      <c r="P422">
        <f t="shared" si="36"/>
        <v>35.2447734</v>
      </c>
      <c r="Q422" s="5">
        <f t="shared" si="39"/>
        <v>7.5709276600600841</v>
      </c>
      <c r="R422" s="5">
        <f t="shared" si="40"/>
        <v>1434.543081632396</v>
      </c>
      <c r="S422">
        <v>1.3606692537599483</v>
      </c>
      <c r="T422">
        <v>0</v>
      </c>
      <c r="U422">
        <v>9.1</v>
      </c>
      <c r="V422">
        <v>0.45600000000000002</v>
      </c>
      <c r="W422">
        <f t="shared" ref="W422" si="72">AVERAGE(28,7)</f>
        <v>17.5</v>
      </c>
    </row>
    <row r="423" spans="1:23" x14ac:dyDescent="0.25">
      <c r="A423" t="s">
        <v>448</v>
      </c>
      <c r="B423" t="s">
        <v>25</v>
      </c>
      <c r="C423">
        <v>-0.104123693</v>
      </c>
      <c r="D423">
        <v>0.34695588199999999</v>
      </c>
      <c r="E423">
        <v>0.33376927899999997</v>
      </c>
      <c r="F423">
        <v>0.20232900100000001</v>
      </c>
      <c r="G423">
        <v>0.63284582</v>
      </c>
      <c r="H423">
        <v>0.98359728700000004</v>
      </c>
      <c r="I423">
        <v>101.1</v>
      </c>
      <c r="J423">
        <f t="shared" si="37"/>
        <v>1.0109999999999999</v>
      </c>
      <c r="K423" s="4">
        <v>12.8</v>
      </c>
      <c r="L423">
        <f t="shared" si="38"/>
        <v>285.95</v>
      </c>
      <c r="M423">
        <v>216</v>
      </c>
      <c r="N423">
        <v>0.36</v>
      </c>
      <c r="O423" s="5">
        <f t="shared" si="61"/>
        <v>-62.474215800000003</v>
      </c>
      <c r="P423">
        <f t="shared" si="36"/>
        <v>208.17352920000002</v>
      </c>
      <c r="Q423" s="5">
        <f t="shared" si="39"/>
        <v>-2.6917229382310897</v>
      </c>
      <c r="R423" s="5">
        <f t="shared" si="40"/>
        <v>8969.227648635162</v>
      </c>
      <c r="S423">
        <v>0.28664179735161044</v>
      </c>
      <c r="T423">
        <f>AVERAGE(1376,1403,1492)</f>
        <v>1423.6666666666667</v>
      </c>
      <c r="U423">
        <v>6.8</v>
      </c>
      <c r="V423">
        <v>0.17799999999999999</v>
      </c>
      <c r="W423">
        <f>AVERAGE(45,45)</f>
        <v>45</v>
      </c>
    </row>
    <row r="424" spans="1:23" x14ac:dyDescent="0.25">
      <c r="A424" t="s">
        <v>449</v>
      </c>
      <c r="B424" t="s">
        <v>25</v>
      </c>
      <c r="C424">
        <v>0.487105764</v>
      </c>
      <c r="D424">
        <v>0.129181818</v>
      </c>
      <c r="E424">
        <v>0.29457571999999999</v>
      </c>
      <c r="F424">
        <v>6.0831692E-2</v>
      </c>
      <c r="G424">
        <v>0.98201919699999995</v>
      </c>
      <c r="H424">
        <v>0.94361589499999998</v>
      </c>
      <c r="I424">
        <v>101.1</v>
      </c>
      <c r="J424">
        <f t="shared" si="37"/>
        <v>1.0109999999999999</v>
      </c>
      <c r="K424" s="4">
        <v>12.05</v>
      </c>
      <c r="L424">
        <f t="shared" si="38"/>
        <v>285.2</v>
      </c>
      <c r="M424">
        <v>216</v>
      </c>
      <c r="N424">
        <v>0.36</v>
      </c>
      <c r="O424" s="5">
        <f t="shared" si="61"/>
        <v>292.26345839999999</v>
      </c>
      <c r="P424">
        <f t="shared" si="36"/>
        <v>77.50909080000001</v>
      </c>
      <c r="Q424" s="5">
        <f t="shared" si="39"/>
        <v>12.62538530295795</v>
      </c>
      <c r="R424" s="5">
        <f t="shared" si="40"/>
        <v>3348.2876757471277</v>
      </c>
      <c r="S424">
        <v>0.21449026038110697</v>
      </c>
      <c r="T424">
        <v>0</v>
      </c>
      <c r="U424">
        <v>7.8</v>
      </c>
      <c r="V424">
        <v>0.17799999999999999</v>
      </c>
      <c r="W424">
        <f t="shared" ref="W424" si="73">AVERAGE(45,45)</f>
        <v>45</v>
      </c>
    </row>
    <row r="425" spans="1:23" x14ac:dyDescent="0.25">
      <c r="A425" t="s">
        <v>450</v>
      </c>
      <c r="B425" t="s">
        <v>25</v>
      </c>
      <c r="C425">
        <v>0.204237903</v>
      </c>
      <c r="D425">
        <v>5.9896103999999999E-2</v>
      </c>
      <c r="E425">
        <v>1.985013071</v>
      </c>
      <c r="F425">
        <v>4.3931374000000002E-2</v>
      </c>
      <c r="G425">
        <v>0.85575161499999997</v>
      </c>
      <c r="H425">
        <v>0.92249694100000001</v>
      </c>
      <c r="I425">
        <v>99.42</v>
      </c>
      <c r="J425">
        <f t="shared" si="37"/>
        <v>0.99419999999999997</v>
      </c>
      <c r="K425" s="4">
        <v>13</v>
      </c>
      <c r="L425">
        <f t="shared" si="38"/>
        <v>286.14999999999998</v>
      </c>
      <c r="M425">
        <v>216</v>
      </c>
      <c r="N425">
        <v>0.36</v>
      </c>
      <c r="O425" s="5">
        <f t="shared" si="61"/>
        <v>122.54274180000002</v>
      </c>
      <c r="P425">
        <f t="shared" si="36"/>
        <v>35.937662400000001</v>
      </c>
      <c r="Q425" s="5">
        <f t="shared" si="39"/>
        <v>5.1884315200876072</v>
      </c>
      <c r="R425" s="5">
        <f t="shared" si="40"/>
        <v>1521.5923653703269</v>
      </c>
      <c r="S425">
        <v>7.6347231576084917E-2</v>
      </c>
      <c r="T425">
        <f>AVERAGE(181,163)</f>
        <v>172</v>
      </c>
      <c r="U425">
        <v>6.7</v>
      </c>
      <c r="V425">
        <v>0.16200000000000001</v>
      </c>
    </row>
    <row r="426" spans="1:23" x14ac:dyDescent="0.25">
      <c r="A426" t="s">
        <v>451</v>
      </c>
      <c r="B426" t="s">
        <v>25</v>
      </c>
      <c r="C426">
        <v>0.28552179700000002</v>
      </c>
      <c r="D426">
        <v>6.0701299E-2</v>
      </c>
      <c r="E426">
        <v>0.20487596499999999</v>
      </c>
      <c r="F426">
        <v>3.0976786999999999E-2</v>
      </c>
      <c r="G426">
        <v>0.65762226999999995</v>
      </c>
      <c r="H426">
        <v>0.90666817</v>
      </c>
      <c r="I426">
        <v>99.42</v>
      </c>
      <c r="J426">
        <f t="shared" si="37"/>
        <v>0.99419999999999997</v>
      </c>
      <c r="K426" s="4">
        <v>13</v>
      </c>
      <c r="L426">
        <f t="shared" si="38"/>
        <v>286.14999999999998</v>
      </c>
      <c r="M426">
        <v>216</v>
      </c>
      <c r="N426">
        <v>0.36</v>
      </c>
      <c r="O426" s="5">
        <f t="shared" si="61"/>
        <v>171.31307820000004</v>
      </c>
      <c r="P426">
        <f t="shared" si="36"/>
        <v>36.420779400000001</v>
      </c>
      <c r="Q426" s="5">
        <f t="shared" si="39"/>
        <v>7.2533563528942775</v>
      </c>
      <c r="R426" s="5">
        <f t="shared" si="40"/>
        <v>1542.0474281008571</v>
      </c>
      <c r="S426">
        <v>7.6347231576084917E-2</v>
      </c>
      <c r="T426">
        <v>0</v>
      </c>
      <c r="U426">
        <v>7.5</v>
      </c>
      <c r="V426">
        <v>0.16200000000000001</v>
      </c>
    </row>
    <row r="427" spans="1:23" x14ac:dyDescent="0.25">
      <c r="A427" t="s">
        <v>452</v>
      </c>
      <c r="B427" t="s">
        <v>25</v>
      </c>
      <c r="C427">
        <v>-0.227836551</v>
      </c>
      <c r="D427">
        <v>0.162040724</v>
      </c>
      <c r="E427">
        <v>0.52824934999999995</v>
      </c>
      <c r="F427">
        <v>0.110233602</v>
      </c>
      <c r="G427">
        <v>0.73065233600000001</v>
      </c>
      <c r="H427">
        <v>0.98363270400000002</v>
      </c>
      <c r="I427">
        <v>99</v>
      </c>
      <c r="J427">
        <f t="shared" si="37"/>
        <v>0.99</v>
      </c>
      <c r="K427" s="4">
        <v>19.899999999999999</v>
      </c>
      <c r="L427">
        <f t="shared" si="38"/>
        <v>293.04999999999995</v>
      </c>
      <c r="M427">
        <v>216</v>
      </c>
      <c r="N427">
        <v>0.36</v>
      </c>
      <c r="O427" s="5">
        <f t="shared" si="61"/>
        <v>-136.7019306</v>
      </c>
      <c r="P427">
        <f t="shared" si="36"/>
        <v>97.224434399999993</v>
      </c>
      <c r="Q427" s="5">
        <f t="shared" si="39"/>
        <v>-5.6277734239094892</v>
      </c>
      <c r="R427" s="5">
        <f t="shared" si="40"/>
        <v>4002.5556747400578</v>
      </c>
      <c r="S427">
        <v>0.73170786557214473</v>
      </c>
      <c r="T427">
        <f>AVERAGE(1278, 935)</f>
        <v>1106.5</v>
      </c>
      <c r="U427">
        <v>7.6</v>
      </c>
      <c r="V427">
        <v>0.158</v>
      </c>
      <c r="W427">
        <v>61</v>
      </c>
    </row>
    <row r="428" spans="1:23" x14ac:dyDescent="0.25">
      <c r="A428" t="s">
        <v>453</v>
      </c>
      <c r="B428" t="s">
        <v>25</v>
      </c>
      <c r="C428">
        <v>0.572151568</v>
      </c>
      <c r="D428">
        <v>0.216632353</v>
      </c>
      <c r="E428">
        <v>0.88857602700000005</v>
      </c>
      <c r="F428">
        <v>0.202489009</v>
      </c>
      <c r="G428">
        <v>0.84192375600000002</v>
      </c>
      <c r="H428">
        <v>0.95305922600000004</v>
      </c>
      <c r="I428">
        <v>99</v>
      </c>
      <c r="J428">
        <f t="shared" si="37"/>
        <v>0.99</v>
      </c>
      <c r="K428" s="4">
        <v>20.2</v>
      </c>
      <c r="L428">
        <f t="shared" si="38"/>
        <v>293.34999999999997</v>
      </c>
      <c r="M428">
        <v>216</v>
      </c>
      <c r="N428">
        <v>0.36</v>
      </c>
      <c r="O428" s="5">
        <f t="shared" si="61"/>
        <v>343.29094080000004</v>
      </c>
      <c r="P428">
        <f t="shared" si="36"/>
        <v>129.97941180000001</v>
      </c>
      <c r="Q428" s="5">
        <f t="shared" si="39"/>
        <v>14.118219583246326</v>
      </c>
      <c r="R428" s="5">
        <f t="shared" si="40"/>
        <v>5345.5470535201448</v>
      </c>
      <c r="S428">
        <v>0.75489216590060759</v>
      </c>
      <c r="T428">
        <v>0</v>
      </c>
      <c r="U428">
        <v>5.5</v>
      </c>
      <c r="V428">
        <v>0.159</v>
      </c>
      <c r="W428">
        <v>61</v>
      </c>
    </row>
    <row r="429" spans="1:23" x14ac:dyDescent="0.25">
      <c r="A429" t="s">
        <v>454</v>
      </c>
      <c r="B429" t="s">
        <v>25</v>
      </c>
      <c r="C429">
        <v>-0.137673718</v>
      </c>
      <c r="D429">
        <v>0.27071428600000003</v>
      </c>
      <c r="E429">
        <v>0.15804173499999999</v>
      </c>
      <c r="F429">
        <v>0.15602780299999999</v>
      </c>
      <c r="G429">
        <v>0.20963290300000001</v>
      </c>
      <c r="H429">
        <v>0.96905845499999999</v>
      </c>
      <c r="I429">
        <v>101.09</v>
      </c>
      <c r="J429">
        <f t="shared" si="37"/>
        <v>1.0109000000000001</v>
      </c>
      <c r="K429">
        <v>12.8</v>
      </c>
      <c r="L429">
        <f t="shared" si="38"/>
        <v>285.95</v>
      </c>
      <c r="M429">
        <v>216</v>
      </c>
      <c r="N429">
        <v>0.36</v>
      </c>
      <c r="O429" s="5">
        <f t="shared" si="61"/>
        <v>-82.604230799999996</v>
      </c>
      <c r="P429">
        <f t="shared" si="36"/>
        <v>162.4285716</v>
      </c>
      <c r="Q429" s="5">
        <f t="shared" si="39"/>
        <v>-3.5586794831020447</v>
      </c>
      <c r="R429" s="5">
        <f t="shared" si="40"/>
        <v>6997.5983024648103</v>
      </c>
      <c r="S429">
        <v>0.28664179735161044</v>
      </c>
      <c r="T429">
        <f>AVERAGE(1074,990,1100)</f>
        <v>1054.6666666666667</v>
      </c>
      <c r="U429">
        <v>5.9</v>
      </c>
      <c r="V429">
        <v>0.17799999999999999</v>
      </c>
      <c r="W429">
        <f>AVERAGE(66,63)</f>
        <v>64.5</v>
      </c>
    </row>
    <row r="430" spans="1:23" x14ac:dyDescent="0.25">
      <c r="A430" t="s">
        <v>455</v>
      </c>
      <c r="B430" t="s">
        <v>25</v>
      </c>
      <c r="C430">
        <v>0.32846472100000002</v>
      </c>
      <c r="D430">
        <v>0.27722058799999999</v>
      </c>
      <c r="E430">
        <v>0.24134950899999999</v>
      </c>
      <c r="F430">
        <v>0.26959676700000001</v>
      </c>
      <c r="G430">
        <v>0.96475813399999999</v>
      </c>
      <c r="H430">
        <v>0.91444646600000001</v>
      </c>
      <c r="I430">
        <v>101.09</v>
      </c>
      <c r="J430">
        <f t="shared" si="37"/>
        <v>1.0109000000000001</v>
      </c>
      <c r="K430" s="4">
        <v>12.8</v>
      </c>
      <c r="L430">
        <f t="shared" si="38"/>
        <v>285.95</v>
      </c>
      <c r="M430">
        <v>216</v>
      </c>
      <c r="N430">
        <v>0.36</v>
      </c>
      <c r="O430" s="5">
        <f t="shared" si="61"/>
        <v>197.07883260000003</v>
      </c>
      <c r="P430">
        <f t="shared" si="36"/>
        <v>166.3323528</v>
      </c>
      <c r="Q430" s="5">
        <f t="shared" si="39"/>
        <v>8.4903689718435409</v>
      </c>
      <c r="R430" s="5">
        <f t="shared" si="40"/>
        <v>7165.7774130069247</v>
      </c>
      <c r="S430">
        <v>0.28664179735161044</v>
      </c>
      <c r="T430">
        <v>0</v>
      </c>
      <c r="U430">
        <v>6.8</v>
      </c>
      <c r="V430">
        <v>0.17799999999999999</v>
      </c>
      <c r="W430">
        <f t="shared" ref="W430" si="74">AVERAGE(66,63)</f>
        <v>64.5</v>
      </c>
    </row>
    <row r="431" spans="1:23" x14ac:dyDescent="0.25">
      <c r="A431" t="s">
        <v>456</v>
      </c>
      <c r="B431" t="s">
        <v>25</v>
      </c>
      <c r="C431">
        <v>0.18216644100000001</v>
      </c>
      <c r="D431">
        <v>4.9636364000000002E-2</v>
      </c>
      <c r="E431">
        <v>0.211038899</v>
      </c>
      <c r="F431">
        <v>6.4445827999999997E-2</v>
      </c>
      <c r="G431">
        <v>0.97044835500000004</v>
      </c>
      <c r="H431">
        <v>0.95312704699999995</v>
      </c>
      <c r="I431">
        <v>99.42</v>
      </c>
      <c r="J431">
        <f t="shared" si="37"/>
        <v>0.99419999999999997</v>
      </c>
      <c r="K431">
        <v>13.55</v>
      </c>
      <c r="L431">
        <f t="shared" si="38"/>
        <v>286.7</v>
      </c>
      <c r="M431">
        <v>216</v>
      </c>
      <c r="N431">
        <v>0.36</v>
      </c>
      <c r="O431" s="5">
        <f t="shared" si="61"/>
        <v>109.29986460000001</v>
      </c>
      <c r="P431">
        <f t="shared" si="36"/>
        <v>29.781818399999999</v>
      </c>
      <c r="Q431" s="5">
        <f t="shared" si="39"/>
        <v>4.6188533892535784</v>
      </c>
      <c r="R431" s="5">
        <f t="shared" si="40"/>
        <v>1258.5363518828601</v>
      </c>
      <c r="S431">
        <v>0.11094755377066079</v>
      </c>
      <c r="T431">
        <f>AVERAGE(151,162)</f>
        <v>156.5</v>
      </c>
      <c r="U431">
        <v>5.0999999999999996</v>
      </c>
      <c r="V431">
        <v>0.161</v>
      </c>
    </row>
    <row r="432" spans="1:23" x14ac:dyDescent="0.25">
      <c r="A432" t="s">
        <v>457</v>
      </c>
      <c r="B432" t="s">
        <v>25</v>
      </c>
      <c r="C432">
        <v>0.27516297899999997</v>
      </c>
      <c r="D432">
        <v>4.9727273000000002E-2</v>
      </c>
      <c r="E432">
        <v>0.138802541</v>
      </c>
      <c r="F432">
        <v>3.3131011000000002E-2</v>
      </c>
      <c r="G432">
        <v>0.978252538</v>
      </c>
      <c r="H432">
        <v>0.91484304800000005</v>
      </c>
      <c r="I432">
        <v>99.42</v>
      </c>
      <c r="J432">
        <f t="shared" si="37"/>
        <v>0.99419999999999997</v>
      </c>
      <c r="K432">
        <v>14.1</v>
      </c>
      <c r="L432">
        <f t="shared" si="38"/>
        <v>287.25</v>
      </c>
      <c r="M432">
        <v>216</v>
      </c>
      <c r="N432">
        <v>0.36</v>
      </c>
      <c r="O432" s="5">
        <f t="shared" si="61"/>
        <v>165.09778739999999</v>
      </c>
      <c r="P432">
        <f t="shared" si="36"/>
        <v>29.836363800000001</v>
      </c>
      <c r="Q432" s="5">
        <f t="shared" si="39"/>
        <v>6.9634339700951164</v>
      </c>
      <c r="R432" s="5">
        <f t="shared" si="40"/>
        <v>1258.4272175959895</v>
      </c>
      <c r="S432">
        <v>0.1149844356406271</v>
      </c>
      <c r="T432">
        <f>AVERAGE(78,89)</f>
        <v>83.5</v>
      </c>
      <c r="U432">
        <v>6</v>
      </c>
      <c r="V432">
        <v>0.161</v>
      </c>
    </row>
    <row r="433" spans="1:23" x14ac:dyDescent="0.25">
      <c r="A433" t="s">
        <v>458</v>
      </c>
      <c r="B433" t="s">
        <v>25</v>
      </c>
      <c r="C433">
        <v>-0.11209058099999999</v>
      </c>
      <c r="D433">
        <v>9.6113365000000006E-2</v>
      </c>
      <c r="E433">
        <v>0.14557279000000001</v>
      </c>
      <c r="F433">
        <v>2.3388308E-2</v>
      </c>
      <c r="G433">
        <v>0.92633608599999995</v>
      </c>
      <c r="H433">
        <v>0.99721590999999998</v>
      </c>
      <c r="I433">
        <v>99.02</v>
      </c>
      <c r="J433">
        <f t="shared" si="37"/>
        <v>0.99019999999999997</v>
      </c>
      <c r="K433">
        <v>18.5</v>
      </c>
      <c r="L433">
        <f t="shared" si="38"/>
        <v>291.64999999999998</v>
      </c>
      <c r="M433">
        <v>216</v>
      </c>
      <c r="N433">
        <v>0.36</v>
      </c>
      <c r="O433" s="5">
        <f t="shared" si="61"/>
        <v>-67.2543486</v>
      </c>
      <c r="P433">
        <f t="shared" si="36"/>
        <v>57.668019000000008</v>
      </c>
      <c r="Q433" s="5">
        <f t="shared" si="39"/>
        <v>-2.782593710987169</v>
      </c>
      <c r="R433" s="5">
        <f t="shared" si="40"/>
        <v>2385.9671580327908</v>
      </c>
      <c r="S433">
        <v>0.56838866289943613</v>
      </c>
      <c r="T433">
        <f>AVERAGE(1563, 1044)</f>
        <v>1303.5</v>
      </c>
      <c r="U433">
        <v>5.2</v>
      </c>
      <c r="V433">
        <v>0.158</v>
      </c>
      <c r="W433">
        <f>AVERAGE(62,65)</f>
        <v>63.5</v>
      </c>
    </row>
    <row r="434" spans="1:23" x14ac:dyDescent="0.25">
      <c r="A434" t="s">
        <v>459</v>
      </c>
      <c r="B434" t="s">
        <v>25</v>
      </c>
      <c r="C434">
        <v>0.27164350100000001</v>
      </c>
      <c r="D434">
        <v>0.259929825</v>
      </c>
      <c r="E434">
        <v>0.52552764200000002</v>
      </c>
      <c r="F434">
        <v>0.29586696499999998</v>
      </c>
      <c r="G434">
        <v>0.94193215799999996</v>
      </c>
      <c r="H434">
        <v>0.94892045199999997</v>
      </c>
      <c r="I434">
        <v>99.02</v>
      </c>
      <c r="J434">
        <f t="shared" si="37"/>
        <v>0.99019999999999997</v>
      </c>
      <c r="K434" s="4">
        <v>19.05</v>
      </c>
      <c r="L434">
        <f t="shared" si="38"/>
        <v>292.2</v>
      </c>
      <c r="M434">
        <v>216</v>
      </c>
      <c r="N434">
        <v>0.36</v>
      </c>
      <c r="O434" s="5">
        <f t="shared" si="61"/>
        <v>162.98610060000001</v>
      </c>
      <c r="P434">
        <f t="shared" si="36"/>
        <v>155.95789500000001</v>
      </c>
      <c r="Q434" s="5">
        <f t="shared" si="39"/>
        <v>6.7307237677594562</v>
      </c>
      <c r="R434" s="5">
        <f t="shared" si="40"/>
        <v>6440.4848436887723</v>
      </c>
      <c r="S434">
        <v>0.63674744416799012</v>
      </c>
      <c r="T434">
        <v>0</v>
      </c>
      <c r="U434">
        <v>5.7</v>
      </c>
      <c r="V434">
        <v>0.158</v>
      </c>
      <c r="W434">
        <f t="shared" ref="W434" si="75">AVERAGE(62,65)</f>
        <v>63.5</v>
      </c>
    </row>
    <row r="435" spans="1:23" x14ac:dyDescent="0.25">
      <c r="A435" t="s">
        <v>460</v>
      </c>
      <c r="B435" t="s">
        <v>25</v>
      </c>
      <c r="C435">
        <v>0.26689868700000002</v>
      </c>
      <c r="D435">
        <v>0.154938462</v>
      </c>
      <c r="E435">
        <v>0.23067604899999999</v>
      </c>
      <c r="F435">
        <v>5.3088475000000003E-2</v>
      </c>
      <c r="G435">
        <v>0.84194829000000004</v>
      </c>
      <c r="H435">
        <v>0.98872713700000003</v>
      </c>
      <c r="I435">
        <v>101.09</v>
      </c>
      <c r="J435">
        <f t="shared" si="37"/>
        <v>1.0109000000000001</v>
      </c>
      <c r="K435">
        <v>11.8</v>
      </c>
      <c r="L435">
        <f t="shared" si="38"/>
        <v>284.95</v>
      </c>
      <c r="M435">
        <v>216</v>
      </c>
      <c r="N435">
        <v>0.36</v>
      </c>
      <c r="O435" s="5">
        <f t="shared" si="61"/>
        <v>160.13921220000003</v>
      </c>
      <c r="P435">
        <f t="shared" si="36"/>
        <v>92.963077200000001</v>
      </c>
      <c r="Q435" s="5">
        <f t="shared" si="39"/>
        <v>6.9231813874406303</v>
      </c>
      <c r="R435" s="5">
        <f t="shared" si="40"/>
        <v>4019.0046956547112</v>
      </c>
      <c r="S435">
        <v>0.21305752277188827</v>
      </c>
      <c r="T435">
        <f>AVERAGE(690,511,785)</f>
        <v>662</v>
      </c>
      <c r="U435">
        <v>5.6</v>
      </c>
      <c r="V435">
        <v>0.17699999999999999</v>
      </c>
      <c r="W435">
        <f>AVERAGE(79,77)</f>
        <v>78</v>
      </c>
    </row>
    <row r="436" spans="1:23" x14ac:dyDescent="0.25">
      <c r="A436" t="s">
        <v>461</v>
      </c>
      <c r="B436" t="s">
        <v>25</v>
      </c>
      <c r="C436">
        <v>0.45122809400000002</v>
      </c>
      <c r="D436">
        <v>0.105657405</v>
      </c>
      <c r="E436">
        <v>0.217082672</v>
      </c>
      <c r="F436">
        <v>4.3134097000000003E-2</v>
      </c>
      <c r="G436">
        <v>4.5259266999999999E-2</v>
      </c>
      <c r="H436">
        <v>0.99220338200000002</v>
      </c>
      <c r="I436">
        <v>101.09</v>
      </c>
      <c r="J436">
        <f t="shared" si="37"/>
        <v>1.0109000000000001</v>
      </c>
      <c r="K436">
        <v>12.3</v>
      </c>
      <c r="L436">
        <f t="shared" si="38"/>
        <v>285.45</v>
      </c>
      <c r="M436">
        <v>216</v>
      </c>
      <c r="N436">
        <v>0.36</v>
      </c>
      <c r="O436" s="5">
        <f t="shared" si="61"/>
        <v>270.73685640000002</v>
      </c>
      <c r="P436">
        <f t="shared" si="36"/>
        <v>63.394442999999995</v>
      </c>
      <c r="Q436" s="5">
        <f t="shared" si="39"/>
        <v>11.684066455983851</v>
      </c>
      <c r="R436" s="5">
        <f t="shared" si="40"/>
        <v>2735.8849282704468</v>
      </c>
      <c r="S436">
        <v>0.24879085884525964</v>
      </c>
      <c r="T436">
        <v>0</v>
      </c>
      <c r="U436">
        <v>6.7</v>
      </c>
      <c r="V436">
        <v>0.17799999999999999</v>
      </c>
      <c r="W436">
        <f t="shared" ref="W436" si="76">AVERAGE(79,77)</f>
        <v>78</v>
      </c>
    </row>
    <row r="437" spans="1:23" x14ac:dyDescent="0.25">
      <c r="A437" t="s">
        <v>462</v>
      </c>
      <c r="B437" t="s">
        <v>25</v>
      </c>
      <c r="C437">
        <v>0.52028303200000003</v>
      </c>
      <c r="D437">
        <v>6.1057312000000002E-2</v>
      </c>
      <c r="E437">
        <v>0.34764561799999999</v>
      </c>
      <c r="F437">
        <v>4.2696547000000001E-2</v>
      </c>
      <c r="G437">
        <v>0.946285508</v>
      </c>
      <c r="H437">
        <v>0.954414345</v>
      </c>
      <c r="I437">
        <v>99.43</v>
      </c>
      <c r="J437">
        <f t="shared" si="37"/>
        <v>0.99430000000000007</v>
      </c>
      <c r="K437">
        <v>14.1</v>
      </c>
      <c r="L437">
        <f t="shared" si="38"/>
        <v>287.25</v>
      </c>
      <c r="M437">
        <v>216</v>
      </c>
      <c r="N437">
        <v>0.36</v>
      </c>
      <c r="O437" s="5">
        <f t="shared" si="61"/>
        <v>312.16981920000001</v>
      </c>
      <c r="P437">
        <f t="shared" si="36"/>
        <v>36.634387199999999</v>
      </c>
      <c r="Q437" s="5">
        <f t="shared" si="39"/>
        <v>13.167908566363913</v>
      </c>
      <c r="R437" s="5">
        <f t="shared" si="40"/>
        <v>1545.307173738378</v>
      </c>
      <c r="S437">
        <v>0.14795200110402362</v>
      </c>
      <c r="T437">
        <f>AVERAGE(171, 195)</f>
        <v>183</v>
      </c>
      <c r="U437">
        <v>5</v>
      </c>
      <c r="V437">
        <v>0.161</v>
      </c>
    </row>
    <row r="438" spans="1:23" x14ac:dyDescent="0.25">
      <c r="A438" t="s">
        <v>463</v>
      </c>
      <c r="B438" t="s">
        <v>25</v>
      </c>
      <c r="C438">
        <v>0.52954750500000003</v>
      </c>
      <c r="D438">
        <v>5.8467532000000003E-2</v>
      </c>
      <c r="E438">
        <v>0.39847051700000002</v>
      </c>
      <c r="F438">
        <v>1.9328106000000001E-2</v>
      </c>
      <c r="G438">
        <v>0.98133840000000006</v>
      </c>
      <c r="H438">
        <v>0.80792458</v>
      </c>
      <c r="I438">
        <v>99.43</v>
      </c>
      <c r="J438">
        <f t="shared" si="37"/>
        <v>0.99430000000000007</v>
      </c>
      <c r="K438" s="4">
        <v>14.7</v>
      </c>
      <c r="L438">
        <f t="shared" si="38"/>
        <v>287.84999999999997</v>
      </c>
      <c r="M438">
        <v>216</v>
      </c>
      <c r="N438">
        <v>0.36</v>
      </c>
      <c r="O438" s="5">
        <f t="shared" si="61"/>
        <v>317.72850300000005</v>
      </c>
      <c r="P438">
        <f t="shared" si="36"/>
        <v>35.080519200000005</v>
      </c>
      <c r="Q438" s="5">
        <f t="shared" si="39"/>
        <v>13.374448092455648</v>
      </c>
      <c r="R438" s="5">
        <f t="shared" si="40"/>
        <v>1476.6776624280187</v>
      </c>
      <c r="S438">
        <v>0.21064916187821603</v>
      </c>
      <c r="T438">
        <v>0</v>
      </c>
      <c r="U438">
        <v>4.4000000000000004</v>
      </c>
      <c r="V438">
        <v>0.161</v>
      </c>
    </row>
    <row r="439" spans="1:23" x14ac:dyDescent="0.25">
      <c r="A439" t="s">
        <v>464</v>
      </c>
      <c r="B439" t="s">
        <v>25</v>
      </c>
      <c r="C439">
        <v>-0.267556821</v>
      </c>
      <c r="D439">
        <v>0.21335384600000001</v>
      </c>
      <c r="E439">
        <v>0.26783297</v>
      </c>
      <c r="F439">
        <v>6.3628694999999999E-2</v>
      </c>
      <c r="G439">
        <v>0.95488597500000005</v>
      </c>
      <c r="H439">
        <v>0.98965794699999998</v>
      </c>
      <c r="I439">
        <v>99</v>
      </c>
      <c r="J439">
        <f t="shared" si="37"/>
        <v>0.99</v>
      </c>
      <c r="K439">
        <v>19.600000000000001</v>
      </c>
      <c r="L439">
        <f t="shared" si="38"/>
        <v>292.75</v>
      </c>
      <c r="M439">
        <v>216</v>
      </c>
      <c r="N439">
        <v>0.36</v>
      </c>
      <c r="O439" s="5">
        <f t="shared" si="61"/>
        <v>-160.53409260000001</v>
      </c>
      <c r="P439">
        <f t="shared" si="36"/>
        <v>128.01230760000001</v>
      </c>
      <c r="Q439" s="5">
        <f t="shared" si="39"/>
        <v>-6.6156733819768636</v>
      </c>
      <c r="R439" s="5">
        <f t="shared" si="40"/>
        <v>5275.4377729902499</v>
      </c>
      <c r="S439">
        <v>0.70909090112481987</v>
      </c>
      <c r="T439">
        <f>AVERAGE(1364,1270)</f>
        <v>1317</v>
      </c>
      <c r="U439">
        <v>6.2</v>
      </c>
      <c r="V439">
        <v>0.158</v>
      </c>
      <c r="W439">
        <f>AVERAGE(80,87)</f>
        <v>83.5</v>
      </c>
    </row>
    <row r="440" spans="1:23" x14ac:dyDescent="0.25">
      <c r="A440" t="s">
        <v>465</v>
      </c>
      <c r="B440" t="s">
        <v>25</v>
      </c>
      <c r="C440">
        <v>0.153738763</v>
      </c>
      <c r="D440">
        <v>0.15296103899999999</v>
      </c>
      <c r="E440">
        <v>0.311384893</v>
      </c>
      <c r="F440">
        <v>0.15968979999999999</v>
      </c>
      <c r="G440">
        <v>0.71747490000000003</v>
      </c>
      <c r="H440">
        <v>0.98146124199999996</v>
      </c>
      <c r="I440">
        <v>99</v>
      </c>
      <c r="J440">
        <f t="shared" si="37"/>
        <v>0.99</v>
      </c>
      <c r="K440">
        <v>19.600000000000001</v>
      </c>
      <c r="L440">
        <f t="shared" si="38"/>
        <v>292.75</v>
      </c>
      <c r="M440">
        <v>216</v>
      </c>
      <c r="N440">
        <v>0.36</v>
      </c>
      <c r="O440" s="5">
        <f t="shared" si="61"/>
        <v>92.243257800000009</v>
      </c>
      <c r="P440">
        <f t="shared" si="36"/>
        <v>91.776623399999991</v>
      </c>
      <c r="Q440" s="5">
        <f t="shared" si="39"/>
        <v>3.8013810986233443</v>
      </c>
      <c r="R440" s="5">
        <f t="shared" si="40"/>
        <v>3782.1509106352578</v>
      </c>
      <c r="S440">
        <v>0.70909090112481987</v>
      </c>
      <c r="T440">
        <v>0</v>
      </c>
      <c r="U440">
        <v>6.8</v>
      </c>
      <c r="V440">
        <v>0.158</v>
      </c>
      <c r="W440">
        <f t="shared" ref="W440" si="77">AVERAGE(80,87)</f>
        <v>83.5</v>
      </c>
    </row>
    <row r="441" spans="1:23" x14ac:dyDescent="0.25">
      <c r="A441" t="s">
        <v>466</v>
      </c>
      <c r="B441" t="s">
        <v>25</v>
      </c>
      <c r="C441">
        <v>9.3320465000000005E-2</v>
      </c>
      <c r="D441">
        <v>0.147083624</v>
      </c>
      <c r="E441">
        <v>0.121964118</v>
      </c>
      <c r="F441">
        <v>5.2795158000000002E-2</v>
      </c>
      <c r="G441">
        <v>0.87566875399999999</v>
      </c>
      <c r="H441">
        <v>0.98265325999999997</v>
      </c>
      <c r="I441">
        <v>101.12</v>
      </c>
      <c r="J441">
        <f t="shared" si="37"/>
        <v>1.0112000000000001</v>
      </c>
      <c r="K441">
        <v>10.8</v>
      </c>
      <c r="L441">
        <f t="shared" si="38"/>
        <v>283.95</v>
      </c>
      <c r="M441">
        <v>216</v>
      </c>
      <c r="N441">
        <v>0.36</v>
      </c>
      <c r="O441" s="5">
        <f t="shared" si="61"/>
        <v>55.992279000000003</v>
      </c>
      <c r="P441">
        <f t="shared" si="36"/>
        <v>88.250174400000006</v>
      </c>
      <c r="Q441" s="5">
        <f t="shared" si="39"/>
        <v>2.4299191283509334</v>
      </c>
      <c r="R441" s="5">
        <f t="shared" si="40"/>
        <v>3829.8278027737692</v>
      </c>
      <c r="S441">
        <v>0.11393843201391296</v>
      </c>
      <c r="T441">
        <f>AVERAGE(1220,1223,1377)</f>
        <v>1273.3333333333333</v>
      </c>
      <c r="U441">
        <v>8</v>
      </c>
      <c r="V441">
        <v>0.17799999999999999</v>
      </c>
      <c r="W441">
        <f>AVERAGE(77,69)</f>
        <v>73</v>
      </c>
    </row>
    <row r="442" spans="1:23" x14ac:dyDescent="0.25">
      <c r="A442" t="s">
        <v>467</v>
      </c>
      <c r="B442" t="s">
        <v>25</v>
      </c>
      <c r="C442">
        <v>0.21740705799999999</v>
      </c>
      <c r="D442">
        <v>0.21759740299999999</v>
      </c>
      <c r="E442">
        <v>0.146367896</v>
      </c>
      <c r="F442">
        <v>0.22060058099999999</v>
      </c>
      <c r="G442">
        <v>0.97907693799999995</v>
      </c>
      <c r="H442">
        <v>0.95783070800000003</v>
      </c>
      <c r="I442">
        <v>101.12</v>
      </c>
      <c r="J442">
        <f t="shared" si="37"/>
        <v>1.0112000000000001</v>
      </c>
      <c r="K442" s="4">
        <v>10.8</v>
      </c>
      <c r="L442">
        <f t="shared" si="38"/>
        <v>283.95</v>
      </c>
      <c r="M442">
        <v>216</v>
      </c>
      <c r="N442">
        <v>0.36</v>
      </c>
      <c r="O442" s="5">
        <f t="shared" si="61"/>
        <v>130.4442348</v>
      </c>
      <c r="P442">
        <f t="shared" si="36"/>
        <v>130.5584418</v>
      </c>
      <c r="Q442" s="5">
        <f t="shared" si="39"/>
        <v>5.6609401686189722</v>
      </c>
      <c r="R442" s="5">
        <f t="shared" si="40"/>
        <v>5665.896455072173</v>
      </c>
      <c r="S442">
        <v>0.11393843201391296</v>
      </c>
      <c r="T442">
        <v>0</v>
      </c>
      <c r="U442">
        <v>6.7</v>
      </c>
      <c r="V442">
        <v>0.17799999999999999</v>
      </c>
      <c r="W442">
        <f t="shared" ref="W442" si="78">AVERAGE(77,69)</f>
        <v>73</v>
      </c>
    </row>
    <row r="443" spans="1:23" x14ac:dyDescent="0.25">
      <c r="A443" t="s">
        <v>468</v>
      </c>
      <c r="B443" t="s">
        <v>25</v>
      </c>
      <c r="C443">
        <v>7.2813588999999998E-2</v>
      </c>
      <c r="D443">
        <v>0.15403418799999999</v>
      </c>
      <c r="E443">
        <v>0.39331342499999999</v>
      </c>
      <c r="F443">
        <v>7.0161821999999999E-2</v>
      </c>
      <c r="G443">
        <v>1.814261E-3</v>
      </c>
      <c r="H443">
        <v>0.95549957600000002</v>
      </c>
      <c r="I443">
        <v>99.02</v>
      </c>
      <c r="J443">
        <f t="shared" si="37"/>
        <v>0.99019999999999997</v>
      </c>
      <c r="K443">
        <v>18.05</v>
      </c>
      <c r="L443">
        <f t="shared" si="38"/>
        <v>291.2</v>
      </c>
      <c r="M443">
        <v>216</v>
      </c>
      <c r="N443">
        <v>0.36</v>
      </c>
      <c r="O443" s="5">
        <f t="shared" si="61"/>
        <v>43.688153400000004</v>
      </c>
      <c r="P443">
        <f t="shared" si="36"/>
        <v>92.420512799999997</v>
      </c>
      <c r="Q443" s="5">
        <f t="shared" si="39"/>
        <v>1.8103549222510069</v>
      </c>
      <c r="R443" s="5">
        <f t="shared" si="40"/>
        <v>3829.7322556197155</v>
      </c>
      <c r="S443">
        <v>0.53393321056582166</v>
      </c>
      <c r="T443">
        <f>AVERAGE(1041,835)</f>
        <v>938</v>
      </c>
      <c r="U443">
        <v>5.7</v>
      </c>
      <c r="V443">
        <v>0.158</v>
      </c>
      <c r="W443">
        <f>AVERAGE(82,74)</f>
        <v>78</v>
      </c>
    </row>
    <row r="444" spans="1:23" x14ac:dyDescent="0.25">
      <c r="A444" t="s">
        <v>469</v>
      </c>
      <c r="B444" t="s">
        <v>25</v>
      </c>
      <c r="C444">
        <v>0.18471221700000001</v>
      </c>
      <c r="D444">
        <v>0.123134783</v>
      </c>
      <c r="E444">
        <v>0.224357898</v>
      </c>
      <c r="F444">
        <v>6.2803305000000004E-2</v>
      </c>
      <c r="G444">
        <v>0.88988149900000002</v>
      </c>
      <c r="H444">
        <v>0.985125794</v>
      </c>
      <c r="I444">
        <v>99.02</v>
      </c>
      <c r="J444">
        <f t="shared" si="37"/>
        <v>0.99019999999999997</v>
      </c>
      <c r="K444">
        <v>18.5</v>
      </c>
      <c r="L444">
        <f t="shared" si="38"/>
        <v>291.64999999999998</v>
      </c>
      <c r="M444">
        <v>216</v>
      </c>
      <c r="N444">
        <v>0.36</v>
      </c>
      <c r="O444" s="5">
        <f t="shared" si="61"/>
        <v>110.82733020000001</v>
      </c>
      <c r="P444">
        <f t="shared" si="36"/>
        <v>73.880869799999999</v>
      </c>
      <c r="Q444" s="5">
        <f t="shared" si="39"/>
        <v>4.5853902154963162</v>
      </c>
      <c r="R444" s="5">
        <f t="shared" si="40"/>
        <v>3056.7606102386944</v>
      </c>
      <c r="S444">
        <v>0.56838866289943613</v>
      </c>
      <c r="T444">
        <v>0</v>
      </c>
      <c r="U444">
        <v>7.1</v>
      </c>
      <c r="V444">
        <v>0.159</v>
      </c>
      <c r="W444">
        <f t="shared" ref="W444" si="79">AVERAGE(82,74)</f>
        <v>78</v>
      </c>
    </row>
    <row r="445" spans="1:23" x14ac:dyDescent="0.25">
      <c r="A445" t="s">
        <v>470</v>
      </c>
      <c r="B445" t="s">
        <v>25</v>
      </c>
      <c r="C445">
        <v>0.164646341</v>
      </c>
      <c r="D445">
        <v>0.27893506499999998</v>
      </c>
      <c r="E445">
        <v>1.6718137989999999</v>
      </c>
      <c r="F445">
        <v>0.13558479600000001</v>
      </c>
      <c r="G445">
        <v>0.711794547</v>
      </c>
      <c r="H445">
        <v>0.95084999100000001</v>
      </c>
      <c r="I445">
        <v>101.1</v>
      </c>
      <c r="J445">
        <f t="shared" si="37"/>
        <v>1.0109999999999999</v>
      </c>
      <c r="K445">
        <v>11.3</v>
      </c>
      <c r="L445">
        <f t="shared" si="38"/>
        <v>284.45</v>
      </c>
      <c r="M445">
        <v>216</v>
      </c>
      <c r="N445">
        <v>0.36</v>
      </c>
      <c r="O445" s="5">
        <f t="shared" si="61"/>
        <v>98.787804600000001</v>
      </c>
      <c r="P445">
        <f t="shared" ref="P445:P452" si="80">D445*M445/N445</f>
        <v>167.36103900000001</v>
      </c>
      <c r="Q445" s="5">
        <f t="shared" si="39"/>
        <v>4.2787512487957846</v>
      </c>
      <c r="R445" s="5">
        <f t="shared" si="40"/>
        <v>7248.8325610690817</v>
      </c>
      <c r="S445">
        <v>0.14857077048154554</v>
      </c>
      <c r="T445">
        <f>AVERAGE(948,762,947)</f>
        <v>885.66666666666663</v>
      </c>
      <c r="U445">
        <v>6.9</v>
      </c>
      <c r="V445">
        <v>0.17799999999999999</v>
      </c>
      <c r="W445">
        <f>AVERAGE(47,48)</f>
        <v>47.5</v>
      </c>
    </row>
    <row r="446" spans="1:23" x14ac:dyDescent="0.25">
      <c r="A446" t="s">
        <v>471</v>
      </c>
      <c r="B446" t="s">
        <v>25</v>
      </c>
      <c r="C446">
        <v>0.40538327499999999</v>
      </c>
      <c r="D446">
        <v>0.24798701300000001</v>
      </c>
      <c r="E446">
        <v>0.41164681400000003</v>
      </c>
      <c r="F446">
        <v>0.16374259399999999</v>
      </c>
      <c r="G446">
        <v>0.94725368600000004</v>
      </c>
      <c r="H446">
        <v>0.935353408</v>
      </c>
      <c r="I446">
        <v>101.1</v>
      </c>
      <c r="J446">
        <f t="shared" ref="J446:J452" si="81">I446/100</f>
        <v>1.0109999999999999</v>
      </c>
      <c r="K446" s="4">
        <v>11.3</v>
      </c>
      <c r="L446">
        <f t="shared" ref="L446:L452" si="82">K446+273.15</f>
        <v>284.45</v>
      </c>
      <c r="M446">
        <v>216</v>
      </c>
      <c r="N446">
        <v>0.36</v>
      </c>
      <c r="O446" s="5">
        <f t="shared" si="61"/>
        <v>243.22996499999999</v>
      </c>
      <c r="P446">
        <f t="shared" si="80"/>
        <v>148.7922078</v>
      </c>
      <c r="Q446" s="5">
        <f t="shared" ref="Q446:Q452" si="83">(O446*J446)/(0.08206*L446)</f>
        <v>10.53490884529997</v>
      </c>
      <c r="R446" s="5">
        <f t="shared" ref="R446:R452" si="84">(P446*J446)/(0.08206*L446)*1000</f>
        <v>6444.5692210000989</v>
      </c>
      <c r="S446">
        <v>0.14857077048154554</v>
      </c>
      <c r="T446">
        <f>AVERAGE(374,512,368)</f>
        <v>418</v>
      </c>
      <c r="U446">
        <v>6.9</v>
      </c>
      <c r="V446">
        <v>0.17799999999999999</v>
      </c>
      <c r="W446">
        <f t="shared" ref="W446" si="85">AVERAGE(47,48)</f>
        <v>47.5</v>
      </c>
    </row>
    <row r="447" spans="1:23" x14ac:dyDescent="0.25">
      <c r="A447" t="s">
        <v>472</v>
      </c>
      <c r="B447" t="s">
        <v>25</v>
      </c>
      <c r="C447">
        <v>0.25367058799999997</v>
      </c>
      <c r="D447">
        <v>0.18629870100000001</v>
      </c>
      <c r="E447">
        <v>0.36528860800000001</v>
      </c>
      <c r="F447">
        <v>0.13789025299999999</v>
      </c>
      <c r="G447">
        <v>0.932567335</v>
      </c>
      <c r="H447">
        <v>0.98225767600000002</v>
      </c>
      <c r="I447">
        <v>99.02</v>
      </c>
      <c r="J447">
        <f t="shared" si="81"/>
        <v>0.99019999999999997</v>
      </c>
      <c r="K447">
        <v>17.600000000000001</v>
      </c>
      <c r="L447">
        <f t="shared" si="82"/>
        <v>290.75</v>
      </c>
      <c r="M447">
        <v>216</v>
      </c>
      <c r="N447">
        <v>0.36</v>
      </c>
      <c r="O447" s="5">
        <f t="shared" si="61"/>
        <v>152.2023528</v>
      </c>
      <c r="P447">
        <f t="shared" si="80"/>
        <v>111.77922060000002</v>
      </c>
      <c r="Q447" s="5">
        <f t="shared" si="83"/>
        <v>6.3167407336141643</v>
      </c>
      <c r="R447" s="5">
        <f t="shared" si="84"/>
        <v>4639.0896260551344</v>
      </c>
      <c r="S447">
        <v>0.50090682641464501</v>
      </c>
      <c r="T447">
        <f>AVERAGE(490,716)</f>
        <v>603</v>
      </c>
      <c r="U447">
        <v>4.4000000000000004</v>
      </c>
      <c r="V447">
        <v>0.159</v>
      </c>
      <c r="W447">
        <f>AVERAGE(67,66)</f>
        <v>66.5</v>
      </c>
    </row>
    <row r="448" spans="1:23" x14ac:dyDescent="0.25">
      <c r="A448" t="s">
        <v>473</v>
      </c>
      <c r="B448" t="s">
        <v>25</v>
      </c>
      <c r="C448">
        <v>0.57840710900000003</v>
      </c>
      <c r="D448">
        <v>0.16092885400000001</v>
      </c>
      <c r="E448">
        <v>0.48725144599999998</v>
      </c>
      <c r="F448">
        <v>8.8446368999999997E-2</v>
      </c>
      <c r="G448">
        <v>0.92010924400000005</v>
      </c>
      <c r="H448">
        <v>0.97125849799999997</v>
      </c>
      <c r="I448">
        <v>99.02</v>
      </c>
      <c r="J448">
        <f t="shared" si="81"/>
        <v>0.99019999999999997</v>
      </c>
      <c r="K448">
        <v>17.600000000000001</v>
      </c>
      <c r="L448">
        <f t="shared" si="82"/>
        <v>290.75</v>
      </c>
      <c r="M448">
        <v>216</v>
      </c>
      <c r="N448">
        <v>0.36</v>
      </c>
      <c r="O448" s="5">
        <f t="shared" si="61"/>
        <v>347.04426540000003</v>
      </c>
      <c r="P448">
        <f t="shared" si="80"/>
        <v>96.557312400000015</v>
      </c>
      <c r="Q448" s="5">
        <f t="shared" si="83"/>
        <v>14.403119316427446</v>
      </c>
      <c r="R448" s="5">
        <f t="shared" si="84"/>
        <v>4007.3461227426455</v>
      </c>
      <c r="S448">
        <v>0.50090682641464501</v>
      </c>
      <c r="T448">
        <v>0</v>
      </c>
      <c r="U448">
        <v>5.3</v>
      </c>
      <c r="V448">
        <v>0.159</v>
      </c>
      <c r="W448">
        <f t="shared" ref="W448" si="86">AVERAGE(67,66)</f>
        <v>66.5</v>
      </c>
    </row>
    <row r="449" spans="1:23" x14ac:dyDescent="0.25">
      <c r="A449" t="s">
        <v>474</v>
      </c>
      <c r="B449" t="s">
        <v>25</v>
      </c>
      <c r="C449">
        <v>0.123722898</v>
      </c>
      <c r="D449">
        <v>0.35253246799999999</v>
      </c>
      <c r="E449">
        <v>0.96877321400000005</v>
      </c>
      <c r="F449">
        <v>0.27224765400000001</v>
      </c>
      <c r="G449">
        <v>0.56009476300000005</v>
      </c>
      <c r="H449">
        <v>0.96780792599999999</v>
      </c>
      <c r="I449">
        <v>101.11</v>
      </c>
      <c r="J449">
        <f t="shared" si="81"/>
        <v>1.0110999999999999</v>
      </c>
      <c r="K449">
        <v>11.05</v>
      </c>
      <c r="L449">
        <f t="shared" si="82"/>
        <v>284.2</v>
      </c>
      <c r="M449">
        <v>216</v>
      </c>
      <c r="N449">
        <v>0.36</v>
      </c>
      <c r="O449" s="5">
        <f t="shared" si="61"/>
        <v>74.233738799999998</v>
      </c>
      <c r="P449">
        <f t="shared" si="80"/>
        <v>211.5194808</v>
      </c>
      <c r="Q449" s="5">
        <f t="shared" si="83"/>
        <v>3.2183988072732346</v>
      </c>
      <c r="R449" s="5">
        <f t="shared" si="84"/>
        <v>9170.41301874686</v>
      </c>
      <c r="S449">
        <v>0.13098730835030614</v>
      </c>
      <c r="T449">
        <f>AVERAGE(1376,1405,1362)</f>
        <v>1381</v>
      </c>
      <c r="U449">
        <v>3.1</v>
      </c>
      <c r="V449">
        <v>0.17799999999999999</v>
      </c>
      <c r="W449">
        <f>AVERAGE(57,62)</f>
        <v>59.5</v>
      </c>
    </row>
    <row r="450" spans="1:23" x14ac:dyDescent="0.25">
      <c r="A450" t="s">
        <v>475</v>
      </c>
      <c r="B450" t="s">
        <v>25</v>
      </c>
      <c r="C450">
        <v>0.52816376300000001</v>
      </c>
      <c r="D450">
        <v>0.25268831200000003</v>
      </c>
      <c r="E450">
        <v>1.0880405150000001</v>
      </c>
      <c r="F450">
        <v>7.4039691000000005E-2</v>
      </c>
      <c r="G450">
        <v>0.92353555600000004</v>
      </c>
      <c r="H450">
        <v>0.97344308400000001</v>
      </c>
      <c r="I450">
        <v>101.11</v>
      </c>
      <c r="J450">
        <f t="shared" si="81"/>
        <v>1.0110999999999999</v>
      </c>
      <c r="K450" s="4">
        <v>10.8</v>
      </c>
      <c r="L450">
        <f t="shared" si="82"/>
        <v>283.95</v>
      </c>
      <c r="M450">
        <v>216</v>
      </c>
      <c r="N450">
        <v>0.36</v>
      </c>
      <c r="O450" s="5">
        <f t="shared" si="61"/>
        <v>316.89825780000001</v>
      </c>
      <c r="P450">
        <f t="shared" si="80"/>
        <v>151.61298720000002</v>
      </c>
      <c r="Q450" s="5">
        <f t="shared" si="83"/>
        <v>13.75119929561545</v>
      </c>
      <c r="R450" s="5">
        <f t="shared" si="84"/>
        <v>6578.9582349379352</v>
      </c>
      <c r="S450">
        <v>0.11393843201391296</v>
      </c>
      <c r="T450">
        <v>0</v>
      </c>
      <c r="U450">
        <v>4.5999999999999996</v>
      </c>
      <c r="V450">
        <v>0.17799999999999999</v>
      </c>
      <c r="W450">
        <f t="shared" ref="W450" si="87">AVERAGE(57,62)</f>
        <v>59.5</v>
      </c>
    </row>
    <row r="451" spans="1:23" x14ac:dyDescent="0.25">
      <c r="A451" t="s">
        <v>476</v>
      </c>
      <c r="B451" t="s">
        <v>25</v>
      </c>
      <c r="C451">
        <v>0.12866034300000001</v>
      </c>
      <c r="D451">
        <v>0.16146371000000001</v>
      </c>
      <c r="E451">
        <v>0.12615853699999999</v>
      </c>
      <c r="F451">
        <v>0.139120032</v>
      </c>
      <c r="G451">
        <v>0.89007849999999999</v>
      </c>
      <c r="H451">
        <v>0.96545194599999995</v>
      </c>
      <c r="I451">
        <v>99.02</v>
      </c>
      <c r="J451">
        <f t="shared" si="81"/>
        <v>0.99019999999999997</v>
      </c>
      <c r="K451">
        <v>17.25</v>
      </c>
      <c r="L451">
        <f t="shared" si="82"/>
        <v>290.39999999999998</v>
      </c>
      <c r="M451">
        <v>216</v>
      </c>
      <c r="N451">
        <v>0.36</v>
      </c>
      <c r="O451" s="5">
        <f t="shared" si="61"/>
        <v>77.196205800000001</v>
      </c>
      <c r="P451">
        <f t="shared" si="80"/>
        <v>96.878226000000012</v>
      </c>
      <c r="Q451" s="5">
        <f t="shared" si="83"/>
        <v>3.2076779044611583</v>
      </c>
      <c r="R451" s="5">
        <f t="shared" si="84"/>
        <v>4025.5106030560191</v>
      </c>
      <c r="S451">
        <v>0.47716164039897868</v>
      </c>
      <c r="T451">
        <f>AVERAGE(934,758)</f>
        <v>846</v>
      </c>
      <c r="U451">
        <v>5.3</v>
      </c>
      <c r="V451">
        <v>0.159</v>
      </c>
      <c r="W451">
        <f>AVERAGE(78,68)</f>
        <v>73</v>
      </c>
    </row>
    <row r="452" spans="1:23" x14ac:dyDescent="0.25">
      <c r="A452" t="s">
        <v>477</v>
      </c>
      <c r="B452" t="s">
        <v>25</v>
      </c>
      <c r="C452">
        <v>0.49544224199999998</v>
      </c>
      <c r="D452">
        <v>0.251636364</v>
      </c>
      <c r="E452">
        <v>0.25001630200000002</v>
      </c>
      <c r="F452">
        <v>0.16188298800000001</v>
      </c>
      <c r="G452">
        <v>0.85338600899999995</v>
      </c>
      <c r="H452">
        <v>0.93834750300000003</v>
      </c>
      <c r="I452">
        <v>99.02</v>
      </c>
      <c r="J452">
        <f t="shared" si="81"/>
        <v>0.99019999999999997</v>
      </c>
      <c r="K452">
        <v>17.25</v>
      </c>
      <c r="L452">
        <f t="shared" si="82"/>
        <v>290.39999999999998</v>
      </c>
      <c r="M452">
        <v>216</v>
      </c>
      <c r="N452">
        <v>0.36</v>
      </c>
      <c r="O452" s="5">
        <f t="shared" si="61"/>
        <v>297.26534520000001</v>
      </c>
      <c r="P452">
        <f t="shared" si="80"/>
        <v>150.98181840000001</v>
      </c>
      <c r="Q452" s="5">
        <f t="shared" si="83"/>
        <v>12.352051110264011</v>
      </c>
      <c r="R452" s="5">
        <f t="shared" si="84"/>
        <v>6273.6379053625351</v>
      </c>
      <c r="S452">
        <v>0.48995154003853925</v>
      </c>
      <c r="T452">
        <v>0</v>
      </c>
      <c r="U452">
        <v>4.8</v>
      </c>
      <c r="V452">
        <v>0.159</v>
      </c>
      <c r="W452">
        <f t="shared" ref="W452" si="88">AVERAGE(78,68)</f>
        <v>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25" sqref="B25"/>
    </sheetView>
  </sheetViews>
  <sheetFormatPr defaultRowHeight="15" x14ac:dyDescent="0.25"/>
  <cols>
    <col min="1" max="1" width="18.140625" bestFit="1" customWidth="1"/>
    <col min="2" max="2" width="90" bestFit="1" customWidth="1"/>
  </cols>
  <sheetData>
    <row r="1" spans="1:3" x14ac:dyDescent="0.25">
      <c r="A1" t="s">
        <v>0</v>
      </c>
      <c r="B1" t="s">
        <v>478</v>
      </c>
    </row>
    <row r="3" spans="1:3" x14ac:dyDescent="0.25">
      <c r="A3" t="s">
        <v>1</v>
      </c>
      <c r="B3" t="s">
        <v>503</v>
      </c>
    </row>
    <row r="4" spans="1:3" x14ac:dyDescent="0.25">
      <c r="A4" t="s">
        <v>2</v>
      </c>
      <c r="B4" t="s">
        <v>479</v>
      </c>
    </row>
    <row r="5" spans="1:3" x14ac:dyDescent="0.25">
      <c r="A5" t="s">
        <v>3</v>
      </c>
      <c r="B5" t="s">
        <v>480</v>
      </c>
    </row>
    <row r="6" spans="1:3" x14ac:dyDescent="0.25">
      <c r="A6" t="s">
        <v>4</v>
      </c>
      <c r="B6" t="s">
        <v>481</v>
      </c>
    </row>
    <row r="7" spans="1:3" x14ac:dyDescent="0.25">
      <c r="A7" t="s">
        <v>5</v>
      </c>
      <c r="B7" t="s">
        <v>482</v>
      </c>
    </row>
    <row r="8" spans="1:3" x14ac:dyDescent="0.25">
      <c r="A8" t="s">
        <v>6</v>
      </c>
      <c r="B8" t="s">
        <v>483</v>
      </c>
    </row>
    <row r="9" spans="1:3" x14ac:dyDescent="0.25">
      <c r="A9" t="s">
        <v>7</v>
      </c>
      <c r="B9" t="s">
        <v>484</v>
      </c>
    </row>
    <row r="10" spans="1:3" x14ac:dyDescent="0.25">
      <c r="A10" t="s">
        <v>8</v>
      </c>
      <c r="B10" t="s">
        <v>485</v>
      </c>
      <c r="C10" t="s">
        <v>486</v>
      </c>
    </row>
    <row r="11" spans="1:3" x14ac:dyDescent="0.25">
      <c r="A11" t="s">
        <v>9</v>
      </c>
      <c r="B11" t="s">
        <v>487</v>
      </c>
      <c r="C11" t="s">
        <v>488</v>
      </c>
    </row>
    <row r="12" spans="1:3" x14ac:dyDescent="0.25">
      <c r="A12" t="s">
        <v>10</v>
      </c>
      <c r="B12" t="s">
        <v>489</v>
      </c>
      <c r="C12" t="s">
        <v>486</v>
      </c>
    </row>
    <row r="13" spans="1:3" x14ac:dyDescent="0.25">
      <c r="A13" t="s">
        <v>11</v>
      </c>
      <c r="B13" t="s">
        <v>490</v>
      </c>
      <c r="C13" t="s">
        <v>488</v>
      </c>
    </row>
    <row r="14" spans="1:3" x14ac:dyDescent="0.25">
      <c r="A14" t="s">
        <v>12</v>
      </c>
      <c r="B14" t="s">
        <v>491</v>
      </c>
    </row>
    <row r="15" spans="1:3" x14ac:dyDescent="0.25">
      <c r="A15" t="s">
        <v>13</v>
      </c>
      <c r="B15" t="s">
        <v>492</v>
      </c>
    </row>
    <row r="16" spans="1:3" x14ac:dyDescent="0.25">
      <c r="A16" t="s">
        <v>14</v>
      </c>
      <c r="B16" t="s">
        <v>493</v>
      </c>
      <c r="C16" t="s">
        <v>488</v>
      </c>
    </row>
    <row r="17" spans="1:3" x14ac:dyDescent="0.25">
      <c r="A17" t="s">
        <v>15</v>
      </c>
      <c r="B17" t="s">
        <v>494</v>
      </c>
      <c r="C17" t="s">
        <v>488</v>
      </c>
    </row>
    <row r="18" spans="1:3" x14ac:dyDescent="0.25">
      <c r="A18" t="s">
        <v>16</v>
      </c>
      <c r="B18" t="s">
        <v>495</v>
      </c>
      <c r="C18" t="s">
        <v>488</v>
      </c>
    </row>
    <row r="19" spans="1:3" x14ac:dyDescent="0.25">
      <c r="A19" t="s">
        <v>17</v>
      </c>
      <c r="B19" t="s">
        <v>496</v>
      </c>
      <c r="C19" t="s">
        <v>488</v>
      </c>
    </row>
    <row r="20" spans="1:3" x14ac:dyDescent="0.25">
      <c r="A20" t="s">
        <v>497</v>
      </c>
      <c r="B20" t="s">
        <v>498</v>
      </c>
      <c r="C20" t="s">
        <v>486</v>
      </c>
    </row>
    <row r="21" spans="1:3" x14ac:dyDescent="0.25">
      <c r="A21" t="s">
        <v>19</v>
      </c>
      <c r="B21" t="s">
        <v>499</v>
      </c>
    </row>
    <row r="22" spans="1:3" x14ac:dyDescent="0.25">
      <c r="A22" t="s">
        <v>20</v>
      </c>
      <c r="B22" t="s">
        <v>500</v>
      </c>
    </row>
    <row r="23" spans="1:3" x14ac:dyDescent="0.25">
      <c r="A23" t="s">
        <v>21</v>
      </c>
      <c r="B23" t="s">
        <v>501</v>
      </c>
      <c r="C23" t="s">
        <v>486</v>
      </c>
    </row>
    <row r="24" spans="1:3" x14ac:dyDescent="0.25">
      <c r="A24" t="s">
        <v>22</v>
      </c>
      <c r="B24" t="s">
        <v>502</v>
      </c>
    </row>
    <row r="25" spans="1:3" x14ac:dyDescent="0.25">
      <c r="A25" t="s">
        <v>23</v>
      </c>
      <c r="B25" t="s">
        <v>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all_fluxes_2015_16</vt:lpstr>
      <vt:lpstr>read_me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2017-11-27T19:26:32Z</dcterms:created>
  <dcterms:modified xsi:type="dcterms:W3CDTF">2018-02-06T21:56:34Z</dcterms:modified>
</cp:coreProperties>
</file>