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\Documents\siberia_data\dg_fluxes\"/>
    </mc:Choice>
  </mc:AlternateContent>
  <bookViews>
    <workbookView xWindow="0" yWindow="0" windowWidth="20490" windowHeight="7155"/>
  </bookViews>
  <sheets>
    <sheet name="final_flux" sheetId="2" r:id="rId1"/>
    <sheet name="read_me" sheetId="1" r:id="rId2"/>
  </sheets>
  <calcPr calcId="152511"/>
</workbook>
</file>

<file path=xl/calcChain.xml><?xml version="1.0" encoding="utf-8"?>
<calcChain xmlns="http://schemas.openxmlformats.org/spreadsheetml/2006/main">
  <c r="L29" i="2" l="1"/>
  <c r="T73" i="2"/>
  <c r="T72" i="2"/>
  <c r="Q72" i="2"/>
  <c r="P72" i="2"/>
  <c r="T71" i="2"/>
  <c r="T70" i="2"/>
  <c r="Q70" i="2"/>
  <c r="P70" i="2"/>
  <c r="T69" i="2"/>
  <c r="T68" i="2"/>
  <c r="Q68" i="2"/>
  <c r="T67" i="2"/>
  <c r="Q67" i="2"/>
  <c r="T66" i="2"/>
  <c r="Q66" i="2"/>
  <c r="T65" i="2"/>
  <c r="T64" i="2"/>
  <c r="Q64" i="2"/>
  <c r="P64" i="2"/>
  <c r="T63" i="2"/>
  <c r="T62" i="2"/>
  <c r="Q62" i="2"/>
  <c r="T61" i="2"/>
  <c r="T60" i="2"/>
  <c r="Q60" i="2"/>
  <c r="P59" i="2"/>
  <c r="Q58" i="2"/>
  <c r="T57" i="2"/>
  <c r="P57" i="2"/>
  <c r="T56" i="2"/>
  <c r="Q56" i="2"/>
  <c r="T55" i="2"/>
  <c r="P55" i="2"/>
  <c r="T54" i="2"/>
  <c r="Q54" i="2"/>
  <c r="Q53" i="2"/>
  <c r="P53" i="2"/>
  <c r="Q52" i="2"/>
  <c r="P52" i="2"/>
  <c r="T51" i="2"/>
  <c r="T50" i="2"/>
  <c r="Q50" i="2"/>
  <c r="Q48" i="2"/>
  <c r="P48" i="2"/>
  <c r="Q46" i="2"/>
  <c r="T45" i="2"/>
  <c r="P45" i="2"/>
  <c r="T44" i="2"/>
  <c r="Q44" i="2"/>
  <c r="T43" i="2"/>
  <c r="T42" i="2"/>
  <c r="Q42" i="2"/>
  <c r="T41" i="2"/>
  <c r="S41" i="2"/>
  <c r="R41" i="2"/>
  <c r="T40" i="2"/>
  <c r="S40" i="2"/>
  <c r="R40" i="2"/>
  <c r="P40" i="2"/>
  <c r="T39" i="2"/>
  <c r="R39" i="2"/>
  <c r="P39" i="2"/>
  <c r="T38" i="2"/>
  <c r="R38" i="2"/>
  <c r="T37" i="2"/>
  <c r="P37" i="2"/>
  <c r="T36" i="2"/>
  <c r="Q36" i="2"/>
  <c r="T35" i="2"/>
  <c r="Q35" i="2"/>
  <c r="T34" i="2"/>
  <c r="Q34" i="2"/>
  <c r="T33" i="2"/>
  <c r="R33" i="2"/>
  <c r="T32" i="2"/>
  <c r="R32" i="2"/>
  <c r="T31" i="2"/>
  <c r="R31" i="2"/>
  <c r="T30" i="2"/>
  <c r="R30" i="2"/>
  <c r="Q30" i="2"/>
  <c r="P30" i="2"/>
  <c r="T29" i="2"/>
  <c r="T28" i="2"/>
  <c r="Q28" i="2"/>
  <c r="P28" i="2"/>
  <c r="T27" i="2"/>
  <c r="T26" i="2"/>
  <c r="Q26" i="2"/>
  <c r="P26" i="2"/>
  <c r="T25" i="2"/>
  <c r="R25" i="2"/>
  <c r="P25" i="2"/>
  <c r="T24" i="2"/>
  <c r="R24" i="2"/>
  <c r="T23" i="2"/>
  <c r="R23" i="2"/>
  <c r="T22" i="2"/>
  <c r="R22" i="2"/>
  <c r="T21" i="2"/>
  <c r="T20" i="2"/>
  <c r="Q20" i="2"/>
  <c r="T19" i="2"/>
  <c r="P19" i="2"/>
  <c r="T18" i="2"/>
  <c r="Q18" i="2"/>
  <c r="P18" i="2"/>
  <c r="T17" i="2"/>
  <c r="R17" i="2"/>
  <c r="P17" i="2"/>
  <c r="T16" i="2"/>
  <c r="R16" i="2"/>
  <c r="T15" i="2"/>
  <c r="T14" i="2"/>
  <c r="Q14" i="2"/>
  <c r="T13" i="2"/>
  <c r="T12" i="2"/>
  <c r="Q12" i="2"/>
  <c r="T11" i="2"/>
  <c r="R11" i="2"/>
  <c r="T10" i="2"/>
  <c r="R10" i="2"/>
  <c r="P10" i="2"/>
  <c r="T9" i="2"/>
  <c r="T8" i="2"/>
  <c r="Q8" i="2"/>
  <c r="T7" i="2"/>
  <c r="P7" i="2"/>
  <c r="T6" i="2"/>
  <c r="Q6" i="2"/>
  <c r="P6" i="2"/>
  <c r="T5" i="2"/>
  <c r="R5" i="2"/>
  <c r="P5" i="2"/>
  <c r="T4" i="2"/>
  <c r="R4" i="2"/>
  <c r="T3" i="2"/>
  <c r="P3" i="2"/>
  <c r="T2" i="2"/>
  <c r="Q2" i="2"/>
  <c r="G43" i="2"/>
  <c r="I43" i="2"/>
  <c r="L43" i="2"/>
  <c r="M43" i="2"/>
  <c r="O43" i="2" s="1"/>
  <c r="G44" i="2"/>
  <c r="I44" i="2"/>
  <c r="O44" i="2" s="1"/>
  <c r="L44" i="2"/>
  <c r="M44" i="2"/>
  <c r="G45" i="2"/>
  <c r="I45" i="2"/>
  <c r="L45" i="2"/>
  <c r="M45" i="2"/>
  <c r="G46" i="2"/>
  <c r="I46" i="2"/>
  <c r="L46" i="2"/>
  <c r="M46" i="2"/>
  <c r="G47" i="2"/>
  <c r="I47" i="2"/>
  <c r="L47" i="2"/>
  <c r="M47" i="2"/>
  <c r="G48" i="2"/>
  <c r="I48" i="2"/>
  <c r="O48" i="2" s="1"/>
  <c r="L48" i="2"/>
  <c r="M48" i="2"/>
  <c r="G49" i="2"/>
  <c r="I49" i="2"/>
  <c r="L49" i="2"/>
  <c r="M49" i="2"/>
  <c r="G50" i="2"/>
  <c r="I50" i="2"/>
  <c r="L50" i="2"/>
  <c r="M50" i="2"/>
  <c r="O50" i="2"/>
  <c r="G51" i="2"/>
  <c r="I51" i="2"/>
  <c r="L51" i="2"/>
  <c r="M51" i="2"/>
  <c r="G52" i="2"/>
  <c r="I52" i="2"/>
  <c r="L52" i="2"/>
  <c r="M52" i="2"/>
  <c r="G53" i="2"/>
  <c r="I53" i="2"/>
  <c r="L53" i="2"/>
  <c r="M53" i="2"/>
  <c r="G54" i="2"/>
  <c r="I54" i="2"/>
  <c r="L54" i="2"/>
  <c r="N54" i="2" s="1"/>
  <c r="M54" i="2"/>
  <c r="G55" i="2"/>
  <c r="I55" i="2"/>
  <c r="L55" i="2"/>
  <c r="M55" i="2"/>
  <c r="G56" i="2"/>
  <c r="I56" i="2"/>
  <c r="L56" i="2"/>
  <c r="M56" i="2"/>
  <c r="G57" i="2"/>
  <c r="I57" i="2"/>
  <c r="L57" i="2"/>
  <c r="M57" i="2"/>
  <c r="G58" i="2"/>
  <c r="I58" i="2"/>
  <c r="L58" i="2"/>
  <c r="M58" i="2"/>
  <c r="O58" i="2"/>
  <c r="G59" i="2"/>
  <c r="I59" i="2"/>
  <c r="L59" i="2"/>
  <c r="M59" i="2"/>
  <c r="G60" i="2"/>
  <c r="I60" i="2"/>
  <c r="L60" i="2"/>
  <c r="M60" i="2"/>
  <c r="G61" i="2"/>
  <c r="I61" i="2"/>
  <c r="L61" i="2"/>
  <c r="M61" i="2"/>
  <c r="G62" i="2"/>
  <c r="I62" i="2"/>
  <c r="L62" i="2"/>
  <c r="M62" i="2"/>
  <c r="G63" i="2"/>
  <c r="I63" i="2"/>
  <c r="L63" i="2"/>
  <c r="M63" i="2"/>
  <c r="G64" i="2"/>
  <c r="I64" i="2"/>
  <c r="L64" i="2"/>
  <c r="M64" i="2"/>
  <c r="G65" i="2"/>
  <c r="I65" i="2"/>
  <c r="L65" i="2"/>
  <c r="M65" i="2"/>
  <c r="G66" i="2"/>
  <c r="I66" i="2"/>
  <c r="L66" i="2"/>
  <c r="M66" i="2"/>
  <c r="G67" i="2"/>
  <c r="I67" i="2"/>
  <c r="L67" i="2"/>
  <c r="N67" i="2" s="1"/>
  <c r="M67" i="2"/>
  <c r="G68" i="2"/>
  <c r="I68" i="2"/>
  <c r="L68" i="2"/>
  <c r="M68" i="2"/>
  <c r="G69" i="2"/>
  <c r="I69" i="2"/>
  <c r="L69" i="2"/>
  <c r="N69" i="2" s="1"/>
  <c r="M69" i="2"/>
  <c r="G70" i="2"/>
  <c r="I70" i="2"/>
  <c r="O70" i="2" s="1"/>
  <c r="L70" i="2"/>
  <c r="M70" i="2"/>
  <c r="G71" i="2"/>
  <c r="I71" i="2"/>
  <c r="L71" i="2"/>
  <c r="M71" i="2"/>
  <c r="G72" i="2"/>
  <c r="I72" i="2"/>
  <c r="L72" i="2"/>
  <c r="M72" i="2"/>
  <c r="G73" i="2"/>
  <c r="I73" i="2"/>
  <c r="L73" i="2"/>
  <c r="M73" i="2"/>
  <c r="O66" i="2" l="1"/>
  <c r="O64" i="2"/>
  <c r="N61" i="2"/>
  <c r="O60" i="2"/>
  <c r="N63" i="2"/>
  <c r="N57" i="2"/>
  <c r="O56" i="2"/>
  <c r="N55" i="2"/>
  <c r="N53" i="2"/>
  <c r="N43" i="2"/>
  <c r="N73" i="2"/>
  <c r="O72" i="2"/>
  <c r="N65" i="2"/>
  <c r="N49" i="2"/>
  <c r="N59" i="2"/>
  <c r="O52" i="2"/>
  <c r="N47" i="2"/>
  <c r="O46" i="2"/>
  <c r="N71" i="2"/>
  <c r="O67" i="2"/>
  <c r="N51" i="2"/>
  <c r="N45" i="2"/>
  <c r="N44" i="2"/>
  <c r="O73" i="2"/>
  <c r="N72" i="2"/>
  <c r="O69" i="2"/>
  <c r="N68" i="2"/>
  <c r="O68" i="2"/>
  <c r="O65" i="2"/>
  <c r="N64" i="2"/>
  <c r="O61" i="2"/>
  <c r="N60" i="2"/>
  <c r="O55" i="2"/>
  <c r="O54" i="2"/>
  <c r="O49" i="2"/>
  <c r="N48" i="2"/>
  <c r="O59" i="2"/>
  <c r="N58" i="2"/>
  <c r="O53" i="2"/>
  <c r="N52" i="2"/>
  <c r="O47" i="2"/>
  <c r="N46" i="2"/>
  <c r="O71" i="2"/>
  <c r="N70" i="2"/>
  <c r="N66" i="2"/>
  <c r="O63" i="2"/>
  <c r="N62" i="2"/>
  <c r="O62" i="2"/>
  <c r="O57" i="2"/>
  <c r="N56" i="2"/>
  <c r="O51" i="2"/>
  <c r="N50" i="2"/>
  <c r="O45" i="2"/>
  <c r="M42" i="2" l="1"/>
  <c r="L42" i="2"/>
  <c r="I42" i="2"/>
  <c r="G42" i="2"/>
  <c r="M41" i="2"/>
  <c r="L41" i="2"/>
  <c r="I41" i="2"/>
  <c r="G41" i="2"/>
  <c r="M40" i="2"/>
  <c r="L40" i="2"/>
  <c r="I40" i="2"/>
  <c r="G40" i="2"/>
  <c r="N40" i="2" s="1"/>
  <c r="M39" i="2"/>
  <c r="L39" i="2"/>
  <c r="I39" i="2"/>
  <c r="G39" i="2"/>
  <c r="M38" i="2"/>
  <c r="L38" i="2"/>
  <c r="I38" i="2"/>
  <c r="G38" i="2"/>
  <c r="N38" i="2" s="1"/>
  <c r="M37" i="2"/>
  <c r="L37" i="2"/>
  <c r="I37" i="2"/>
  <c r="G37" i="2"/>
  <c r="M36" i="2"/>
  <c r="L36" i="2"/>
  <c r="I36" i="2"/>
  <c r="G36" i="2"/>
  <c r="M35" i="2"/>
  <c r="L35" i="2"/>
  <c r="I35" i="2"/>
  <c r="G35" i="2"/>
  <c r="M34" i="2"/>
  <c r="L34" i="2"/>
  <c r="I34" i="2"/>
  <c r="G34" i="2"/>
  <c r="N34" i="2" s="1"/>
  <c r="M33" i="2"/>
  <c r="L33" i="2"/>
  <c r="I33" i="2"/>
  <c r="G33" i="2"/>
  <c r="M32" i="2"/>
  <c r="L32" i="2"/>
  <c r="I32" i="2"/>
  <c r="G32" i="2"/>
  <c r="M31" i="2"/>
  <c r="L31" i="2"/>
  <c r="I31" i="2"/>
  <c r="G31" i="2"/>
  <c r="M30" i="2"/>
  <c r="L30" i="2"/>
  <c r="I30" i="2"/>
  <c r="G30" i="2"/>
  <c r="O30" i="2" s="1"/>
  <c r="M29" i="2"/>
  <c r="I29" i="2"/>
  <c r="G29" i="2"/>
  <c r="M28" i="2"/>
  <c r="L28" i="2"/>
  <c r="I28" i="2"/>
  <c r="G28" i="2"/>
  <c r="M27" i="2"/>
  <c r="L27" i="2"/>
  <c r="I27" i="2"/>
  <c r="G27" i="2"/>
  <c r="M26" i="2"/>
  <c r="L26" i="2"/>
  <c r="I26" i="2"/>
  <c r="G26" i="2"/>
  <c r="M25" i="2"/>
  <c r="L25" i="2"/>
  <c r="I25" i="2"/>
  <c r="G25" i="2"/>
  <c r="M24" i="2"/>
  <c r="L24" i="2"/>
  <c r="I24" i="2"/>
  <c r="G24" i="2"/>
  <c r="M23" i="2"/>
  <c r="L23" i="2"/>
  <c r="I23" i="2"/>
  <c r="G23" i="2"/>
  <c r="M22" i="2"/>
  <c r="L22" i="2"/>
  <c r="I22" i="2"/>
  <c r="G22" i="2"/>
  <c r="M21" i="2"/>
  <c r="L21" i="2"/>
  <c r="I21" i="2"/>
  <c r="G21" i="2"/>
  <c r="M20" i="2"/>
  <c r="L20" i="2"/>
  <c r="I20" i="2"/>
  <c r="G20" i="2"/>
  <c r="O20" i="2" s="1"/>
  <c r="M19" i="2"/>
  <c r="L19" i="2"/>
  <c r="I19" i="2"/>
  <c r="G19" i="2"/>
  <c r="M18" i="2"/>
  <c r="L18" i="2"/>
  <c r="I18" i="2"/>
  <c r="G18" i="2"/>
  <c r="M17" i="2"/>
  <c r="L17" i="2"/>
  <c r="I17" i="2"/>
  <c r="G17" i="2"/>
  <c r="M16" i="2"/>
  <c r="L16" i="2"/>
  <c r="I16" i="2"/>
  <c r="G16" i="2"/>
  <c r="M15" i="2"/>
  <c r="L15" i="2"/>
  <c r="I15" i="2"/>
  <c r="G15" i="2"/>
  <c r="M14" i="2"/>
  <c r="L14" i="2"/>
  <c r="I14" i="2"/>
  <c r="G14" i="2"/>
  <c r="M13" i="2"/>
  <c r="L13" i="2"/>
  <c r="I13" i="2"/>
  <c r="G13" i="2"/>
  <c r="M12" i="2"/>
  <c r="L12" i="2"/>
  <c r="I12" i="2"/>
  <c r="G12" i="2"/>
  <c r="M11" i="2"/>
  <c r="L11" i="2"/>
  <c r="I11" i="2"/>
  <c r="G11" i="2"/>
  <c r="M10" i="2"/>
  <c r="L10" i="2"/>
  <c r="I10" i="2"/>
  <c r="G10" i="2"/>
  <c r="M9" i="2"/>
  <c r="L9" i="2"/>
  <c r="I9" i="2"/>
  <c r="G9" i="2"/>
  <c r="M8" i="2"/>
  <c r="L8" i="2"/>
  <c r="I8" i="2"/>
  <c r="G8" i="2"/>
  <c r="M7" i="2"/>
  <c r="L7" i="2"/>
  <c r="I7" i="2"/>
  <c r="G7" i="2"/>
  <c r="M6" i="2"/>
  <c r="L6" i="2"/>
  <c r="I6" i="2"/>
  <c r="G6" i="2"/>
  <c r="M5" i="2"/>
  <c r="L5" i="2"/>
  <c r="I5" i="2"/>
  <c r="G5" i="2"/>
  <c r="M4" i="2"/>
  <c r="L4" i="2"/>
  <c r="I4" i="2"/>
  <c r="G4" i="2"/>
  <c r="M3" i="2"/>
  <c r="L3" i="2"/>
  <c r="I3" i="2"/>
  <c r="G3" i="2"/>
  <c r="M2" i="2"/>
  <c r="L2" i="2"/>
  <c r="I2" i="2"/>
  <c r="G2" i="2"/>
  <c r="N12" i="2" l="1"/>
  <c r="N22" i="2"/>
  <c r="N28" i="2"/>
  <c r="O24" i="2"/>
  <c r="O35" i="2"/>
  <c r="O41" i="2"/>
  <c r="O33" i="2"/>
  <c r="O39" i="2"/>
  <c r="O31" i="2"/>
  <c r="O37" i="2"/>
  <c r="N42" i="2"/>
  <c r="N36" i="2"/>
  <c r="N26" i="2"/>
  <c r="N3" i="2"/>
  <c r="N5" i="2"/>
  <c r="N7" i="2"/>
  <c r="N9" i="2"/>
  <c r="N11" i="2"/>
  <c r="N13" i="2"/>
  <c r="N15" i="2"/>
  <c r="N17" i="2"/>
  <c r="N19" i="2"/>
  <c r="N21" i="2"/>
  <c r="N23" i="2"/>
  <c r="N25" i="2"/>
  <c r="N27" i="2"/>
  <c r="N29" i="2"/>
  <c r="N30" i="2"/>
  <c r="O32" i="2"/>
  <c r="O3" i="2"/>
  <c r="O5" i="2"/>
  <c r="O7" i="2"/>
  <c r="O9" i="2"/>
  <c r="O11" i="2"/>
  <c r="O13" i="2"/>
  <c r="O15" i="2"/>
  <c r="O17" i="2"/>
  <c r="O19" i="2"/>
  <c r="O21" i="2"/>
  <c r="O23" i="2"/>
  <c r="O25" i="2"/>
  <c r="O27" i="2"/>
  <c r="O29" i="2"/>
  <c r="N31" i="2"/>
  <c r="N33" i="2"/>
  <c r="N35" i="2"/>
  <c r="N37" i="2"/>
  <c r="N39" i="2"/>
  <c r="N41" i="2"/>
  <c r="N18" i="2"/>
  <c r="O16" i="2"/>
  <c r="N14" i="2"/>
  <c r="N10" i="2"/>
  <c r="O8" i="2"/>
  <c r="O6" i="2"/>
  <c r="N4" i="2"/>
  <c r="N2" i="2"/>
  <c r="N6" i="2"/>
  <c r="N16" i="2"/>
  <c r="N24" i="2"/>
  <c r="N32" i="2"/>
  <c r="O2" i="2"/>
  <c r="O10" i="2"/>
  <c r="O14" i="2"/>
  <c r="O18" i="2"/>
  <c r="O22" i="2"/>
  <c r="O26" i="2"/>
  <c r="O28" i="2"/>
  <c r="O34" i="2"/>
  <c r="O36" i="2"/>
  <c r="O38" i="2"/>
  <c r="O40" i="2"/>
  <c r="O42" i="2"/>
  <c r="N8" i="2"/>
  <c r="N20" i="2"/>
  <c r="O4" i="2"/>
  <c r="O12" i="2"/>
</calcChain>
</file>

<file path=xl/sharedStrings.xml><?xml version="1.0" encoding="utf-8"?>
<sst xmlns="http://schemas.openxmlformats.org/spreadsheetml/2006/main" count="145" uniqueCount="117">
  <si>
    <t>plot</t>
  </si>
  <si>
    <t>"h (high density) or l (low density)" +  "plot number" +  "L (light flux) or D (dark flux)" +  "_"   +  "date"</t>
  </si>
  <si>
    <t>co2.ppm.s</t>
  </si>
  <si>
    <t>slope of co2 flux</t>
  </si>
  <si>
    <t>h2o.ppt.s</t>
  </si>
  <si>
    <t>slope of h2o flux</t>
  </si>
  <si>
    <t>co2.stddev</t>
  </si>
  <si>
    <t>standard deviation of co2 slope</t>
  </si>
  <si>
    <t>h2o.stddev</t>
  </si>
  <si>
    <t>standard deviation of h2o slope</t>
  </si>
  <si>
    <t>pressure.kpa</t>
  </si>
  <si>
    <t>atmospheric pressure in kPa</t>
  </si>
  <si>
    <t>data from met station</t>
  </si>
  <si>
    <t>pressure.atm</t>
  </si>
  <si>
    <t xml:space="preserve">atmospheric pressure in mb </t>
  </si>
  <si>
    <t>calculated in sheet</t>
  </si>
  <si>
    <t>temp.c</t>
  </si>
  <si>
    <t>air temperature in celcius</t>
  </si>
  <si>
    <t>temp.k</t>
  </si>
  <si>
    <t>air temperature in kelvin</t>
  </si>
  <si>
    <t>vol.L</t>
  </si>
  <si>
    <t>chamber volume</t>
  </si>
  <si>
    <t>area.m2</t>
  </si>
  <si>
    <t>chamber area</t>
  </si>
  <si>
    <t>uL.co2.m2.sec-1</t>
  </si>
  <si>
    <t>co2 flux in microliters</t>
  </si>
  <si>
    <t>uL.h20.m2.sec-1</t>
  </si>
  <si>
    <t>h2o flux in microliters</t>
  </si>
  <si>
    <t>umol.co2.m2.sec-1</t>
  </si>
  <si>
    <t>co2 flux in micromoles</t>
  </si>
  <si>
    <t>umol.h2o.m2.sec-1</t>
  </si>
  <si>
    <t>h2o flux in micromoles</t>
  </si>
  <si>
    <t>rh</t>
  </si>
  <si>
    <t>relative humidity</t>
  </si>
  <si>
    <t>par</t>
  </si>
  <si>
    <t xml:space="preserve">photosynethically active radiation </t>
  </si>
  <si>
    <t>soil.temp.c</t>
  </si>
  <si>
    <t xml:space="preserve">soil temperature in celcius </t>
  </si>
  <si>
    <t>soil.moisture</t>
  </si>
  <si>
    <t xml:space="preserve">soil moisture </t>
  </si>
  <si>
    <t>thaw.depth</t>
  </si>
  <si>
    <t>thaw depth in centimeters</t>
  </si>
  <si>
    <t xml:space="preserve">notes: </t>
  </si>
  <si>
    <t>high density soil moisture, soil temp data for 7/20 are averages from met station</t>
  </si>
  <si>
    <t xml:space="preserve">high density PAR on 7/20 from HDR1 met station </t>
  </si>
  <si>
    <t>h1L_071516</t>
  </si>
  <si>
    <t>h1D_071516</t>
  </si>
  <si>
    <t>h1L_072016</t>
  </si>
  <si>
    <t>h1D_072016</t>
  </si>
  <si>
    <t>h1L_072316</t>
  </si>
  <si>
    <t>h1D_072316</t>
  </si>
  <si>
    <t>h2L_071516</t>
  </si>
  <si>
    <t>h2D_071516</t>
  </si>
  <si>
    <t>h2L_072016</t>
  </si>
  <si>
    <t>h2D_072016</t>
  </si>
  <si>
    <t>h2L_072316</t>
  </si>
  <si>
    <t>h2D_072316</t>
  </si>
  <si>
    <t>h3L_071516</t>
  </si>
  <si>
    <t>h3D_071516</t>
  </si>
  <si>
    <t>h3L_072016</t>
  </si>
  <si>
    <t>h3D_072016</t>
  </si>
  <si>
    <t>h3L_072316</t>
  </si>
  <si>
    <t>h3D_072316</t>
  </si>
  <si>
    <t>h4L_071516</t>
  </si>
  <si>
    <t>h4D_071516</t>
  </si>
  <si>
    <t>h4L_072016</t>
  </si>
  <si>
    <t>h4D_072016</t>
  </si>
  <si>
    <t>h4L_072016_2</t>
  </si>
  <si>
    <t>h4D_072016_2</t>
  </si>
  <si>
    <t>h4L_072316</t>
  </si>
  <si>
    <t>h4D_072316</t>
  </si>
  <si>
    <t>h5L_071516</t>
  </si>
  <si>
    <t>h5D_071516</t>
  </si>
  <si>
    <t>h5L_072016</t>
  </si>
  <si>
    <t>h5D_072016</t>
  </si>
  <si>
    <t>h5L_072016_2</t>
  </si>
  <si>
    <t>h5D_072016_2</t>
  </si>
  <si>
    <t>h5L_072316</t>
  </si>
  <si>
    <t>h5D_072316</t>
  </si>
  <si>
    <t>h6L_071516</t>
  </si>
  <si>
    <t>h6D_071516</t>
  </si>
  <si>
    <t>h6L_072016</t>
  </si>
  <si>
    <t>h6D_072016</t>
  </si>
  <si>
    <t>h6L_072016_2</t>
  </si>
  <si>
    <t>h6D_072016_2</t>
  </si>
  <si>
    <t>h6L_072316</t>
  </si>
  <si>
    <t>h6D_072316</t>
  </si>
  <si>
    <t>l1L_071616</t>
  </si>
  <si>
    <t>l1D_071616</t>
  </si>
  <si>
    <t>l1L_072216</t>
  </si>
  <si>
    <t>l1D_072216</t>
  </si>
  <si>
    <t>l1L_072316</t>
  </si>
  <si>
    <t>l1D_072316</t>
  </si>
  <si>
    <t>l2L_071616</t>
  </si>
  <si>
    <t>l2D_071616</t>
  </si>
  <si>
    <t>l2L_072216</t>
  </si>
  <si>
    <t>l2D_072216</t>
  </si>
  <si>
    <t>l2L_072316</t>
  </si>
  <si>
    <t>l2D_072316</t>
  </si>
  <si>
    <t>l3L_071616</t>
  </si>
  <si>
    <t>l3D_071616</t>
  </si>
  <si>
    <t>l3L_072216</t>
  </si>
  <si>
    <t>l3D_072216</t>
  </si>
  <si>
    <t>l3L_072316</t>
  </si>
  <si>
    <t>l3D_072316</t>
  </si>
  <si>
    <t>l4L_071616</t>
  </si>
  <si>
    <t>l4D_071616</t>
  </si>
  <si>
    <t>l4L_072316</t>
  </si>
  <si>
    <t>l4D_072316</t>
  </si>
  <si>
    <t>l5L_071616</t>
  </si>
  <si>
    <t>l5D_071616</t>
  </si>
  <si>
    <t>l5L_072316</t>
  </si>
  <si>
    <t>l5D_072316</t>
  </si>
  <si>
    <t>l6L_071616</t>
  </si>
  <si>
    <t>l6D_071616</t>
  </si>
  <si>
    <t>l6L_072316</t>
  </si>
  <si>
    <t>l6D_072316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</si>
</sst>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177800</xdr:colOff>
      <xdr:row>19</xdr:row>
      <xdr:rowOff>172508</xdr:rowOff>
    </xdr:from>
    <xdr:ext cx="65" cy="172227"/>
    <xdr:sp macro="" textlink="">
      <xdr:nvSpPr>
        <xdr:cNvPr id="2" name="TextBox 1"/>
        <xdr:cNvSpPr txBox="1"/>
      </xdr:nvSpPr>
      <xdr:spPr>
        <a:xfrm>
          <a:off x="7740650" y="213465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3"/>
  <sheetViews>
    <sheetView tabSelected="1" workbookViewId="0">
      <pane xSplit="1" topLeftCell="F1" activePane="topRight" state="frozen"/>
      <selection pane="topRight" activeCell="O6" sqref="O6"/>
    </sheetView>
  </sheetViews>
  <sheetFormatPr defaultRowHeight="15" x14ac:dyDescent="0.25"/>
  <cols>
    <col min="1" max="1" width="13.5703125" bestFit="1" customWidth="1"/>
    <col min="15" max="15" width="18.140625" bestFit="1" customWidth="1"/>
  </cols>
  <sheetData>
    <row r="1" spans="1:20" x14ac:dyDescent="0.25">
      <c r="A1" t="s">
        <v>0</v>
      </c>
      <c r="B1" t="s">
        <v>2</v>
      </c>
      <c r="C1" t="s">
        <v>4</v>
      </c>
      <c r="D1" t="s">
        <v>6</v>
      </c>
      <c r="E1" t="s">
        <v>8</v>
      </c>
      <c r="F1" t="s">
        <v>10</v>
      </c>
      <c r="G1" t="s">
        <v>13</v>
      </c>
      <c r="H1" t="s">
        <v>16</v>
      </c>
      <c r="I1" t="s">
        <v>18</v>
      </c>
      <c r="J1" t="s">
        <v>20</v>
      </c>
      <c r="K1" t="s">
        <v>22</v>
      </c>
      <c r="L1" t="s">
        <v>24</v>
      </c>
      <c r="M1" t="s">
        <v>26</v>
      </c>
      <c r="N1" t="s">
        <v>28</v>
      </c>
      <c r="O1" t="s">
        <v>30</v>
      </c>
      <c r="P1" t="s">
        <v>32</v>
      </c>
      <c r="Q1" t="s">
        <v>34</v>
      </c>
      <c r="R1" t="s">
        <v>36</v>
      </c>
      <c r="S1" t="s">
        <v>38</v>
      </c>
      <c r="T1" t="s">
        <v>40</v>
      </c>
    </row>
    <row r="2" spans="1:20" x14ac:dyDescent="0.25">
      <c r="A2" t="s">
        <v>45</v>
      </c>
      <c r="B2">
        <v>0.44411325600000001</v>
      </c>
      <c r="C2">
        <v>0.24597402600000001</v>
      </c>
      <c r="D2">
        <v>0.38394688999999999</v>
      </c>
      <c r="E2">
        <v>0.16666324099999999</v>
      </c>
      <c r="F2">
        <v>100.62</v>
      </c>
      <c r="G2">
        <f>F2/100</f>
        <v>1.0062</v>
      </c>
      <c r="H2" s="1">
        <v>13.8</v>
      </c>
      <c r="I2">
        <f>H2+273.15</f>
        <v>286.95</v>
      </c>
      <c r="J2">
        <v>270</v>
      </c>
      <c r="K2">
        <v>0.6</v>
      </c>
      <c r="L2" s="2">
        <f>B2*J2/K2</f>
        <v>199.85096520000002</v>
      </c>
      <c r="M2">
        <f>C2*J2/K2</f>
        <v>110.68831170000001</v>
      </c>
      <c r="N2" s="2">
        <f>(L2*G2)/(0.08206*I2)</f>
        <v>8.5399007098932778</v>
      </c>
      <c r="O2" s="2">
        <f>(M2*G2)/(0.08206*I2)*1000</f>
        <v>4729.8605274072415</v>
      </c>
      <c r="P2">
        <v>0.78</v>
      </c>
      <c r="Q2">
        <f>AVERAGE(81,100,96)</f>
        <v>92.333333333333329</v>
      </c>
      <c r="R2" s="3">
        <v>4.3</v>
      </c>
      <c r="S2">
        <v>0.503</v>
      </c>
      <c r="T2">
        <f>AVERAGE(23, 30)</f>
        <v>26.5</v>
      </c>
    </row>
    <row r="3" spans="1:20" x14ac:dyDescent="0.25">
      <c r="A3" t="s">
        <v>46</v>
      </c>
      <c r="B3">
        <v>0.55682055699999999</v>
      </c>
      <c r="C3">
        <v>0.224754386</v>
      </c>
      <c r="D3">
        <v>0.47689611700000001</v>
      </c>
      <c r="E3">
        <v>0.15060574099999999</v>
      </c>
      <c r="F3">
        <v>100.62</v>
      </c>
      <c r="G3">
        <f t="shared" ref="G3:G42" si="0">F3/100</f>
        <v>1.0062</v>
      </c>
      <c r="H3" s="1">
        <v>13.55</v>
      </c>
      <c r="I3">
        <f t="shared" ref="I3:I42" si="1">H3+273.15</f>
        <v>286.7</v>
      </c>
      <c r="J3">
        <v>270</v>
      </c>
      <c r="K3">
        <v>0.6</v>
      </c>
      <c r="L3" s="2">
        <f t="shared" ref="L3:L42" si="2">B3*J3/K3</f>
        <v>250.56925065000001</v>
      </c>
      <c r="M3">
        <f t="shared" ref="M3:M42" si="3">C3*J3/K3</f>
        <v>101.13947370000001</v>
      </c>
      <c r="N3" s="2">
        <f t="shared" ref="N3:N42" si="4">(L3*G3)/(0.08206*I3)</f>
        <v>10.716497860763321</v>
      </c>
      <c r="O3" s="2">
        <f t="shared" ref="O3:O42" si="5">(M3*G3)/(0.08206*I3)*1000</f>
        <v>4325.5944244281436</v>
      </c>
      <c r="P3">
        <f>AVERAGE(0.78,0.806)</f>
        <v>0.79300000000000004</v>
      </c>
      <c r="Q3">
        <v>0</v>
      </c>
      <c r="R3" s="3">
        <v>6.6</v>
      </c>
      <c r="S3">
        <v>0.503</v>
      </c>
      <c r="T3">
        <f t="shared" ref="T3" si="6">AVERAGE(23, 30)</f>
        <v>26.5</v>
      </c>
    </row>
    <row r="4" spans="1:20" x14ac:dyDescent="0.25">
      <c r="A4" t="s">
        <v>47</v>
      </c>
      <c r="B4">
        <v>0.25963636400000001</v>
      </c>
      <c r="C4">
        <v>0.179397059</v>
      </c>
      <c r="D4">
        <v>0.50520329900000005</v>
      </c>
      <c r="E4">
        <v>0.28766928600000002</v>
      </c>
      <c r="F4">
        <v>100.65</v>
      </c>
      <c r="G4">
        <f t="shared" si="0"/>
        <v>1.0065</v>
      </c>
      <c r="H4" s="1">
        <v>15.8</v>
      </c>
      <c r="I4">
        <f t="shared" si="1"/>
        <v>288.95</v>
      </c>
      <c r="J4">
        <v>270</v>
      </c>
      <c r="K4">
        <v>0.6</v>
      </c>
      <c r="L4" s="2">
        <f t="shared" si="2"/>
        <v>116.83636380000002</v>
      </c>
      <c r="M4">
        <f t="shared" si="3"/>
        <v>80.728676550000003</v>
      </c>
      <c r="N4" s="2">
        <f t="shared" si="4"/>
        <v>4.959496637172494</v>
      </c>
      <c r="O4" s="2">
        <f t="shared" si="5"/>
        <v>3426.7892876097108</v>
      </c>
      <c r="P4">
        <v>0.80800000000000005</v>
      </c>
      <c r="Q4">
        <v>190</v>
      </c>
      <c r="R4">
        <f>AVERAGE(4.1,3,3.3)</f>
        <v>3.4666666666666663</v>
      </c>
      <c r="S4">
        <v>0.46500000000000002</v>
      </c>
      <c r="T4">
        <f>AVERAGE(26,17)</f>
        <v>21.5</v>
      </c>
    </row>
    <row r="5" spans="1:20" x14ac:dyDescent="0.25">
      <c r="A5" t="s">
        <v>48</v>
      </c>
      <c r="B5">
        <v>0.803083624</v>
      </c>
      <c r="C5">
        <v>0.19197402599999999</v>
      </c>
      <c r="D5">
        <v>1.061921082</v>
      </c>
      <c r="E5">
        <v>0.109188857</v>
      </c>
      <c r="F5">
        <v>100.65</v>
      </c>
      <c r="G5">
        <f t="shared" si="0"/>
        <v>1.0065</v>
      </c>
      <c r="H5" s="1">
        <v>16.3</v>
      </c>
      <c r="I5">
        <f t="shared" si="1"/>
        <v>289.45</v>
      </c>
      <c r="J5">
        <v>270</v>
      </c>
      <c r="K5">
        <v>0.6</v>
      </c>
      <c r="L5" s="2">
        <f t="shared" si="2"/>
        <v>361.38763080000001</v>
      </c>
      <c r="M5">
        <f t="shared" si="3"/>
        <v>86.388311700000003</v>
      </c>
      <c r="N5" s="2">
        <f t="shared" si="4"/>
        <v>15.313765646041285</v>
      </c>
      <c r="O5" s="2">
        <f t="shared" si="5"/>
        <v>3660.6962916866005</v>
      </c>
      <c r="P5">
        <f>AVERAGE(0.808,0.717)</f>
        <v>0.76249999999999996</v>
      </c>
      <c r="Q5">
        <v>0</v>
      </c>
      <c r="R5">
        <f t="shared" ref="R5" si="7">AVERAGE(4.1,3,3.3)</f>
        <v>3.4666666666666663</v>
      </c>
      <c r="S5">
        <v>0.46500000000000002</v>
      </c>
      <c r="T5">
        <f t="shared" ref="T5" si="8">AVERAGE(26,17)</f>
        <v>21.5</v>
      </c>
    </row>
    <row r="6" spans="1:20" x14ac:dyDescent="0.25">
      <c r="A6" t="s">
        <v>49</v>
      </c>
      <c r="B6">
        <v>0.97041289200000003</v>
      </c>
      <c r="C6">
        <v>0.34602597400000001</v>
      </c>
      <c r="D6">
        <v>1.9763199789999999</v>
      </c>
      <c r="E6">
        <v>0.20808143100000001</v>
      </c>
      <c r="F6">
        <v>99.76</v>
      </c>
      <c r="G6">
        <f t="shared" si="0"/>
        <v>0.99760000000000004</v>
      </c>
      <c r="H6" s="1">
        <v>26.1</v>
      </c>
      <c r="I6">
        <f t="shared" si="1"/>
        <v>299.25</v>
      </c>
      <c r="J6">
        <v>270</v>
      </c>
      <c r="K6">
        <v>0.6</v>
      </c>
      <c r="L6" s="2">
        <f t="shared" si="2"/>
        <v>436.6858014</v>
      </c>
      <c r="M6">
        <f t="shared" si="3"/>
        <v>155.71168830000002</v>
      </c>
      <c r="N6" s="2">
        <f t="shared" si="4"/>
        <v>17.740254262133522</v>
      </c>
      <c r="O6" s="2">
        <f t="shared" si="5"/>
        <v>6325.7493904588428</v>
      </c>
      <c r="P6">
        <f>AVERAGE(0.597,0.572)</f>
        <v>0.58450000000000002</v>
      </c>
      <c r="Q6">
        <f>AVERAGE(312,153)</f>
        <v>232.5</v>
      </c>
      <c r="R6">
        <v>12.5</v>
      </c>
      <c r="S6">
        <v>0.45700000000000002</v>
      </c>
      <c r="T6">
        <f>AVERAGE(21,31)</f>
        <v>26</v>
      </c>
    </row>
    <row r="7" spans="1:20" x14ac:dyDescent="0.25">
      <c r="A7" t="s">
        <v>50</v>
      </c>
      <c r="B7">
        <v>0.49201209699999998</v>
      </c>
      <c r="C7">
        <v>0.25472727299999998</v>
      </c>
      <c r="D7">
        <v>1.436417147</v>
      </c>
      <c r="E7">
        <v>0.13176473999999999</v>
      </c>
      <c r="F7">
        <v>99.76</v>
      </c>
      <c r="G7">
        <f t="shared" si="0"/>
        <v>0.99760000000000004</v>
      </c>
      <c r="H7" s="1">
        <v>26.1</v>
      </c>
      <c r="I7">
        <f t="shared" si="1"/>
        <v>299.25</v>
      </c>
      <c r="J7">
        <v>270</v>
      </c>
      <c r="K7">
        <v>0.6</v>
      </c>
      <c r="L7" s="2">
        <f t="shared" si="2"/>
        <v>221.40544365000002</v>
      </c>
      <c r="M7">
        <f t="shared" si="3"/>
        <v>114.62727285</v>
      </c>
      <c r="N7" s="2">
        <f t="shared" si="4"/>
        <v>8.9945421920729203</v>
      </c>
      <c r="O7" s="2">
        <f t="shared" si="5"/>
        <v>4656.7050250192869</v>
      </c>
      <c r="P7">
        <f>AVERAGE(0.597,0.572)</f>
        <v>0.58450000000000002</v>
      </c>
      <c r="Q7">
        <v>0</v>
      </c>
      <c r="R7">
        <v>10.3</v>
      </c>
      <c r="S7">
        <v>0.45700000000000002</v>
      </c>
      <c r="T7">
        <f t="shared" ref="T7" si="9">AVERAGE(21,31)</f>
        <v>26</v>
      </c>
    </row>
    <row r="8" spans="1:20" x14ac:dyDescent="0.25">
      <c r="A8" t="s">
        <v>51</v>
      </c>
      <c r="B8">
        <v>0.59060801399999996</v>
      </c>
      <c r="C8">
        <v>0.39910389600000001</v>
      </c>
      <c r="D8">
        <v>0.77473004000000001</v>
      </c>
      <c r="E8">
        <v>0.16152038499999999</v>
      </c>
      <c r="F8">
        <v>100.62</v>
      </c>
      <c r="G8">
        <f t="shared" si="0"/>
        <v>1.0062</v>
      </c>
      <c r="H8" s="1">
        <v>13.8</v>
      </c>
      <c r="I8">
        <f t="shared" si="1"/>
        <v>286.95</v>
      </c>
      <c r="J8">
        <v>270</v>
      </c>
      <c r="K8">
        <v>0.6</v>
      </c>
      <c r="L8" s="2">
        <f t="shared" si="2"/>
        <v>265.77360629999998</v>
      </c>
      <c r="M8">
        <f t="shared" si="3"/>
        <v>179.59675319999999</v>
      </c>
      <c r="N8" s="2">
        <f t="shared" si="4"/>
        <v>11.356863885250158</v>
      </c>
      <c r="O8" s="2">
        <f t="shared" si="5"/>
        <v>7674.4109722578778</v>
      </c>
      <c r="P8">
        <v>0.78</v>
      </c>
      <c r="Q8">
        <f>AVERAGE(693,782,709)</f>
        <v>728</v>
      </c>
      <c r="R8" s="3">
        <v>2.1</v>
      </c>
      <c r="S8">
        <v>0.503</v>
      </c>
      <c r="T8">
        <f>AVERAGE(25,31)</f>
        <v>28</v>
      </c>
    </row>
    <row r="9" spans="1:20" x14ac:dyDescent="0.25">
      <c r="A9" t="s">
        <v>52</v>
      </c>
      <c r="B9">
        <v>1.1813571430000001</v>
      </c>
      <c r="C9">
        <v>0.39785714300000002</v>
      </c>
      <c r="D9">
        <v>0.61025393299999997</v>
      </c>
      <c r="E9">
        <v>0.25974393699999998</v>
      </c>
      <c r="F9">
        <v>100.62</v>
      </c>
      <c r="G9">
        <f t="shared" si="0"/>
        <v>1.0062</v>
      </c>
      <c r="H9" s="1">
        <v>13.8</v>
      </c>
      <c r="I9">
        <f t="shared" si="1"/>
        <v>286.95</v>
      </c>
      <c r="J9">
        <v>270</v>
      </c>
      <c r="K9">
        <v>0.6</v>
      </c>
      <c r="L9" s="2">
        <f t="shared" si="2"/>
        <v>531.61071435000008</v>
      </c>
      <c r="M9">
        <f t="shared" si="3"/>
        <v>179.03571435000001</v>
      </c>
      <c r="N9" s="2">
        <f t="shared" si="4"/>
        <v>22.716441285740846</v>
      </c>
      <c r="O9" s="2">
        <f t="shared" si="5"/>
        <v>7650.4370271303287</v>
      </c>
      <c r="P9">
        <v>0.78</v>
      </c>
      <c r="Q9">
        <v>0</v>
      </c>
      <c r="R9" s="3">
        <v>2.2000000000000002</v>
      </c>
      <c r="S9">
        <v>0.503</v>
      </c>
      <c r="T9">
        <f t="shared" ref="T9" si="10">AVERAGE(25,31)</f>
        <v>28</v>
      </c>
    </row>
    <row r="10" spans="1:20" x14ac:dyDescent="0.25">
      <c r="A10" t="s">
        <v>53</v>
      </c>
      <c r="B10">
        <v>1.5439233450000001</v>
      </c>
      <c r="C10">
        <v>0.33211688299999997</v>
      </c>
      <c r="D10">
        <v>2.00302801</v>
      </c>
      <c r="E10">
        <v>0.25030672500000001</v>
      </c>
      <c r="F10">
        <v>100.65</v>
      </c>
      <c r="G10">
        <f t="shared" si="0"/>
        <v>1.0065</v>
      </c>
      <c r="H10" s="1">
        <v>14.85</v>
      </c>
      <c r="I10">
        <f t="shared" si="1"/>
        <v>288</v>
      </c>
      <c r="J10">
        <v>270</v>
      </c>
      <c r="K10">
        <v>0.6</v>
      </c>
      <c r="L10" s="2">
        <f t="shared" si="2"/>
        <v>694.76550525000005</v>
      </c>
      <c r="M10">
        <f t="shared" si="3"/>
        <v>149.45259734999999</v>
      </c>
      <c r="N10" s="2">
        <f t="shared" si="4"/>
        <v>29.588845942422086</v>
      </c>
      <c r="O10" s="2">
        <f t="shared" si="5"/>
        <v>6364.9243453627678</v>
      </c>
      <c r="P10">
        <f>AVERAGE(0.808,0.888)</f>
        <v>0.84800000000000009</v>
      </c>
      <c r="Q10">
        <v>137</v>
      </c>
      <c r="R10">
        <f>AVERAGE(4.1,3)</f>
        <v>3.55</v>
      </c>
      <c r="S10">
        <v>0.46500000000000002</v>
      </c>
      <c r="T10">
        <f>AVERAGE(29,34)</f>
        <v>31.5</v>
      </c>
    </row>
    <row r="11" spans="1:20" x14ac:dyDescent="0.25">
      <c r="A11" t="s">
        <v>54</v>
      </c>
      <c r="B11">
        <v>1.2136864110000001</v>
      </c>
      <c r="C11">
        <v>0.35062337700000001</v>
      </c>
      <c r="D11">
        <v>0.84888333000000005</v>
      </c>
      <c r="E11">
        <v>0.170094249</v>
      </c>
      <c r="F11">
        <v>100.65</v>
      </c>
      <c r="G11">
        <f t="shared" si="0"/>
        <v>1.0065</v>
      </c>
      <c r="H11" s="1">
        <v>15.8</v>
      </c>
      <c r="I11">
        <f t="shared" si="1"/>
        <v>288.95</v>
      </c>
      <c r="J11">
        <v>270</v>
      </c>
      <c r="K11">
        <v>0.6</v>
      </c>
      <c r="L11" s="2">
        <f t="shared" si="2"/>
        <v>546.15888495000013</v>
      </c>
      <c r="M11">
        <f t="shared" si="3"/>
        <v>157.78051965</v>
      </c>
      <c r="N11" s="2">
        <f t="shared" si="4"/>
        <v>23.18347700299968</v>
      </c>
      <c r="O11" s="2">
        <f t="shared" si="5"/>
        <v>6697.5035097378095</v>
      </c>
      <c r="P11">
        <v>0.80800000000000005</v>
      </c>
      <c r="Q11">
        <v>0</v>
      </c>
      <c r="R11">
        <f t="shared" ref="R11" si="11">AVERAGE(4.1,3)</f>
        <v>3.55</v>
      </c>
      <c r="S11">
        <v>0.46500000000000002</v>
      </c>
      <c r="T11">
        <f t="shared" ref="T11" si="12">AVERAGE(29,34)</f>
        <v>31.5</v>
      </c>
    </row>
    <row r="12" spans="1:20" x14ac:dyDescent="0.25">
      <c r="A12" t="s">
        <v>55</v>
      </c>
      <c r="B12">
        <v>2.1816027149999999</v>
      </c>
      <c r="C12">
        <v>0.39773684199999998</v>
      </c>
      <c r="D12">
        <v>2.4826100640000002</v>
      </c>
      <c r="E12">
        <v>0.20621602999999999</v>
      </c>
      <c r="F12">
        <v>99.77</v>
      </c>
      <c r="G12">
        <f t="shared" si="0"/>
        <v>0.99769999999999992</v>
      </c>
      <c r="H12" s="1">
        <v>25.6</v>
      </c>
      <c r="I12">
        <f t="shared" si="1"/>
        <v>298.75</v>
      </c>
      <c r="J12">
        <v>270</v>
      </c>
      <c r="K12">
        <v>0.6</v>
      </c>
      <c r="L12" s="2">
        <f t="shared" si="2"/>
        <v>981.72122174999993</v>
      </c>
      <c r="M12">
        <f t="shared" si="3"/>
        <v>178.98157890000002</v>
      </c>
      <c r="N12" s="2">
        <f t="shared" si="4"/>
        <v>39.952938321076424</v>
      </c>
      <c r="O12" s="2">
        <f t="shared" si="5"/>
        <v>7283.9822792600999</v>
      </c>
      <c r="P12">
        <v>0.59699999999999998</v>
      </c>
      <c r="Q12">
        <f>AVERAGE(562,449)</f>
        <v>505.5</v>
      </c>
      <c r="R12">
        <v>11.5</v>
      </c>
      <c r="S12">
        <v>0.45700000000000002</v>
      </c>
      <c r="T12">
        <f>AVERAGE(31,21)</f>
        <v>26</v>
      </c>
    </row>
    <row r="13" spans="1:20" x14ac:dyDescent="0.25">
      <c r="A13" t="s">
        <v>56</v>
      </c>
      <c r="B13">
        <v>1.7505909500000001</v>
      </c>
      <c r="C13">
        <v>0.28761038999999999</v>
      </c>
      <c r="D13">
        <v>0.98502042899999998</v>
      </c>
      <c r="E13">
        <v>0.24086738999999999</v>
      </c>
      <c r="F13">
        <v>99.77</v>
      </c>
      <c r="G13">
        <f t="shared" si="0"/>
        <v>0.99769999999999992</v>
      </c>
      <c r="H13" s="1">
        <v>25.6</v>
      </c>
      <c r="I13">
        <f t="shared" si="1"/>
        <v>298.75</v>
      </c>
      <c r="J13">
        <v>270</v>
      </c>
      <c r="K13">
        <v>0.6</v>
      </c>
      <c r="L13" s="2">
        <f t="shared" si="2"/>
        <v>787.76592750000009</v>
      </c>
      <c r="M13">
        <f t="shared" si="3"/>
        <v>129.42467550000001</v>
      </c>
      <c r="N13" s="2">
        <f t="shared" si="4"/>
        <v>32.059573344812506</v>
      </c>
      <c r="O13" s="2">
        <f t="shared" si="5"/>
        <v>5267.1735752633294</v>
      </c>
      <c r="P13">
        <v>0.59699999999999998</v>
      </c>
      <c r="Q13">
        <v>0</v>
      </c>
      <c r="R13">
        <v>14.9</v>
      </c>
      <c r="S13">
        <v>0.45700000000000002</v>
      </c>
      <c r="T13">
        <f t="shared" ref="T13" si="13">AVERAGE(31,21)</f>
        <v>26</v>
      </c>
    </row>
    <row r="14" spans="1:20" x14ac:dyDescent="0.25">
      <c r="A14" t="s">
        <v>57</v>
      </c>
      <c r="B14">
        <v>1.06325812</v>
      </c>
      <c r="C14">
        <v>0.37455844199999999</v>
      </c>
      <c r="D14">
        <v>1.8200464460000001</v>
      </c>
      <c r="E14">
        <v>0.39191860899999997</v>
      </c>
      <c r="F14">
        <v>100.63</v>
      </c>
      <c r="G14">
        <f t="shared" si="0"/>
        <v>1.0063</v>
      </c>
      <c r="H14" s="1">
        <v>13.8</v>
      </c>
      <c r="I14">
        <f t="shared" si="1"/>
        <v>286.95</v>
      </c>
      <c r="J14">
        <v>270</v>
      </c>
      <c r="K14">
        <v>0.6</v>
      </c>
      <c r="L14" s="2">
        <f t="shared" si="2"/>
        <v>478.46615400000002</v>
      </c>
      <c r="M14">
        <f t="shared" si="3"/>
        <v>168.55129890000001</v>
      </c>
      <c r="N14" s="2">
        <f t="shared" si="4"/>
        <v>20.447534650216419</v>
      </c>
      <c r="O14" s="2">
        <f t="shared" si="5"/>
        <v>7203.1396490309207</v>
      </c>
      <c r="P14">
        <v>0.78</v>
      </c>
      <c r="Q14">
        <f>AVERAGE(100,203,475)</f>
        <v>259.33333333333331</v>
      </c>
      <c r="R14" s="3">
        <v>6.2</v>
      </c>
      <c r="S14">
        <v>0.503</v>
      </c>
      <c r="T14">
        <f>AVERAGE(43,40)</f>
        <v>41.5</v>
      </c>
    </row>
    <row r="15" spans="1:20" x14ac:dyDescent="0.25">
      <c r="A15" t="s">
        <v>58</v>
      </c>
      <c r="B15">
        <v>0.655597561</v>
      </c>
      <c r="C15">
        <v>0.33211764700000002</v>
      </c>
      <c r="D15">
        <v>0.48287050999999998</v>
      </c>
      <c r="E15">
        <v>0.37256632499999998</v>
      </c>
      <c r="F15">
        <v>100.63</v>
      </c>
      <c r="G15">
        <f t="shared" si="0"/>
        <v>1.0063</v>
      </c>
      <c r="H15" s="1">
        <v>13.8</v>
      </c>
      <c r="I15">
        <f t="shared" si="1"/>
        <v>286.95</v>
      </c>
      <c r="J15">
        <v>270</v>
      </c>
      <c r="K15">
        <v>0.6</v>
      </c>
      <c r="L15" s="2">
        <f t="shared" si="2"/>
        <v>295.01890244999998</v>
      </c>
      <c r="M15">
        <f t="shared" si="3"/>
        <v>149.45294115000002</v>
      </c>
      <c r="N15" s="2">
        <f t="shared" si="4"/>
        <v>12.607807636724065</v>
      </c>
      <c r="O15" s="2">
        <f t="shared" si="5"/>
        <v>6386.9600121002086</v>
      </c>
      <c r="P15">
        <v>0.78</v>
      </c>
      <c r="Q15">
        <v>0</v>
      </c>
      <c r="R15" s="3">
        <v>5.4</v>
      </c>
      <c r="S15">
        <v>0.503</v>
      </c>
      <c r="T15">
        <f t="shared" ref="T15" si="14">AVERAGE(43,40)</f>
        <v>41.5</v>
      </c>
    </row>
    <row r="16" spans="1:20" x14ac:dyDescent="0.25">
      <c r="A16" t="s">
        <v>59</v>
      </c>
      <c r="B16">
        <v>-0.24415384600000001</v>
      </c>
      <c r="C16">
        <v>0.186892857</v>
      </c>
      <c r="D16">
        <v>0.89498820599999995</v>
      </c>
      <c r="E16">
        <v>0.17223002000000001</v>
      </c>
      <c r="F16">
        <v>100.66</v>
      </c>
      <c r="G16">
        <f t="shared" si="0"/>
        <v>1.0065999999999999</v>
      </c>
      <c r="H16" s="1">
        <v>13.9</v>
      </c>
      <c r="I16">
        <f t="shared" si="1"/>
        <v>287.04999999999995</v>
      </c>
      <c r="J16">
        <v>270</v>
      </c>
      <c r="K16">
        <v>0.6</v>
      </c>
      <c r="L16" s="2">
        <f t="shared" si="2"/>
        <v>-109.86923070000002</v>
      </c>
      <c r="M16">
        <f t="shared" si="3"/>
        <v>84.101785650000011</v>
      </c>
      <c r="N16" s="2">
        <f t="shared" si="4"/>
        <v>-4.6950902614504599</v>
      </c>
      <c r="O16" s="2">
        <f t="shared" si="5"/>
        <v>3593.9586748731922</v>
      </c>
      <c r="P16">
        <v>0.88800000000000001</v>
      </c>
      <c r="Q16">
        <v>153</v>
      </c>
      <c r="R16">
        <f>AVERAGE(4,4.1,2.8,3)</f>
        <v>3.4749999999999996</v>
      </c>
      <c r="S16">
        <v>0.46500000000000002</v>
      </c>
      <c r="T16">
        <f>AVERAGE(41,37)</f>
        <v>39</v>
      </c>
    </row>
    <row r="17" spans="1:20" x14ac:dyDescent="0.25">
      <c r="A17" t="s">
        <v>60</v>
      </c>
      <c r="B17">
        <v>0.36940724000000003</v>
      </c>
      <c r="C17">
        <v>0.23135087700000001</v>
      </c>
      <c r="D17">
        <v>1.750144275</v>
      </c>
      <c r="E17">
        <v>0.23466801400000001</v>
      </c>
      <c r="F17">
        <v>100.66</v>
      </c>
      <c r="G17">
        <f t="shared" si="0"/>
        <v>1.0065999999999999</v>
      </c>
      <c r="H17" s="1">
        <v>14.85</v>
      </c>
      <c r="I17">
        <f t="shared" si="1"/>
        <v>288</v>
      </c>
      <c r="J17">
        <v>270</v>
      </c>
      <c r="K17">
        <v>0.6</v>
      </c>
      <c r="L17" s="2">
        <f t="shared" si="2"/>
        <v>166.23325800000001</v>
      </c>
      <c r="M17">
        <f t="shared" si="3"/>
        <v>104.10789465000001</v>
      </c>
      <c r="N17" s="2">
        <f t="shared" si="4"/>
        <v>7.0802866763648549</v>
      </c>
      <c r="O17" s="2">
        <f t="shared" si="5"/>
        <v>4434.2133954614001</v>
      </c>
      <c r="P17">
        <f>AVERAGE(0.808,0.888)</f>
        <v>0.84800000000000009</v>
      </c>
      <c r="Q17">
        <v>0</v>
      </c>
      <c r="R17">
        <f t="shared" ref="R17" si="15">AVERAGE(4,4.1,2.8,3)</f>
        <v>3.4749999999999996</v>
      </c>
      <c r="S17">
        <v>0.46500000000000002</v>
      </c>
      <c r="T17">
        <f t="shared" ref="T17" si="16">AVERAGE(41,37)</f>
        <v>39</v>
      </c>
    </row>
    <row r="18" spans="1:20" x14ac:dyDescent="0.25">
      <c r="A18" t="s">
        <v>61</v>
      </c>
      <c r="B18">
        <v>0.22495296200000001</v>
      </c>
      <c r="C18">
        <v>0.15498553900000001</v>
      </c>
      <c r="D18">
        <v>1.496167834</v>
      </c>
      <c r="E18">
        <v>0.119157226</v>
      </c>
      <c r="F18">
        <v>99.77</v>
      </c>
      <c r="G18">
        <f t="shared" si="0"/>
        <v>0.99769999999999992</v>
      </c>
      <c r="H18" s="1">
        <v>25.6</v>
      </c>
      <c r="I18">
        <f t="shared" si="1"/>
        <v>298.75</v>
      </c>
      <c r="J18">
        <v>270</v>
      </c>
      <c r="K18">
        <v>0.6</v>
      </c>
      <c r="L18" s="2">
        <f t="shared" si="2"/>
        <v>101.22883290000001</v>
      </c>
      <c r="M18">
        <f t="shared" si="3"/>
        <v>69.743492549999999</v>
      </c>
      <c r="N18" s="2">
        <f t="shared" si="4"/>
        <v>4.1196922584181195</v>
      </c>
      <c r="O18" s="2">
        <f t="shared" si="5"/>
        <v>2838.3388220736538</v>
      </c>
      <c r="P18">
        <f>AVERAGE(0.585,0.597)</f>
        <v>0.59099999999999997</v>
      </c>
      <c r="Q18">
        <f>AVERAGE(456,755)</f>
        <v>605.5</v>
      </c>
      <c r="R18">
        <v>12.1</v>
      </c>
      <c r="S18">
        <v>0.45700000000000002</v>
      </c>
      <c r="T18">
        <f>AVERAGE(42,38)</f>
        <v>40</v>
      </c>
    </row>
    <row r="19" spans="1:20" x14ac:dyDescent="0.25">
      <c r="A19" t="s">
        <v>62</v>
      </c>
      <c r="B19">
        <v>1.00403501</v>
      </c>
      <c r="C19">
        <v>0.32747058800000001</v>
      </c>
      <c r="D19">
        <v>0.865631339</v>
      </c>
      <c r="E19">
        <v>0.238540111</v>
      </c>
      <c r="F19">
        <v>99.77</v>
      </c>
      <c r="G19">
        <f t="shared" si="0"/>
        <v>0.99769999999999992</v>
      </c>
      <c r="H19" s="1">
        <v>25.6</v>
      </c>
      <c r="I19">
        <f t="shared" si="1"/>
        <v>298.75</v>
      </c>
      <c r="J19">
        <v>270</v>
      </c>
      <c r="K19">
        <v>0.6</v>
      </c>
      <c r="L19" s="2">
        <f t="shared" si="2"/>
        <v>451.81575449999997</v>
      </c>
      <c r="M19">
        <f t="shared" si="3"/>
        <v>147.36176460000001</v>
      </c>
      <c r="N19" s="2">
        <f t="shared" si="4"/>
        <v>18.387467411421582</v>
      </c>
      <c r="O19" s="2">
        <f t="shared" si="5"/>
        <v>5997.1561798916409</v>
      </c>
      <c r="P19">
        <f>AVERAGE(0.585,0.597)</f>
        <v>0.59099999999999997</v>
      </c>
      <c r="Q19">
        <v>0</v>
      </c>
      <c r="R19">
        <v>9.1999999999999993</v>
      </c>
      <c r="S19">
        <v>0.45600000000000002</v>
      </c>
      <c r="T19">
        <f t="shared" ref="T19" si="17">AVERAGE(42,38)</f>
        <v>40</v>
      </c>
    </row>
    <row r="20" spans="1:20" x14ac:dyDescent="0.25">
      <c r="A20" t="s">
        <v>63</v>
      </c>
      <c r="B20">
        <v>0.56234105499999998</v>
      </c>
      <c r="C20">
        <v>0.26427272699999999</v>
      </c>
      <c r="D20">
        <v>0.94370445400000003</v>
      </c>
      <c r="E20">
        <v>0.210966236</v>
      </c>
      <c r="F20">
        <v>100.62</v>
      </c>
      <c r="G20">
        <f t="shared" si="0"/>
        <v>1.0062</v>
      </c>
      <c r="H20" s="1">
        <v>13.3</v>
      </c>
      <c r="I20">
        <f t="shared" si="1"/>
        <v>286.45</v>
      </c>
      <c r="J20">
        <v>270</v>
      </c>
      <c r="K20">
        <v>0.6</v>
      </c>
      <c r="L20" s="2">
        <f t="shared" si="2"/>
        <v>253.05347475000002</v>
      </c>
      <c r="M20">
        <f t="shared" si="3"/>
        <v>118.92272715</v>
      </c>
      <c r="N20" s="2">
        <f t="shared" si="4"/>
        <v>10.832190244741716</v>
      </c>
      <c r="O20" s="2">
        <f t="shared" si="5"/>
        <v>5090.5983653651083</v>
      </c>
      <c r="P20">
        <v>0.80600000000000005</v>
      </c>
      <c r="Q20">
        <f>AVERAGE(461,333,129)</f>
        <v>307.66666666666669</v>
      </c>
      <c r="R20" s="3">
        <v>2.4</v>
      </c>
      <c r="S20">
        <v>0.503</v>
      </c>
      <c r="T20">
        <f>AVERAGE(21,14)</f>
        <v>17.5</v>
      </c>
    </row>
    <row r="21" spans="1:20" x14ac:dyDescent="0.25">
      <c r="A21" t="s">
        <v>64</v>
      </c>
      <c r="B21">
        <v>0.34864768000000002</v>
      </c>
      <c r="C21">
        <v>0.188038961</v>
      </c>
      <c r="D21">
        <v>0.75171259599999996</v>
      </c>
      <c r="E21">
        <v>0.14593498799999999</v>
      </c>
      <c r="F21">
        <v>100.62</v>
      </c>
      <c r="G21">
        <f t="shared" si="0"/>
        <v>1.0062</v>
      </c>
      <c r="H21" s="1">
        <v>13.3</v>
      </c>
      <c r="I21">
        <f t="shared" si="1"/>
        <v>286.45</v>
      </c>
      <c r="J21">
        <v>270</v>
      </c>
      <c r="K21">
        <v>0.6</v>
      </c>
      <c r="L21" s="2">
        <f t="shared" si="2"/>
        <v>156.89145600000001</v>
      </c>
      <c r="M21">
        <f t="shared" si="3"/>
        <v>84.617532450000013</v>
      </c>
      <c r="N21" s="2">
        <f t="shared" si="4"/>
        <v>6.7158852524965136</v>
      </c>
      <c r="O21" s="2">
        <f t="shared" si="5"/>
        <v>3622.1324779062556</v>
      </c>
      <c r="P21">
        <v>0.80600000000000005</v>
      </c>
      <c r="Q21">
        <v>0</v>
      </c>
      <c r="R21" s="3">
        <v>3.1</v>
      </c>
      <c r="S21">
        <v>0.503</v>
      </c>
      <c r="T21">
        <f t="shared" ref="T21" si="18">AVERAGE(21,14)</f>
        <v>17.5</v>
      </c>
    </row>
    <row r="22" spans="1:20" x14ac:dyDescent="0.25">
      <c r="A22" t="s">
        <v>65</v>
      </c>
      <c r="B22">
        <v>1.077367269</v>
      </c>
      <c r="C22">
        <v>0.177912088</v>
      </c>
      <c r="D22">
        <v>0.834172943</v>
      </c>
      <c r="E22">
        <v>0.18923728100000001</v>
      </c>
      <c r="F22">
        <v>100.63</v>
      </c>
      <c r="G22">
        <f t="shared" si="0"/>
        <v>1.0063</v>
      </c>
      <c r="H22" s="1">
        <v>16.8</v>
      </c>
      <c r="I22">
        <f t="shared" si="1"/>
        <v>289.95</v>
      </c>
      <c r="J22">
        <v>270</v>
      </c>
      <c r="K22">
        <v>0.6</v>
      </c>
      <c r="L22" s="2">
        <f t="shared" si="2"/>
        <v>484.81527104999998</v>
      </c>
      <c r="M22">
        <f t="shared" si="3"/>
        <v>80.060439599999995</v>
      </c>
      <c r="N22" s="2">
        <f t="shared" si="4"/>
        <v>20.504497853223747</v>
      </c>
      <c r="O22" s="2">
        <f t="shared" si="5"/>
        <v>3386.0301230838245</v>
      </c>
      <c r="P22">
        <v>0.71699999999999997</v>
      </c>
      <c r="Q22">
        <v>84</v>
      </c>
      <c r="R22">
        <f>AVERAGE(3.9,2.7)</f>
        <v>3.3</v>
      </c>
      <c r="S22">
        <v>0.46500000000000002</v>
      </c>
      <c r="T22">
        <f>AVERAGE(28, 8)</f>
        <v>18</v>
      </c>
    </row>
    <row r="23" spans="1:20" x14ac:dyDescent="0.25">
      <c r="A23" t="s">
        <v>66</v>
      </c>
      <c r="B23">
        <v>0.66913660200000002</v>
      </c>
      <c r="C23">
        <v>0.101897059</v>
      </c>
      <c r="D23">
        <v>0.56696093299999994</v>
      </c>
      <c r="E23">
        <v>7.1580262000000006E-2</v>
      </c>
      <c r="F23">
        <v>100.63</v>
      </c>
      <c r="G23">
        <f t="shared" si="0"/>
        <v>1.0063</v>
      </c>
      <c r="H23" s="1">
        <v>16.8</v>
      </c>
      <c r="I23">
        <f t="shared" si="1"/>
        <v>289.95</v>
      </c>
      <c r="J23">
        <v>270</v>
      </c>
      <c r="K23">
        <v>0.6</v>
      </c>
      <c r="L23" s="2">
        <f t="shared" si="2"/>
        <v>301.11147090000003</v>
      </c>
      <c r="M23">
        <f t="shared" si="3"/>
        <v>45.853676550000003</v>
      </c>
      <c r="N23" s="2">
        <f t="shared" si="4"/>
        <v>12.735035130552525</v>
      </c>
      <c r="O23" s="2">
        <f t="shared" si="5"/>
        <v>1939.3089874120853</v>
      </c>
      <c r="P23">
        <v>0.71699999999999997</v>
      </c>
      <c r="Q23">
        <v>0</v>
      </c>
      <c r="R23">
        <f t="shared" ref="R23" si="19">AVERAGE(3.9,2.7)</f>
        <v>3.3</v>
      </c>
      <c r="S23">
        <v>0.46500000000000002</v>
      </c>
      <c r="T23">
        <f t="shared" ref="T23" si="20">AVERAGE(28, 8)</f>
        <v>18</v>
      </c>
    </row>
    <row r="24" spans="1:20" x14ac:dyDescent="0.25">
      <c r="A24" t="s">
        <v>67</v>
      </c>
      <c r="B24">
        <v>-2.0864949999999998E-3</v>
      </c>
      <c r="C24">
        <v>0.15579220799999999</v>
      </c>
      <c r="D24">
        <v>0.37901222899999998</v>
      </c>
      <c r="E24">
        <v>6.4456662999999997E-2</v>
      </c>
      <c r="F24">
        <v>100.63</v>
      </c>
      <c r="G24">
        <f t="shared" si="0"/>
        <v>1.0063</v>
      </c>
      <c r="H24" s="1">
        <v>16.8</v>
      </c>
      <c r="I24">
        <f t="shared" si="1"/>
        <v>289.95</v>
      </c>
      <c r="J24">
        <v>270</v>
      </c>
      <c r="K24">
        <v>0.6</v>
      </c>
      <c r="L24" s="2">
        <f t="shared" si="2"/>
        <v>-0.93892274999999992</v>
      </c>
      <c r="M24">
        <f t="shared" si="3"/>
        <v>70.106493600000007</v>
      </c>
      <c r="N24" s="2">
        <f t="shared" si="4"/>
        <v>-3.9710258032966177E-2</v>
      </c>
      <c r="O24" s="2">
        <f t="shared" si="5"/>
        <v>2965.0436637545445</v>
      </c>
      <c r="P24">
        <v>0.71699999999999997</v>
      </c>
      <c r="Q24">
        <v>84</v>
      </c>
      <c r="R24">
        <f>AVERAGE(4.1,3.3)</f>
        <v>3.6999999999999997</v>
      </c>
      <c r="S24">
        <v>0.46500000000000002</v>
      </c>
      <c r="T24">
        <f>AVERAGE(28, 8)</f>
        <v>18</v>
      </c>
    </row>
    <row r="25" spans="1:20" x14ac:dyDescent="0.25">
      <c r="A25" t="s">
        <v>68</v>
      </c>
      <c r="B25">
        <v>0.62015325300000002</v>
      </c>
      <c r="C25">
        <v>0.15205194799999999</v>
      </c>
      <c r="D25">
        <v>0.30092755900000001</v>
      </c>
      <c r="E25">
        <v>9.5233779000000005E-2</v>
      </c>
      <c r="F25">
        <v>100.63</v>
      </c>
      <c r="G25">
        <f t="shared" si="0"/>
        <v>1.0063</v>
      </c>
      <c r="H25" s="1">
        <v>17.100000000000001</v>
      </c>
      <c r="I25">
        <f t="shared" si="1"/>
        <v>290.25</v>
      </c>
      <c r="J25">
        <v>270</v>
      </c>
      <c r="K25">
        <v>0.6</v>
      </c>
      <c r="L25" s="2">
        <f t="shared" si="2"/>
        <v>279.06896385000005</v>
      </c>
      <c r="M25">
        <f t="shared" si="3"/>
        <v>68.423376599999997</v>
      </c>
      <c r="N25" s="2">
        <f t="shared" si="4"/>
        <v>11.790582774447513</v>
      </c>
      <c r="O25" s="2">
        <f t="shared" si="5"/>
        <v>2890.8678141046348</v>
      </c>
      <c r="P25">
        <f>AVERAGE(0.717,0.66)</f>
        <v>0.6885</v>
      </c>
      <c r="Q25">
        <v>0</v>
      </c>
      <c r="R25">
        <f t="shared" ref="R25" si="21">AVERAGE(4.1,3.3)</f>
        <v>3.6999999999999997</v>
      </c>
      <c r="S25">
        <v>0.46500000000000002</v>
      </c>
      <c r="T25">
        <f t="shared" ref="T25" si="22">AVERAGE(28, 8)</f>
        <v>18</v>
      </c>
    </row>
    <row r="26" spans="1:20" x14ac:dyDescent="0.25">
      <c r="A26" t="s">
        <v>69</v>
      </c>
      <c r="B26">
        <v>0.802735529</v>
      </c>
      <c r="C26">
        <v>0.21710294099999999</v>
      </c>
      <c r="D26">
        <v>1.00102617</v>
      </c>
      <c r="E26">
        <v>0.114497347</v>
      </c>
      <c r="F26">
        <v>99.75</v>
      </c>
      <c r="G26">
        <f t="shared" si="0"/>
        <v>0.99750000000000005</v>
      </c>
      <c r="H26" s="1">
        <v>25.36</v>
      </c>
      <c r="I26">
        <f t="shared" si="1"/>
        <v>298.51</v>
      </c>
      <c r="J26">
        <v>270</v>
      </c>
      <c r="K26">
        <v>0.6</v>
      </c>
      <c r="L26" s="2">
        <f t="shared" si="2"/>
        <v>361.23098805000001</v>
      </c>
      <c r="M26">
        <f t="shared" si="3"/>
        <v>97.696323449999994</v>
      </c>
      <c r="N26" s="2">
        <f t="shared" si="4"/>
        <v>14.709825008439433</v>
      </c>
      <c r="O26" s="2">
        <f t="shared" si="5"/>
        <v>3978.3292947128921</v>
      </c>
      <c r="P26">
        <f>AVERAGE(0.583,0.577)</f>
        <v>0.57999999999999996</v>
      </c>
      <c r="Q26">
        <f>AVERAGE(230, 225)</f>
        <v>227.5</v>
      </c>
      <c r="R26">
        <v>7.2</v>
      </c>
      <c r="S26">
        <v>0.45600000000000002</v>
      </c>
      <c r="T26">
        <f>AVERAGE(6,28)</f>
        <v>17</v>
      </c>
    </row>
    <row r="27" spans="1:20" x14ac:dyDescent="0.25">
      <c r="A27" t="s">
        <v>70</v>
      </c>
      <c r="B27">
        <v>0.68908148899999999</v>
      </c>
      <c r="C27">
        <v>0.297666667</v>
      </c>
      <c r="D27">
        <v>0.84427490299999997</v>
      </c>
      <c r="E27">
        <v>0.17047775600000001</v>
      </c>
      <c r="F27">
        <v>99.75</v>
      </c>
      <c r="G27">
        <f t="shared" si="0"/>
        <v>0.99750000000000005</v>
      </c>
      <c r="H27" s="1">
        <v>25.5</v>
      </c>
      <c r="I27">
        <f t="shared" si="1"/>
        <v>298.64999999999998</v>
      </c>
      <c r="J27">
        <v>270</v>
      </c>
      <c r="K27">
        <v>0.6</v>
      </c>
      <c r="L27" s="2">
        <f t="shared" si="2"/>
        <v>310.08667005000001</v>
      </c>
      <c r="M27">
        <f t="shared" si="3"/>
        <v>133.95000015000002</v>
      </c>
      <c r="N27" s="2">
        <f t="shared" si="4"/>
        <v>12.621238394077889</v>
      </c>
      <c r="O27" s="2">
        <f t="shared" si="5"/>
        <v>5452.0721077991357</v>
      </c>
      <c r="P27">
        <v>0.58299999999999996</v>
      </c>
      <c r="Q27">
        <v>0</v>
      </c>
      <c r="R27">
        <v>9.1999999999999993</v>
      </c>
      <c r="S27">
        <v>0.45600000000000002</v>
      </c>
      <c r="T27">
        <f t="shared" ref="T27" si="23">AVERAGE(6,28)</f>
        <v>17</v>
      </c>
    </row>
    <row r="28" spans="1:20" x14ac:dyDescent="0.25">
      <c r="A28" t="s">
        <v>71</v>
      </c>
      <c r="B28">
        <v>-0.283775261</v>
      </c>
      <c r="C28">
        <v>0.21103076900000001</v>
      </c>
      <c r="D28">
        <v>0.434005476</v>
      </c>
      <c r="E28">
        <v>0.111060045</v>
      </c>
      <c r="F28">
        <v>100.65</v>
      </c>
      <c r="G28">
        <f t="shared" si="0"/>
        <v>1.0065</v>
      </c>
      <c r="H28" s="1">
        <v>13.1</v>
      </c>
      <c r="I28">
        <f t="shared" si="1"/>
        <v>286.25</v>
      </c>
      <c r="J28">
        <v>270</v>
      </c>
      <c r="K28">
        <v>0.6</v>
      </c>
      <c r="L28" s="2">
        <f t="shared" si="2"/>
        <v>-127.69886745000001</v>
      </c>
      <c r="M28">
        <f t="shared" si="3"/>
        <v>94.963846050000015</v>
      </c>
      <c r="N28" s="2">
        <f t="shared" si="4"/>
        <v>-5.4717193868550762</v>
      </c>
      <c r="O28" s="2">
        <f t="shared" si="5"/>
        <v>4069.0691143800423</v>
      </c>
      <c r="P28">
        <f>AVERAGE(0.806,0.834)</f>
        <v>0.82000000000000006</v>
      </c>
      <c r="Q28">
        <f>AVERAGE(304,263,150)</f>
        <v>239</v>
      </c>
      <c r="R28" s="3">
        <v>3.7</v>
      </c>
      <c r="S28">
        <v>0.503</v>
      </c>
      <c r="T28">
        <f>AVERAGE(14,20)</f>
        <v>17</v>
      </c>
    </row>
    <row r="29" spans="1:20" x14ac:dyDescent="0.25">
      <c r="A29" t="s">
        <v>72</v>
      </c>
      <c r="B29">
        <v>0.66224782000000004</v>
      </c>
      <c r="C29">
        <v>0.23374026000000001</v>
      </c>
      <c r="D29">
        <v>0.94524336099999995</v>
      </c>
      <c r="E29">
        <v>0.17924196000000001</v>
      </c>
      <c r="F29">
        <v>100.65</v>
      </c>
      <c r="G29">
        <f t="shared" si="0"/>
        <v>1.0065</v>
      </c>
      <c r="H29" s="1">
        <v>12.9</v>
      </c>
      <c r="I29">
        <f t="shared" si="1"/>
        <v>286.04999999999995</v>
      </c>
      <c r="J29">
        <v>270</v>
      </c>
      <c r="K29">
        <v>0.6</v>
      </c>
      <c r="L29" s="2">
        <f>B30*J29/K29</f>
        <v>325.72865834999999</v>
      </c>
      <c r="M29">
        <f t="shared" si="3"/>
        <v>105.18311700000001</v>
      </c>
      <c r="N29" s="2">
        <f t="shared" si="4"/>
        <v>13.966779762544093</v>
      </c>
      <c r="O29" s="2">
        <f t="shared" si="5"/>
        <v>4510.101866131693</v>
      </c>
      <c r="P29">
        <v>0.83399999999999996</v>
      </c>
      <c r="Q29">
        <v>0</v>
      </c>
      <c r="R29" s="3">
        <v>4.2</v>
      </c>
      <c r="S29">
        <v>0.503</v>
      </c>
      <c r="T29">
        <f t="shared" ref="T29" si="24">AVERAGE(14,20)</f>
        <v>17</v>
      </c>
    </row>
    <row r="30" spans="1:20" x14ac:dyDescent="0.25">
      <c r="A30" t="s">
        <v>73</v>
      </c>
      <c r="B30">
        <v>0.72384146299999996</v>
      </c>
      <c r="C30">
        <v>0.198400413</v>
      </c>
      <c r="D30">
        <v>1.0273380409999999</v>
      </c>
      <c r="E30">
        <v>0.15837263700000001</v>
      </c>
      <c r="F30">
        <v>100.62</v>
      </c>
      <c r="G30">
        <f t="shared" si="0"/>
        <v>1.0062</v>
      </c>
      <c r="H30" s="1">
        <v>17.100000000000001</v>
      </c>
      <c r="I30">
        <f t="shared" si="1"/>
        <v>290.25</v>
      </c>
      <c r="J30">
        <v>270</v>
      </c>
      <c r="K30">
        <v>0.6</v>
      </c>
      <c r="L30" s="2">
        <f t="shared" si="2"/>
        <v>325.72865834999999</v>
      </c>
      <c r="M30">
        <f t="shared" si="3"/>
        <v>89.280185850000009</v>
      </c>
      <c r="N30" s="2">
        <f t="shared" si="4"/>
        <v>13.760573754326101</v>
      </c>
      <c r="O30" s="2">
        <f t="shared" si="5"/>
        <v>3771.6871104070196</v>
      </c>
      <c r="P30">
        <f>AVERAGE(0.717,0.66)</f>
        <v>0.6885</v>
      </c>
      <c r="Q30">
        <f>AVERAGE(84,93)</f>
        <v>88.5</v>
      </c>
      <c r="R30">
        <f>AVERAGE(4,2.8)</f>
        <v>3.4</v>
      </c>
      <c r="S30">
        <v>0.46500000000000002</v>
      </c>
      <c r="T30">
        <f>AVERAGE(22,21)</f>
        <v>21.5</v>
      </c>
    </row>
    <row r="31" spans="1:20" x14ac:dyDescent="0.25">
      <c r="A31" t="s">
        <v>74</v>
      </c>
      <c r="B31">
        <v>1.079173038</v>
      </c>
      <c r="C31">
        <v>0.19868831200000001</v>
      </c>
      <c r="D31">
        <v>0.92262972899999995</v>
      </c>
      <c r="E31">
        <v>0.129257646</v>
      </c>
      <c r="F31">
        <v>100.62</v>
      </c>
      <c r="G31">
        <f t="shared" si="0"/>
        <v>1.0062</v>
      </c>
      <c r="H31" s="1">
        <v>17.399999999999999</v>
      </c>
      <c r="I31">
        <f t="shared" si="1"/>
        <v>290.54999999999995</v>
      </c>
      <c r="J31">
        <v>270</v>
      </c>
      <c r="K31">
        <v>0.6</v>
      </c>
      <c r="L31" s="2">
        <f t="shared" si="2"/>
        <v>485.62786710000006</v>
      </c>
      <c r="M31">
        <f t="shared" si="3"/>
        <v>89.409740400000004</v>
      </c>
      <c r="N31" s="2">
        <f t="shared" si="4"/>
        <v>20.494414745112028</v>
      </c>
      <c r="O31" s="2">
        <f t="shared" si="5"/>
        <v>3773.260198087175</v>
      </c>
      <c r="P31">
        <v>0.66</v>
      </c>
      <c r="Q31">
        <v>0</v>
      </c>
      <c r="R31">
        <f>AVERAGE(4,2.8)</f>
        <v>3.4</v>
      </c>
      <c r="S31">
        <v>0.46400000000000002</v>
      </c>
      <c r="T31">
        <f t="shared" ref="T31" si="25">AVERAGE(22,21)</f>
        <v>21.5</v>
      </c>
    </row>
    <row r="32" spans="1:20" x14ac:dyDescent="0.25">
      <c r="A32" t="s">
        <v>75</v>
      </c>
      <c r="B32">
        <v>1.1866820840000001</v>
      </c>
      <c r="C32">
        <v>0.12710389599999999</v>
      </c>
      <c r="D32">
        <v>0.90547479900000005</v>
      </c>
      <c r="E32">
        <v>6.8502960000000002E-2</v>
      </c>
      <c r="F32">
        <v>100.62</v>
      </c>
      <c r="G32">
        <f t="shared" si="0"/>
        <v>1.0062</v>
      </c>
      <c r="H32" s="1">
        <v>17.399999999999999</v>
      </c>
      <c r="I32">
        <f t="shared" si="1"/>
        <v>290.54999999999995</v>
      </c>
      <c r="J32">
        <v>270</v>
      </c>
      <c r="K32">
        <v>0.6</v>
      </c>
      <c r="L32" s="2">
        <f t="shared" si="2"/>
        <v>534.00693780000006</v>
      </c>
      <c r="M32">
        <f t="shared" si="3"/>
        <v>57.196753199999996</v>
      </c>
      <c r="N32" s="2">
        <f t="shared" si="4"/>
        <v>22.536103056431134</v>
      </c>
      <c r="O32" s="2">
        <f t="shared" si="5"/>
        <v>2413.8111948860469</v>
      </c>
      <c r="P32">
        <v>0.66</v>
      </c>
      <c r="Q32">
        <v>93</v>
      </c>
      <c r="R32">
        <f>AVERAGE(4.1,3.4)</f>
        <v>3.75</v>
      </c>
      <c r="S32">
        <v>0.46400000000000002</v>
      </c>
      <c r="T32">
        <f>AVERAGE(22,21)</f>
        <v>21.5</v>
      </c>
    </row>
    <row r="33" spans="1:20" x14ac:dyDescent="0.25">
      <c r="A33" t="s">
        <v>76</v>
      </c>
      <c r="B33">
        <v>0.95188311699999995</v>
      </c>
      <c r="C33">
        <v>0.15397058799999999</v>
      </c>
      <c r="D33">
        <v>0.97639466600000002</v>
      </c>
      <c r="E33">
        <v>0.13788715800000001</v>
      </c>
      <c r="F33">
        <v>100.62</v>
      </c>
      <c r="G33">
        <f t="shared" si="0"/>
        <v>1.0062</v>
      </c>
      <c r="H33" s="1">
        <v>17.399999999999999</v>
      </c>
      <c r="I33">
        <f t="shared" si="1"/>
        <v>290.54999999999995</v>
      </c>
      <c r="J33">
        <v>270</v>
      </c>
      <c r="K33">
        <v>0.6</v>
      </c>
      <c r="L33" s="2">
        <f t="shared" si="2"/>
        <v>428.34740264999994</v>
      </c>
      <c r="M33">
        <f t="shared" si="3"/>
        <v>69.286764599999998</v>
      </c>
      <c r="N33" s="2">
        <f t="shared" si="4"/>
        <v>18.077070777103675</v>
      </c>
      <c r="O33" s="2">
        <f t="shared" si="5"/>
        <v>2924.0325489124839</v>
      </c>
      <c r="P33">
        <v>0.66</v>
      </c>
      <c r="Q33">
        <v>0</v>
      </c>
      <c r="R33">
        <f t="shared" ref="R33" si="26">AVERAGE(4.1,3.4)</f>
        <v>3.75</v>
      </c>
      <c r="S33">
        <v>0.46400000000000002</v>
      </c>
      <c r="T33">
        <f t="shared" ref="T33" si="27">AVERAGE(22,21)</f>
        <v>21.5</v>
      </c>
    </row>
    <row r="34" spans="1:20" x14ac:dyDescent="0.25">
      <c r="A34" t="s">
        <v>77</v>
      </c>
      <c r="B34">
        <v>2.054628959</v>
      </c>
      <c r="C34">
        <v>0.24877193</v>
      </c>
      <c r="D34">
        <v>2.1313110970000002</v>
      </c>
      <c r="E34">
        <v>0.134377671</v>
      </c>
      <c r="F34">
        <v>99.77</v>
      </c>
      <c r="G34">
        <f t="shared" si="0"/>
        <v>0.99769999999999992</v>
      </c>
      <c r="H34" s="1">
        <v>25.6</v>
      </c>
      <c r="I34">
        <f t="shared" si="1"/>
        <v>298.75</v>
      </c>
      <c r="J34">
        <v>270</v>
      </c>
      <c r="K34">
        <v>0.6</v>
      </c>
      <c r="L34" s="2">
        <f t="shared" si="2"/>
        <v>924.58303154999999</v>
      </c>
      <c r="M34">
        <f t="shared" si="3"/>
        <v>111.94736850000001</v>
      </c>
      <c r="N34" s="2">
        <f t="shared" si="4"/>
        <v>37.62759530285259</v>
      </c>
      <c r="O34" s="2">
        <f t="shared" si="5"/>
        <v>4555.9026430278082</v>
      </c>
      <c r="P34">
        <v>0.58499999999999996</v>
      </c>
      <c r="Q34">
        <f>AVERAGE(160,315)</f>
        <v>237.5</v>
      </c>
      <c r="R34">
        <v>13.5</v>
      </c>
      <c r="S34">
        <v>0.45600000000000002</v>
      </c>
      <c r="T34">
        <f>AVERAGE(26,20)</f>
        <v>23</v>
      </c>
    </row>
    <row r="35" spans="1:20" x14ac:dyDescent="0.25">
      <c r="A35" t="s">
        <v>78</v>
      </c>
      <c r="B35">
        <v>1.5632208139999999</v>
      </c>
      <c r="C35">
        <v>0.203205882</v>
      </c>
      <c r="D35">
        <v>0.78303062499999998</v>
      </c>
      <c r="E35">
        <v>0.136619136</v>
      </c>
      <c r="F35">
        <v>99.77</v>
      </c>
      <c r="G35">
        <f t="shared" si="0"/>
        <v>0.99769999999999992</v>
      </c>
      <c r="H35" s="1">
        <v>25.6</v>
      </c>
      <c r="I35">
        <f t="shared" si="1"/>
        <v>298.75</v>
      </c>
      <c r="J35">
        <v>270</v>
      </c>
      <c r="K35">
        <v>0.6</v>
      </c>
      <c r="L35" s="2">
        <f t="shared" si="2"/>
        <v>703.44936629999995</v>
      </c>
      <c r="M35">
        <f t="shared" si="3"/>
        <v>91.4426469</v>
      </c>
      <c r="N35" s="2">
        <f t="shared" si="4"/>
        <v>28.628156875008692</v>
      </c>
      <c r="O35" s="2">
        <f t="shared" si="5"/>
        <v>3721.425543800689</v>
      </c>
      <c r="P35">
        <v>0.58499999999999996</v>
      </c>
      <c r="Q35">
        <f>AVERAGE(52, 51)</f>
        <v>51.5</v>
      </c>
      <c r="R35">
        <v>11</v>
      </c>
      <c r="S35">
        <v>0.45600000000000002</v>
      </c>
      <c r="T35">
        <f t="shared" ref="T35" si="28">AVERAGE(26,20)</f>
        <v>23</v>
      </c>
    </row>
    <row r="36" spans="1:20" x14ac:dyDescent="0.25">
      <c r="A36" t="s">
        <v>79</v>
      </c>
      <c r="B36">
        <v>1.453603604</v>
      </c>
      <c r="C36">
        <v>0.24743082999999999</v>
      </c>
      <c r="D36">
        <v>0.74949711799999996</v>
      </c>
      <c r="E36">
        <v>0.181267917</v>
      </c>
      <c r="F36">
        <v>100.62</v>
      </c>
      <c r="G36">
        <f t="shared" si="0"/>
        <v>1.0062</v>
      </c>
      <c r="H36" s="1">
        <v>13.3</v>
      </c>
      <c r="I36">
        <f t="shared" si="1"/>
        <v>286.45</v>
      </c>
      <c r="J36">
        <v>270</v>
      </c>
      <c r="K36">
        <v>0.6</v>
      </c>
      <c r="L36" s="2">
        <f t="shared" si="2"/>
        <v>654.12162179999996</v>
      </c>
      <c r="M36">
        <f t="shared" si="3"/>
        <v>111.3438735</v>
      </c>
      <c r="N36" s="2">
        <f t="shared" si="4"/>
        <v>28.00028672807856</v>
      </c>
      <c r="O36" s="2">
        <f t="shared" si="5"/>
        <v>4766.1784590391417</v>
      </c>
      <c r="P36">
        <v>0.80600000000000005</v>
      </c>
      <c r="Q36">
        <f>AVERAGE(74,66,104)</f>
        <v>81.333333333333329</v>
      </c>
      <c r="R36" s="3">
        <v>5.3</v>
      </c>
      <c r="S36">
        <v>0.503</v>
      </c>
      <c r="T36">
        <f>AVERAGE(13,20)</f>
        <v>16.5</v>
      </c>
    </row>
    <row r="37" spans="1:20" x14ac:dyDescent="0.25">
      <c r="A37" t="s">
        <v>80</v>
      </c>
      <c r="B37">
        <v>0.62507712900000001</v>
      </c>
      <c r="C37">
        <v>0.15962337700000001</v>
      </c>
      <c r="D37">
        <v>1.251912726</v>
      </c>
      <c r="E37">
        <v>8.6030993E-2</v>
      </c>
      <c r="F37">
        <v>100.62</v>
      </c>
      <c r="G37">
        <f t="shared" si="0"/>
        <v>1.0062</v>
      </c>
      <c r="H37" s="1">
        <v>13.1</v>
      </c>
      <c r="I37">
        <f t="shared" si="1"/>
        <v>286.25</v>
      </c>
      <c r="J37">
        <v>270</v>
      </c>
      <c r="K37">
        <v>0.6</v>
      </c>
      <c r="L37" s="2">
        <f t="shared" si="2"/>
        <v>281.28470805000001</v>
      </c>
      <c r="M37">
        <f t="shared" si="3"/>
        <v>71.830519650000014</v>
      </c>
      <c r="N37" s="2">
        <f t="shared" si="4"/>
        <v>12.049067228044237</v>
      </c>
      <c r="O37" s="2">
        <f t="shared" si="5"/>
        <v>3076.920769309495</v>
      </c>
      <c r="P37">
        <f>AVERAGE(0.806,0.834)</f>
        <v>0.82000000000000006</v>
      </c>
      <c r="Q37">
        <v>0</v>
      </c>
      <c r="R37" s="3">
        <v>2.9</v>
      </c>
      <c r="S37">
        <v>0.503</v>
      </c>
      <c r="T37">
        <f t="shared" ref="T37" si="29">AVERAGE(13,20)</f>
        <v>16.5</v>
      </c>
    </row>
    <row r="38" spans="1:20" x14ac:dyDescent="0.25">
      <c r="A38" t="s">
        <v>81</v>
      </c>
      <c r="B38">
        <v>0.50479220800000002</v>
      </c>
      <c r="C38">
        <v>0.15482352899999999</v>
      </c>
      <c r="D38">
        <v>1.9814835529999999</v>
      </c>
      <c r="E38">
        <v>0.22183776699999999</v>
      </c>
      <c r="F38">
        <v>100.63</v>
      </c>
      <c r="G38">
        <f t="shared" si="0"/>
        <v>1.0063</v>
      </c>
      <c r="H38" s="1">
        <v>16.8</v>
      </c>
      <c r="I38">
        <f t="shared" si="1"/>
        <v>289.95</v>
      </c>
      <c r="J38">
        <v>270</v>
      </c>
      <c r="K38">
        <v>0.6</v>
      </c>
      <c r="L38" s="2">
        <f t="shared" si="2"/>
        <v>227.1564936</v>
      </c>
      <c r="M38">
        <f t="shared" si="3"/>
        <v>69.670588049999992</v>
      </c>
      <c r="N38" s="2">
        <f t="shared" si="4"/>
        <v>9.6072259136545899</v>
      </c>
      <c r="O38" s="2">
        <f t="shared" si="5"/>
        <v>2946.6077254747415</v>
      </c>
      <c r="P38">
        <v>0.71699999999999997</v>
      </c>
      <c r="Q38">
        <v>84</v>
      </c>
      <c r="R38">
        <f>AVERAGE(3.9,4,2.7,2.8)</f>
        <v>3.3500000000000005</v>
      </c>
      <c r="S38">
        <v>0.46500000000000002</v>
      </c>
      <c r="T38">
        <f>AVERAGE(9,23)</f>
        <v>16</v>
      </c>
    </row>
    <row r="39" spans="1:20" x14ac:dyDescent="0.25">
      <c r="A39" t="s">
        <v>82</v>
      </c>
      <c r="B39">
        <v>1.0934396159999999</v>
      </c>
      <c r="C39">
        <v>7.5259740000000006E-2</v>
      </c>
      <c r="D39">
        <v>0.96485622100000001</v>
      </c>
      <c r="E39">
        <v>4.3393323999999997E-2</v>
      </c>
      <c r="F39">
        <v>100.63</v>
      </c>
      <c r="G39">
        <f t="shared" si="0"/>
        <v>1.0063</v>
      </c>
      <c r="H39" s="1">
        <v>17.100000000000001</v>
      </c>
      <c r="I39">
        <f t="shared" si="1"/>
        <v>290.25</v>
      </c>
      <c r="J39">
        <v>270</v>
      </c>
      <c r="K39">
        <v>0.6</v>
      </c>
      <c r="L39" s="2">
        <f t="shared" si="2"/>
        <v>492.04782719999997</v>
      </c>
      <c r="M39">
        <f t="shared" si="3"/>
        <v>33.866883000000001</v>
      </c>
      <c r="N39" s="2">
        <f t="shared" si="4"/>
        <v>20.788877973213019</v>
      </c>
      <c r="O39" s="2">
        <f t="shared" si="5"/>
        <v>1430.8659831433611</v>
      </c>
      <c r="P39">
        <f>AVERAGE(0.717,0.66)</f>
        <v>0.6885</v>
      </c>
      <c r="Q39">
        <v>0</v>
      </c>
      <c r="R39">
        <f t="shared" ref="R39" si="30">AVERAGE(3.9,4,2.7,2.8)</f>
        <v>3.3500000000000005</v>
      </c>
      <c r="S39">
        <v>0.46500000000000002</v>
      </c>
      <c r="T39">
        <f t="shared" ref="T39" si="31">AVERAGE(9,23)</f>
        <v>16</v>
      </c>
    </row>
    <row r="40" spans="1:20" x14ac:dyDescent="0.25">
      <c r="A40" t="s">
        <v>83</v>
      </c>
      <c r="B40">
        <v>1.4319716309999999</v>
      </c>
      <c r="C40">
        <v>0.17376623399999999</v>
      </c>
      <c r="D40">
        <v>1.234900192</v>
      </c>
      <c r="E40">
        <v>0.13406673699999999</v>
      </c>
      <c r="F40">
        <v>100.62</v>
      </c>
      <c r="G40">
        <f t="shared" si="0"/>
        <v>1.0062</v>
      </c>
      <c r="H40" s="1">
        <v>17.100000000000001</v>
      </c>
      <c r="I40">
        <f t="shared" si="1"/>
        <v>290.25</v>
      </c>
      <c r="J40">
        <v>270</v>
      </c>
      <c r="K40">
        <v>0.6</v>
      </c>
      <c r="L40" s="2">
        <f t="shared" si="2"/>
        <v>644.38723395</v>
      </c>
      <c r="M40">
        <f t="shared" si="3"/>
        <v>78.194805299999999</v>
      </c>
      <c r="N40" s="2">
        <f t="shared" si="4"/>
        <v>27.222468247136241</v>
      </c>
      <c r="O40" s="2">
        <f t="shared" si="5"/>
        <v>3303.379539848891</v>
      </c>
      <c r="P40">
        <f>AVERAGE(0.717,0.66)</f>
        <v>0.6885</v>
      </c>
      <c r="Q40">
        <v>88.5</v>
      </c>
      <c r="R40">
        <f>AVERAGE(4.1,3.334)</f>
        <v>3.7169999999999996</v>
      </c>
      <c r="S40">
        <f>AVERAGE(0.461,0.46,0.464,0.467)</f>
        <v>0.46300000000000002</v>
      </c>
      <c r="T40">
        <f>AVERAGE(9,23)</f>
        <v>16</v>
      </c>
    </row>
    <row r="41" spans="1:20" x14ac:dyDescent="0.25">
      <c r="A41" t="s">
        <v>84</v>
      </c>
      <c r="B41">
        <v>1.260249774</v>
      </c>
      <c r="C41">
        <v>0.15655844199999999</v>
      </c>
      <c r="D41">
        <v>0.91283199900000001</v>
      </c>
      <c r="E41">
        <v>0.101032055</v>
      </c>
      <c r="F41">
        <v>100.62</v>
      </c>
      <c r="G41">
        <f t="shared" si="0"/>
        <v>1.0062</v>
      </c>
      <c r="H41" s="1">
        <v>17.399999999999999</v>
      </c>
      <c r="I41">
        <f t="shared" si="1"/>
        <v>290.54999999999995</v>
      </c>
      <c r="J41">
        <v>270</v>
      </c>
      <c r="K41">
        <v>0.6</v>
      </c>
      <c r="L41" s="2">
        <f t="shared" si="2"/>
        <v>567.1123983</v>
      </c>
      <c r="M41">
        <f t="shared" si="3"/>
        <v>70.451298899999998</v>
      </c>
      <c r="N41" s="2">
        <f t="shared" si="4"/>
        <v>23.933216121351705</v>
      </c>
      <c r="O41" s="2">
        <f t="shared" si="5"/>
        <v>2973.1780995408503</v>
      </c>
      <c r="P41">
        <v>0.66</v>
      </c>
      <c r="Q41">
        <v>0</v>
      </c>
      <c r="R41">
        <f t="shared" ref="R41" si="32">AVERAGE(4.1,3.334)</f>
        <v>3.7169999999999996</v>
      </c>
      <c r="S41">
        <f t="shared" ref="S41" si="33">AVERAGE(0.461,0.46,0.464,0.467)</f>
        <v>0.46300000000000002</v>
      </c>
      <c r="T41">
        <f t="shared" ref="T41" si="34">AVERAGE(9,23)</f>
        <v>16</v>
      </c>
    </row>
    <row r="42" spans="1:20" x14ac:dyDescent="0.25">
      <c r="A42" t="s">
        <v>85</v>
      </c>
      <c r="B42">
        <v>2.0446209679999998</v>
      </c>
      <c r="C42">
        <v>0.38502941200000002</v>
      </c>
      <c r="D42">
        <v>2.0273009470000001</v>
      </c>
      <c r="E42">
        <v>0.247368595</v>
      </c>
      <c r="F42">
        <v>99.75</v>
      </c>
      <c r="G42">
        <f t="shared" si="0"/>
        <v>0.99750000000000005</v>
      </c>
      <c r="H42" s="1">
        <v>25.5</v>
      </c>
      <c r="I42">
        <f t="shared" si="1"/>
        <v>298.64999999999998</v>
      </c>
      <c r="J42">
        <v>270</v>
      </c>
      <c r="K42">
        <v>0.6</v>
      </c>
      <c r="L42" s="2">
        <f t="shared" si="2"/>
        <v>920.07943560000001</v>
      </c>
      <c r="M42">
        <f t="shared" si="3"/>
        <v>173.26323540000001</v>
      </c>
      <c r="N42" s="2">
        <f t="shared" si="4"/>
        <v>37.449342457461221</v>
      </c>
      <c r="O42" s="2">
        <f t="shared" si="5"/>
        <v>7052.210914322839</v>
      </c>
      <c r="P42">
        <v>0.58299999999999996</v>
      </c>
      <c r="Q42">
        <f>AVERAGE(464,602)</f>
        <v>533</v>
      </c>
      <c r="R42">
        <v>10.1</v>
      </c>
      <c r="S42">
        <v>0.45600000000000002</v>
      </c>
      <c r="T42">
        <f>AVERAGE(28,7)</f>
        <v>17.5</v>
      </c>
    </row>
    <row r="43" spans="1:20" x14ac:dyDescent="0.25">
      <c r="A43" t="s">
        <v>86</v>
      </c>
      <c r="B43">
        <v>0.62002466899999997</v>
      </c>
      <c r="C43">
        <v>0.117482578</v>
      </c>
      <c r="D43">
        <v>1.3725987850000001</v>
      </c>
      <c r="E43">
        <v>0.12894250700000001</v>
      </c>
      <c r="F43">
        <v>99.75</v>
      </c>
      <c r="G43">
        <f t="shared" ref="G43:G73" si="35">F43/100</f>
        <v>0.99750000000000005</v>
      </c>
      <c r="H43" s="1">
        <v>25.5</v>
      </c>
      <c r="I43">
        <f t="shared" ref="I43:I73" si="36">H43+273.15</f>
        <v>298.64999999999998</v>
      </c>
      <c r="J43">
        <v>270</v>
      </c>
      <c r="K43">
        <v>0.6</v>
      </c>
      <c r="L43" s="2">
        <f t="shared" ref="L43:L73" si="37">B43*J43/K43</f>
        <v>279.01110105000004</v>
      </c>
      <c r="M43">
        <f t="shared" ref="M43:M73" si="38">C43*J43/K43</f>
        <v>52.867160100000007</v>
      </c>
      <c r="N43" s="2">
        <f t="shared" ref="N43:N73" si="39">(L43*G43)/(0.08206*I43)</f>
        <v>11.356391490090129</v>
      </c>
      <c r="O43" s="2">
        <f t="shared" ref="O43:O73" si="40">(M43*G43)/(0.08206*I43)*1000</f>
        <v>2151.8146224485945</v>
      </c>
      <c r="P43">
        <v>0.58299999999999996</v>
      </c>
      <c r="Q43">
        <v>0</v>
      </c>
      <c r="R43">
        <v>9.1</v>
      </c>
      <c r="S43">
        <v>0.45600000000000002</v>
      </c>
      <c r="T43">
        <f t="shared" ref="T43" si="41">AVERAGE(28,7)</f>
        <v>17.5</v>
      </c>
    </row>
    <row r="44" spans="1:20" x14ac:dyDescent="0.25">
      <c r="A44" t="s">
        <v>87</v>
      </c>
      <c r="B44">
        <v>-0.104123693</v>
      </c>
      <c r="C44">
        <v>0.34695588199999999</v>
      </c>
      <c r="D44">
        <v>0.33376927899999997</v>
      </c>
      <c r="E44">
        <v>0.20232900100000001</v>
      </c>
      <c r="F44">
        <v>101.1</v>
      </c>
      <c r="G44">
        <f t="shared" si="35"/>
        <v>1.0109999999999999</v>
      </c>
      <c r="H44" s="1">
        <v>12.8</v>
      </c>
      <c r="I44">
        <f t="shared" si="36"/>
        <v>285.95</v>
      </c>
      <c r="J44">
        <v>2160</v>
      </c>
      <c r="K44">
        <v>1.2</v>
      </c>
      <c r="L44" s="2">
        <f t="shared" si="37"/>
        <v>-187.42264740000002</v>
      </c>
      <c r="M44">
        <f t="shared" si="38"/>
        <v>624.5205876</v>
      </c>
      <c r="N44" s="2">
        <f t="shared" si="39"/>
        <v>-8.0751688146932707</v>
      </c>
      <c r="O44" s="2">
        <f t="shared" si="40"/>
        <v>26907.682945905479</v>
      </c>
      <c r="P44">
        <v>0.80600000000000005</v>
      </c>
      <c r="Q44">
        <f>AVERAGE(1376,1403,1492)</f>
        <v>1423.6666666666667</v>
      </c>
      <c r="R44">
        <v>6.8</v>
      </c>
      <c r="S44">
        <v>0.17799999999999999</v>
      </c>
      <c r="T44">
        <f>AVERAGE(45,45)</f>
        <v>45</v>
      </c>
    </row>
    <row r="45" spans="1:20" x14ac:dyDescent="0.25">
      <c r="A45" t="s">
        <v>88</v>
      </c>
      <c r="B45">
        <v>0.487105764</v>
      </c>
      <c r="C45">
        <v>0.129181818</v>
      </c>
      <c r="D45">
        <v>0.29457571999999999</v>
      </c>
      <c r="E45">
        <v>6.0831692E-2</v>
      </c>
      <c r="F45">
        <v>101.1</v>
      </c>
      <c r="G45">
        <f t="shared" si="35"/>
        <v>1.0109999999999999</v>
      </c>
      <c r="H45" s="1">
        <v>12.05</v>
      </c>
      <c r="I45">
        <f t="shared" si="36"/>
        <v>285.2</v>
      </c>
      <c r="J45">
        <v>2160</v>
      </c>
      <c r="K45">
        <v>1.2</v>
      </c>
      <c r="L45" s="2">
        <f t="shared" si="37"/>
        <v>876.79037520000008</v>
      </c>
      <c r="M45">
        <f t="shared" si="38"/>
        <v>232.52727239999999</v>
      </c>
      <c r="N45" s="2">
        <f t="shared" si="39"/>
        <v>37.876155908873855</v>
      </c>
      <c r="O45" s="2">
        <f t="shared" si="40"/>
        <v>10044.863027241381</v>
      </c>
      <c r="P45">
        <f>AVERAGE(0.806,0.889)</f>
        <v>0.84750000000000003</v>
      </c>
      <c r="Q45">
        <v>0</v>
      </c>
      <c r="R45">
        <v>7.8</v>
      </c>
      <c r="S45">
        <v>0.17799999999999999</v>
      </c>
      <c r="T45">
        <f t="shared" ref="T45" si="42">AVERAGE(45,45)</f>
        <v>45</v>
      </c>
    </row>
    <row r="46" spans="1:20" x14ac:dyDescent="0.25">
      <c r="A46" t="s">
        <v>89</v>
      </c>
      <c r="B46">
        <v>0.204237903</v>
      </c>
      <c r="C46">
        <v>5.9896103999999999E-2</v>
      </c>
      <c r="D46">
        <v>1.985013071</v>
      </c>
      <c r="E46">
        <v>4.3931374000000002E-2</v>
      </c>
      <c r="F46">
        <v>99.42</v>
      </c>
      <c r="G46">
        <f t="shared" si="35"/>
        <v>0.99419999999999997</v>
      </c>
      <c r="H46" s="1">
        <v>13</v>
      </c>
      <c r="I46">
        <f t="shared" si="36"/>
        <v>286.14999999999998</v>
      </c>
      <c r="J46">
        <v>2160</v>
      </c>
      <c r="K46">
        <v>1.2</v>
      </c>
      <c r="L46" s="2">
        <f t="shared" si="37"/>
        <v>367.62822540000002</v>
      </c>
      <c r="M46">
        <f t="shared" si="38"/>
        <v>107.81298720000001</v>
      </c>
      <c r="N46" s="2">
        <f t="shared" si="39"/>
        <v>15.565294560262821</v>
      </c>
      <c r="O46" s="2">
        <f t="shared" si="40"/>
        <v>4564.7770961109809</v>
      </c>
      <c r="P46">
        <v>0.94899999999999995</v>
      </c>
      <c r="Q46">
        <f>AVERAGE(181,163)</f>
        <v>172</v>
      </c>
      <c r="R46">
        <v>6.7</v>
      </c>
      <c r="S46">
        <v>0.16200000000000001</v>
      </c>
    </row>
    <row r="47" spans="1:20" x14ac:dyDescent="0.25">
      <c r="A47" t="s">
        <v>90</v>
      </c>
      <c r="B47">
        <v>0.28552179700000002</v>
      </c>
      <c r="C47">
        <v>6.0701299E-2</v>
      </c>
      <c r="D47">
        <v>0.20487596499999999</v>
      </c>
      <c r="E47">
        <v>3.0976786999999999E-2</v>
      </c>
      <c r="F47">
        <v>99.42</v>
      </c>
      <c r="G47">
        <f t="shared" si="35"/>
        <v>0.99419999999999997</v>
      </c>
      <c r="H47" s="1">
        <v>13</v>
      </c>
      <c r="I47">
        <f t="shared" si="36"/>
        <v>286.14999999999998</v>
      </c>
      <c r="J47">
        <v>2160</v>
      </c>
      <c r="K47">
        <v>1.2</v>
      </c>
      <c r="L47" s="2">
        <f t="shared" si="37"/>
        <v>513.93923460000008</v>
      </c>
      <c r="M47">
        <f t="shared" si="38"/>
        <v>109.2623382</v>
      </c>
      <c r="N47" s="2">
        <f t="shared" si="39"/>
        <v>21.760069058682834</v>
      </c>
      <c r="O47" s="2">
        <f t="shared" si="40"/>
        <v>4626.1422843025703</v>
      </c>
      <c r="P47">
        <v>0.94899999999999995</v>
      </c>
      <c r="Q47">
        <v>0</v>
      </c>
      <c r="R47">
        <v>7.5</v>
      </c>
      <c r="S47">
        <v>0.16200000000000001</v>
      </c>
    </row>
    <row r="48" spans="1:20" x14ac:dyDescent="0.25">
      <c r="A48" t="s">
        <v>91</v>
      </c>
      <c r="B48">
        <v>-0.227836551</v>
      </c>
      <c r="C48">
        <v>0.162040724</v>
      </c>
      <c r="D48">
        <v>0.52824934999999995</v>
      </c>
      <c r="E48">
        <v>0.110233602</v>
      </c>
      <c r="F48">
        <v>99</v>
      </c>
      <c r="G48">
        <f t="shared" si="35"/>
        <v>0.99</v>
      </c>
      <c r="H48" s="1">
        <v>19.899999999999999</v>
      </c>
      <c r="I48">
        <f t="shared" si="36"/>
        <v>293.04999999999995</v>
      </c>
      <c r="J48">
        <v>2160</v>
      </c>
      <c r="K48">
        <v>1.2</v>
      </c>
      <c r="L48" s="2">
        <f t="shared" si="37"/>
        <v>-410.10579180000002</v>
      </c>
      <c r="M48">
        <f t="shared" si="38"/>
        <v>291.67330320000002</v>
      </c>
      <c r="N48" s="2">
        <f t="shared" si="39"/>
        <v>-16.883320271728468</v>
      </c>
      <c r="O48" s="2">
        <f t="shared" si="40"/>
        <v>12007.667024220174</v>
      </c>
      <c r="P48">
        <f>AVERAGE(0.689,0.681)</f>
        <v>0.68500000000000005</v>
      </c>
      <c r="Q48">
        <f>AVERAGE(1278, 935)</f>
        <v>1106.5</v>
      </c>
      <c r="R48">
        <v>7.6</v>
      </c>
      <c r="S48">
        <v>0.158</v>
      </c>
      <c r="T48">
        <v>61</v>
      </c>
    </row>
    <row r="49" spans="1:20" x14ac:dyDescent="0.25">
      <c r="A49" t="s">
        <v>92</v>
      </c>
      <c r="B49">
        <v>0.572151568</v>
      </c>
      <c r="C49">
        <v>0.216632353</v>
      </c>
      <c r="D49">
        <v>0.88857602700000005</v>
      </c>
      <c r="E49">
        <v>0.202489009</v>
      </c>
      <c r="F49">
        <v>99</v>
      </c>
      <c r="G49">
        <f t="shared" si="35"/>
        <v>0.99</v>
      </c>
      <c r="H49" s="1">
        <v>20.2</v>
      </c>
      <c r="I49">
        <f t="shared" si="36"/>
        <v>293.34999999999997</v>
      </c>
      <c r="J49">
        <v>2160</v>
      </c>
      <c r="K49">
        <v>1.2</v>
      </c>
      <c r="L49" s="2">
        <f t="shared" si="37"/>
        <v>1029.8728223999999</v>
      </c>
      <c r="M49">
        <f t="shared" si="38"/>
        <v>389.9382354</v>
      </c>
      <c r="N49" s="2">
        <f t="shared" si="39"/>
        <v>42.354658749738967</v>
      </c>
      <c r="O49" s="2">
        <f t="shared" si="40"/>
        <v>16036.641160560432</v>
      </c>
      <c r="P49">
        <v>0.68100000000000005</v>
      </c>
      <c r="Q49">
        <v>0</v>
      </c>
      <c r="R49">
        <v>5.5</v>
      </c>
      <c r="S49">
        <v>0.159</v>
      </c>
      <c r="T49">
        <v>61</v>
      </c>
    </row>
    <row r="50" spans="1:20" x14ac:dyDescent="0.25">
      <c r="A50" t="s">
        <v>93</v>
      </c>
      <c r="B50">
        <v>-0.137673718</v>
      </c>
      <c r="C50">
        <v>0.27071428600000003</v>
      </c>
      <c r="D50">
        <v>0.15804173499999999</v>
      </c>
      <c r="E50">
        <v>0.15602780299999999</v>
      </c>
      <c r="F50">
        <v>101.09</v>
      </c>
      <c r="G50">
        <f t="shared" si="35"/>
        <v>1.0109000000000001</v>
      </c>
      <c r="H50">
        <v>12.8</v>
      </c>
      <c r="I50">
        <f t="shared" si="36"/>
        <v>285.95</v>
      </c>
      <c r="J50">
        <v>2160</v>
      </c>
      <c r="K50">
        <v>1.2</v>
      </c>
      <c r="L50" s="2">
        <f t="shared" si="37"/>
        <v>-247.8126924</v>
      </c>
      <c r="M50">
        <f t="shared" si="38"/>
        <v>487.28571480000011</v>
      </c>
      <c r="N50" s="2">
        <f t="shared" si="39"/>
        <v>-10.676038449306134</v>
      </c>
      <c r="O50" s="2">
        <f t="shared" si="40"/>
        <v>20992.79490739444</v>
      </c>
      <c r="P50">
        <v>0.80600000000000005</v>
      </c>
      <c r="Q50">
        <f>AVERAGE(1074,990,1100)</f>
        <v>1054.6666666666667</v>
      </c>
      <c r="R50">
        <v>5.9</v>
      </c>
      <c r="S50">
        <v>0.17799999999999999</v>
      </c>
      <c r="T50">
        <f>AVERAGE(66,63)</f>
        <v>64.5</v>
      </c>
    </row>
    <row r="51" spans="1:20" x14ac:dyDescent="0.25">
      <c r="A51" t="s">
        <v>94</v>
      </c>
      <c r="B51">
        <v>0.32846472100000002</v>
      </c>
      <c r="C51">
        <v>0.27722058799999999</v>
      </c>
      <c r="D51">
        <v>0.24134950899999999</v>
      </c>
      <c r="E51">
        <v>0.26959676700000001</v>
      </c>
      <c r="F51">
        <v>101.09</v>
      </c>
      <c r="G51">
        <f t="shared" si="35"/>
        <v>1.0109000000000001</v>
      </c>
      <c r="H51" s="1">
        <v>12.8</v>
      </c>
      <c r="I51">
        <f t="shared" si="36"/>
        <v>285.95</v>
      </c>
      <c r="J51">
        <v>2160</v>
      </c>
      <c r="K51">
        <v>1.2</v>
      </c>
      <c r="L51" s="2">
        <f t="shared" si="37"/>
        <v>591.23649780000005</v>
      </c>
      <c r="M51">
        <f t="shared" si="38"/>
        <v>498.99705839999996</v>
      </c>
      <c r="N51" s="2">
        <f t="shared" si="39"/>
        <v>25.471106915530619</v>
      </c>
      <c r="O51" s="2">
        <f t="shared" si="40"/>
        <v>21497.332239020776</v>
      </c>
      <c r="P51">
        <v>0.80600000000000005</v>
      </c>
      <c r="Q51">
        <v>0</v>
      </c>
      <c r="R51">
        <v>6.8</v>
      </c>
      <c r="S51">
        <v>0.17799999999999999</v>
      </c>
      <c r="T51">
        <f t="shared" ref="T51" si="43">AVERAGE(66,63)</f>
        <v>64.5</v>
      </c>
    </row>
    <row r="52" spans="1:20" x14ac:dyDescent="0.25">
      <c r="A52" t="s">
        <v>95</v>
      </c>
      <c r="B52">
        <v>0.18216644100000001</v>
      </c>
      <c r="C52">
        <v>4.9636364000000002E-2</v>
      </c>
      <c r="D52">
        <v>0.211038899</v>
      </c>
      <c r="E52">
        <v>6.4445827999999997E-2</v>
      </c>
      <c r="F52">
        <v>99.42</v>
      </c>
      <c r="G52">
        <f t="shared" si="35"/>
        <v>0.99419999999999997</v>
      </c>
      <c r="H52">
        <v>13.55</v>
      </c>
      <c r="I52">
        <f t="shared" si="36"/>
        <v>286.7</v>
      </c>
      <c r="J52">
        <v>2160</v>
      </c>
      <c r="K52">
        <v>1.2</v>
      </c>
      <c r="L52" s="2">
        <f t="shared" si="37"/>
        <v>327.89959380000005</v>
      </c>
      <c r="M52">
        <f t="shared" si="38"/>
        <v>89.345455200000004</v>
      </c>
      <c r="N52" s="2">
        <f t="shared" si="39"/>
        <v>13.856560167760737</v>
      </c>
      <c r="O52" s="2">
        <f t="shared" si="40"/>
        <v>3775.609055648581</v>
      </c>
      <c r="P52">
        <f>AVERAGE(0.949,0.908)</f>
        <v>0.92849999999999999</v>
      </c>
      <c r="Q52">
        <f>AVERAGE(151,162)</f>
        <v>156.5</v>
      </c>
      <c r="R52">
        <v>5.0999999999999996</v>
      </c>
      <c r="S52">
        <v>0.161</v>
      </c>
    </row>
    <row r="53" spans="1:20" x14ac:dyDescent="0.25">
      <c r="A53" t="s">
        <v>96</v>
      </c>
      <c r="B53">
        <v>0.27516297899999997</v>
      </c>
      <c r="C53">
        <v>4.9727273000000002E-2</v>
      </c>
      <c r="D53">
        <v>0.138802541</v>
      </c>
      <c r="E53">
        <v>3.3131011000000002E-2</v>
      </c>
      <c r="F53">
        <v>99.42</v>
      </c>
      <c r="G53">
        <f t="shared" si="35"/>
        <v>0.99419999999999997</v>
      </c>
      <c r="H53">
        <v>14.1</v>
      </c>
      <c r="I53">
        <f t="shared" si="36"/>
        <v>287.25</v>
      </c>
      <c r="J53">
        <v>2160</v>
      </c>
      <c r="K53">
        <v>1.2</v>
      </c>
      <c r="L53" s="2">
        <f t="shared" si="37"/>
        <v>495.29336219999999</v>
      </c>
      <c r="M53">
        <f t="shared" si="38"/>
        <v>89.509091400000003</v>
      </c>
      <c r="N53" s="2">
        <f t="shared" si="39"/>
        <v>20.890301910285352</v>
      </c>
      <c r="O53" s="2">
        <f t="shared" si="40"/>
        <v>3775.2816527879691</v>
      </c>
      <c r="P53">
        <f>AVERAGE(0.949,0.908)</f>
        <v>0.92849999999999999</v>
      </c>
      <c r="Q53">
        <f>AVERAGE(78,89)</f>
        <v>83.5</v>
      </c>
      <c r="R53">
        <v>6</v>
      </c>
      <c r="S53">
        <v>0.161</v>
      </c>
    </row>
    <row r="54" spans="1:20" x14ac:dyDescent="0.25">
      <c r="A54" t="s">
        <v>97</v>
      </c>
      <c r="B54">
        <v>-0.11209058099999999</v>
      </c>
      <c r="C54">
        <v>9.6113365000000006E-2</v>
      </c>
      <c r="D54">
        <v>0.14557279000000001</v>
      </c>
      <c r="E54">
        <v>2.3388308E-2</v>
      </c>
      <c r="F54">
        <v>99.02</v>
      </c>
      <c r="G54">
        <f t="shared" si="35"/>
        <v>0.99019999999999997</v>
      </c>
      <c r="H54">
        <v>18.5</v>
      </c>
      <c r="I54">
        <f t="shared" si="36"/>
        <v>291.64999999999998</v>
      </c>
      <c r="J54">
        <v>2160</v>
      </c>
      <c r="K54">
        <v>1.2</v>
      </c>
      <c r="L54" s="2">
        <f t="shared" si="37"/>
        <v>-201.76304580000001</v>
      </c>
      <c r="M54">
        <f t="shared" si="38"/>
        <v>173.00405700000002</v>
      </c>
      <c r="N54" s="2">
        <f t="shared" si="39"/>
        <v>-8.3477811329615079</v>
      </c>
      <c r="O54" s="2">
        <f t="shared" si="40"/>
        <v>7157.9014740983721</v>
      </c>
      <c r="P54">
        <v>0.73299999999999998</v>
      </c>
      <c r="Q54">
        <f>AVERAGE(1563, 1044)</f>
        <v>1303.5</v>
      </c>
      <c r="R54">
        <v>5.2</v>
      </c>
      <c r="S54">
        <v>0.158</v>
      </c>
      <c r="T54">
        <f>AVERAGE(62,65)</f>
        <v>63.5</v>
      </c>
    </row>
    <row r="55" spans="1:20" x14ac:dyDescent="0.25">
      <c r="A55" t="s">
        <v>98</v>
      </c>
      <c r="B55">
        <v>0.27164350100000001</v>
      </c>
      <c r="C55">
        <v>0.259929825</v>
      </c>
      <c r="D55">
        <v>0.52552764200000002</v>
      </c>
      <c r="E55">
        <v>0.29586696499999998</v>
      </c>
      <c r="F55">
        <v>99.02</v>
      </c>
      <c r="G55">
        <f t="shared" si="35"/>
        <v>0.99019999999999997</v>
      </c>
      <c r="H55" s="1">
        <v>19.05</v>
      </c>
      <c r="I55">
        <f t="shared" si="36"/>
        <v>292.2</v>
      </c>
      <c r="J55">
        <v>2160</v>
      </c>
      <c r="K55">
        <v>1.2</v>
      </c>
      <c r="L55" s="2">
        <f t="shared" si="37"/>
        <v>488.95830180000002</v>
      </c>
      <c r="M55">
        <f t="shared" si="38"/>
        <v>467.87368500000008</v>
      </c>
      <c r="N55" s="2">
        <f t="shared" si="39"/>
        <v>20.192171303278368</v>
      </c>
      <c r="O55" s="2">
        <f t="shared" si="40"/>
        <v>19321.454531066323</v>
      </c>
      <c r="P55">
        <f>AVERAGE(0.733,0.689)</f>
        <v>0.71099999999999997</v>
      </c>
      <c r="Q55">
        <v>0</v>
      </c>
      <c r="R55">
        <v>5.7</v>
      </c>
      <c r="S55">
        <v>0.158</v>
      </c>
      <c r="T55">
        <f t="shared" ref="T55" si="44">AVERAGE(62,65)</f>
        <v>63.5</v>
      </c>
    </row>
    <row r="56" spans="1:20" x14ac:dyDescent="0.25">
      <c r="A56" t="s">
        <v>99</v>
      </c>
      <c r="B56">
        <v>0.26689868700000002</v>
      </c>
      <c r="C56">
        <v>0.154938462</v>
      </c>
      <c r="D56">
        <v>0.23067604899999999</v>
      </c>
      <c r="E56">
        <v>5.3088475000000003E-2</v>
      </c>
      <c r="F56">
        <v>101.09</v>
      </c>
      <c r="G56">
        <f t="shared" si="35"/>
        <v>1.0109000000000001</v>
      </c>
      <c r="H56">
        <v>11.8</v>
      </c>
      <c r="I56">
        <f t="shared" si="36"/>
        <v>284.95</v>
      </c>
      <c r="J56">
        <v>2160</v>
      </c>
      <c r="K56">
        <v>1.2</v>
      </c>
      <c r="L56" s="2">
        <f t="shared" si="37"/>
        <v>480.41763660000009</v>
      </c>
      <c r="M56">
        <f t="shared" si="38"/>
        <v>278.88923160000002</v>
      </c>
      <c r="N56" s="2">
        <f t="shared" si="39"/>
        <v>20.769544162321889</v>
      </c>
      <c r="O56" s="2">
        <f t="shared" si="40"/>
        <v>12057.014086964135</v>
      </c>
      <c r="P56">
        <v>0.84599999999999997</v>
      </c>
      <c r="Q56">
        <f>AVERAGE(690,511,785)</f>
        <v>662</v>
      </c>
      <c r="R56">
        <v>5.6</v>
      </c>
      <c r="S56">
        <v>0.17699999999999999</v>
      </c>
      <c r="T56">
        <f>AVERAGE(79,77)</f>
        <v>78</v>
      </c>
    </row>
    <row r="57" spans="1:20" x14ac:dyDescent="0.25">
      <c r="A57" t="s">
        <v>100</v>
      </c>
      <c r="B57">
        <v>0.45122809400000002</v>
      </c>
      <c r="C57">
        <v>0.105657405</v>
      </c>
      <c r="D57">
        <v>0.217082672</v>
      </c>
      <c r="E57">
        <v>4.3134097000000003E-2</v>
      </c>
      <c r="F57">
        <v>101.09</v>
      </c>
      <c r="G57">
        <f t="shared" si="35"/>
        <v>1.0109000000000001</v>
      </c>
      <c r="H57">
        <v>12.3</v>
      </c>
      <c r="I57">
        <f t="shared" si="36"/>
        <v>285.45</v>
      </c>
      <c r="J57">
        <v>2160</v>
      </c>
      <c r="K57">
        <v>1.2</v>
      </c>
      <c r="L57" s="2">
        <f t="shared" si="37"/>
        <v>812.21056920000012</v>
      </c>
      <c r="M57">
        <f t="shared" si="38"/>
        <v>190.18332900000001</v>
      </c>
      <c r="N57" s="2">
        <f t="shared" si="39"/>
        <v>35.052199367951559</v>
      </c>
      <c r="O57" s="2">
        <f t="shared" si="40"/>
        <v>8207.6547848113405</v>
      </c>
      <c r="P57">
        <f>AVERAGE(0.846,0.806)</f>
        <v>0.82600000000000007</v>
      </c>
      <c r="Q57">
        <v>0</v>
      </c>
      <c r="R57">
        <v>6.7</v>
      </c>
      <c r="S57">
        <v>0.17799999999999999</v>
      </c>
      <c r="T57">
        <f t="shared" ref="T57" si="45">AVERAGE(79,77)</f>
        <v>78</v>
      </c>
    </row>
    <row r="58" spans="1:20" x14ac:dyDescent="0.25">
      <c r="A58" t="s">
        <v>101</v>
      </c>
      <c r="B58">
        <v>0.52028303200000003</v>
      </c>
      <c r="C58">
        <v>6.1057312000000002E-2</v>
      </c>
      <c r="D58">
        <v>0.34764561799999999</v>
      </c>
      <c r="E58">
        <v>4.2696547000000001E-2</v>
      </c>
      <c r="F58">
        <v>99.43</v>
      </c>
      <c r="G58">
        <f t="shared" si="35"/>
        <v>0.99430000000000007</v>
      </c>
      <c r="H58">
        <v>14.1</v>
      </c>
      <c r="I58">
        <f t="shared" si="36"/>
        <v>287.25</v>
      </c>
      <c r="J58">
        <v>2160</v>
      </c>
      <c r="K58">
        <v>1.2</v>
      </c>
      <c r="L58" s="2">
        <f t="shared" si="37"/>
        <v>936.50945760000013</v>
      </c>
      <c r="M58">
        <f t="shared" si="38"/>
        <v>109.90316160000002</v>
      </c>
      <c r="N58" s="2">
        <f t="shared" si="39"/>
        <v>39.503725699091746</v>
      </c>
      <c r="O58" s="2">
        <f t="shared" si="40"/>
        <v>4635.9215212151348</v>
      </c>
      <c r="P58">
        <v>0.90800000000000003</v>
      </c>
      <c r="Q58">
        <f>AVERAGE(171, 195)</f>
        <v>183</v>
      </c>
      <c r="R58">
        <v>5</v>
      </c>
      <c r="S58">
        <v>0.161</v>
      </c>
    </row>
    <row r="59" spans="1:20" x14ac:dyDescent="0.25">
      <c r="A59" t="s">
        <v>102</v>
      </c>
      <c r="B59">
        <v>0.52954750500000003</v>
      </c>
      <c r="C59">
        <v>5.8467532000000003E-2</v>
      </c>
      <c r="D59">
        <v>0.39847051700000002</v>
      </c>
      <c r="E59">
        <v>1.9328106000000001E-2</v>
      </c>
      <c r="F59">
        <v>99.43</v>
      </c>
      <c r="G59">
        <f t="shared" si="35"/>
        <v>0.99430000000000007</v>
      </c>
      <c r="H59" s="1">
        <v>14.7</v>
      </c>
      <c r="I59">
        <f t="shared" si="36"/>
        <v>287.84999999999997</v>
      </c>
      <c r="J59">
        <v>2160</v>
      </c>
      <c r="K59">
        <v>1.2</v>
      </c>
      <c r="L59" s="2">
        <f t="shared" si="37"/>
        <v>953.18550900000014</v>
      </c>
      <c r="M59">
        <f t="shared" si="38"/>
        <v>105.24155760000001</v>
      </c>
      <c r="N59" s="2">
        <f t="shared" si="39"/>
        <v>40.12334427736694</v>
      </c>
      <c r="O59" s="2">
        <f t="shared" si="40"/>
        <v>4430.0329872840548</v>
      </c>
      <c r="P59">
        <f>AVERAGE(0.908,0.84)</f>
        <v>0.874</v>
      </c>
      <c r="Q59">
        <v>0</v>
      </c>
      <c r="R59">
        <v>4.4000000000000004</v>
      </c>
      <c r="S59">
        <v>0.161</v>
      </c>
    </row>
    <row r="60" spans="1:20" x14ac:dyDescent="0.25">
      <c r="A60" t="s">
        <v>103</v>
      </c>
      <c r="B60">
        <v>-0.267556821</v>
      </c>
      <c r="C60">
        <v>0.21335384600000001</v>
      </c>
      <c r="D60">
        <v>0.26783297</v>
      </c>
      <c r="E60">
        <v>6.3628694999999999E-2</v>
      </c>
      <c r="F60">
        <v>99</v>
      </c>
      <c r="G60">
        <f t="shared" si="35"/>
        <v>0.99</v>
      </c>
      <c r="H60">
        <v>19.600000000000001</v>
      </c>
      <c r="I60">
        <f t="shared" si="36"/>
        <v>292.75</v>
      </c>
      <c r="J60">
        <v>2160</v>
      </c>
      <c r="K60">
        <v>1.2</v>
      </c>
      <c r="L60" s="2">
        <f t="shared" si="37"/>
        <v>-481.60227780000008</v>
      </c>
      <c r="M60">
        <f t="shared" si="38"/>
        <v>384.03692280000001</v>
      </c>
      <c r="N60" s="2">
        <f t="shared" si="39"/>
        <v>-19.847020145930593</v>
      </c>
      <c r="O60" s="2">
        <f t="shared" si="40"/>
        <v>15826.31331897075</v>
      </c>
      <c r="P60">
        <v>0.68899999999999995</v>
      </c>
      <c r="Q60">
        <f>AVERAGE(1364,1270)</f>
        <v>1317</v>
      </c>
      <c r="R60">
        <v>6.2</v>
      </c>
      <c r="S60">
        <v>0.158</v>
      </c>
      <c r="T60">
        <f>AVERAGE(80,87)</f>
        <v>83.5</v>
      </c>
    </row>
    <row r="61" spans="1:20" x14ac:dyDescent="0.25">
      <c r="A61" t="s">
        <v>104</v>
      </c>
      <c r="B61">
        <v>0.153738763</v>
      </c>
      <c r="C61">
        <v>0.15296103899999999</v>
      </c>
      <c r="D61">
        <v>0.311384893</v>
      </c>
      <c r="E61">
        <v>0.15968979999999999</v>
      </c>
      <c r="F61">
        <v>99</v>
      </c>
      <c r="G61">
        <f t="shared" si="35"/>
        <v>0.99</v>
      </c>
      <c r="H61">
        <v>19.600000000000001</v>
      </c>
      <c r="I61">
        <f t="shared" si="36"/>
        <v>292.75</v>
      </c>
      <c r="J61">
        <v>2160</v>
      </c>
      <c r="K61">
        <v>1.2</v>
      </c>
      <c r="L61" s="2">
        <f t="shared" si="37"/>
        <v>276.7297734</v>
      </c>
      <c r="M61">
        <f t="shared" si="38"/>
        <v>275.32987020000002</v>
      </c>
      <c r="N61" s="2">
        <f t="shared" si="39"/>
        <v>11.404143295870032</v>
      </c>
      <c r="O61" s="2">
        <f t="shared" si="40"/>
        <v>11346.452731905776</v>
      </c>
      <c r="P61">
        <v>0.68899999999999995</v>
      </c>
      <c r="Q61">
        <v>0</v>
      </c>
      <c r="R61">
        <v>6.8</v>
      </c>
      <c r="S61">
        <v>0.158</v>
      </c>
      <c r="T61">
        <f t="shared" ref="T61" si="46">AVERAGE(80,87)</f>
        <v>83.5</v>
      </c>
    </row>
    <row r="62" spans="1:20" x14ac:dyDescent="0.25">
      <c r="A62" t="s">
        <v>105</v>
      </c>
      <c r="B62">
        <v>9.3320465000000005E-2</v>
      </c>
      <c r="C62">
        <v>0.147083624</v>
      </c>
      <c r="D62">
        <v>0.121964118</v>
      </c>
      <c r="E62">
        <v>5.2795158000000002E-2</v>
      </c>
      <c r="F62">
        <v>101.12</v>
      </c>
      <c r="G62">
        <f t="shared" si="35"/>
        <v>1.0112000000000001</v>
      </c>
      <c r="H62">
        <v>10.8</v>
      </c>
      <c r="I62">
        <f t="shared" si="36"/>
        <v>283.95</v>
      </c>
      <c r="J62">
        <v>2160</v>
      </c>
      <c r="K62">
        <v>1.2</v>
      </c>
      <c r="L62" s="2">
        <f t="shared" si="37"/>
        <v>167.97683700000002</v>
      </c>
      <c r="M62">
        <f t="shared" si="38"/>
        <v>264.75052319999998</v>
      </c>
      <c r="N62" s="2">
        <f t="shared" si="39"/>
        <v>7.289757385052801</v>
      </c>
      <c r="O62" s="2">
        <f t="shared" si="40"/>
        <v>11489.483408321306</v>
      </c>
      <c r="P62">
        <v>0.91200000000000003</v>
      </c>
      <c r="Q62">
        <f>AVERAGE(1220,1223,1377)</f>
        <v>1273.3333333333333</v>
      </c>
      <c r="R62">
        <v>8</v>
      </c>
      <c r="S62">
        <v>0.17799999999999999</v>
      </c>
      <c r="T62">
        <f>AVERAGE(77,69)</f>
        <v>73</v>
      </c>
    </row>
    <row r="63" spans="1:20" x14ac:dyDescent="0.25">
      <c r="A63" t="s">
        <v>106</v>
      </c>
      <c r="B63">
        <v>0.21740705799999999</v>
      </c>
      <c r="C63">
        <v>0.21759740299999999</v>
      </c>
      <c r="D63">
        <v>0.146367896</v>
      </c>
      <c r="E63">
        <v>0.22060058099999999</v>
      </c>
      <c r="F63">
        <v>101.12</v>
      </c>
      <c r="G63">
        <f t="shared" si="35"/>
        <v>1.0112000000000001</v>
      </c>
      <c r="H63" s="1">
        <v>10.8</v>
      </c>
      <c r="I63">
        <f t="shared" si="36"/>
        <v>283.95</v>
      </c>
      <c r="J63">
        <v>2160</v>
      </c>
      <c r="K63">
        <v>1.2</v>
      </c>
      <c r="L63" s="2">
        <f t="shared" si="37"/>
        <v>391.33270440000001</v>
      </c>
      <c r="M63">
        <f t="shared" si="38"/>
        <v>391.67532540000002</v>
      </c>
      <c r="N63" s="2">
        <f t="shared" si="39"/>
        <v>16.982820505856914</v>
      </c>
      <c r="O63" s="2">
        <f t="shared" si="40"/>
        <v>16997.68936521652</v>
      </c>
      <c r="P63">
        <v>0.91200000000000003</v>
      </c>
      <c r="Q63">
        <v>0</v>
      </c>
      <c r="R63">
        <v>6.7</v>
      </c>
      <c r="S63">
        <v>0.17799999999999999</v>
      </c>
      <c r="T63">
        <f t="shared" ref="T63" si="47">AVERAGE(77,69)</f>
        <v>73</v>
      </c>
    </row>
    <row r="64" spans="1:20" x14ac:dyDescent="0.25">
      <c r="A64" t="s">
        <v>107</v>
      </c>
      <c r="B64">
        <v>7.2813588999999998E-2</v>
      </c>
      <c r="C64">
        <v>0.15403418799999999</v>
      </c>
      <c r="D64">
        <v>0.39331342499999999</v>
      </c>
      <c r="E64">
        <v>7.0161821999999999E-2</v>
      </c>
      <c r="F64">
        <v>99.02</v>
      </c>
      <c r="G64">
        <f t="shared" si="35"/>
        <v>0.99019999999999997</v>
      </c>
      <c r="H64">
        <v>18.05</v>
      </c>
      <c r="I64">
        <f t="shared" si="36"/>
        <v>291.2</v>
      </c>
      <c r="J64">
        <v>2160</v>
      </c>
      <c r="K64">
        <v>1.2</v>
      </c>
      <c r="L64" s="2">
        <f t="shared" si="37"/>
        <v>131.06446020000001</v>
      </c>
      <c r="M64">
        <f t="shared" si="38"/>
        <v>277.26153840000001</v>
      </c>
      <c r="N64" s="2">
        <f t="shared" si="39"/>
        <v>5.4310647667530194</v>
      </c>
      <c r="O64" s="2">
        <f t="shared" si="40"/>
        <v>11489.196766859148</v>
      </c>
      <c r="P64">
        <f>AVERAGE(0.733,0.751)</f>
        <v>0.74199999999999999</v>
      </c>
      <c r="Q64">
        <f>AVERAGE(1041,835)</f>
        <v>938</v>
      </c>
      <c r="R64">
        <v>5.7</v>
      </c>
      <c r="S64">
        <v>0.158</v>
      </c>
      <c r="T64">
        <f>AVERAGE(82,74)</f>
        <v>78</v>
      </c>
    </row>
    <row r="65" spans="1:20" x14ac:dyDescent="0.25">
      <c r="A65" t="s">
        <v>108</v>
      </c>
      <c r="B65">
        <v>0.18471221700000001</v>
      </c>
      <c r="C65">
        <v>0.123134783</v>
      </c>
      <c r="D65">
        <v>0.224357898</v>
      </c>
      <c r="E65">
        <v>6.2803305000000004E-2</v>
      </c>
      <c r="F65">
        <v>99.02</v>
      </c>
      <c r="G65">
        <f t="shared" si="35"/>
        <v>0.99019999999999997</v>
      </c>
      <c r="H65">
        <v>18.5</v>
      </c>
      <c r="I65">
        <f t="shared" si="36"/>
        <v>291.64999999999998</v>
      </c>
      <c r="J65">
        <v>2160</v>
      </c>
      <c r="K65">
        <v>1.2</v>
      </c>
      <c r="L65" s="2">
        <f t="shared" si="37"/>
        <v>332.48199060000002</v>
      </c>
      <c r="M65">
        <f t="shared" si="38"/>
        <v>221.64260940000003</v>
      </c>
      <c r="N65" s="2">
        <f t="shared" si="39"/>
        <v>13.756170646488949</v>
      </c>
      <c r="O65" s="2">
        <f t="shared" si="40"/>
        <v>9170.2818307160833</v>
      </c>
      <c r="P65">
        <v>0.73299999999999998</v>
      </c>
      <c r="Q65">
        <v>0</v>
      </c>
      <c r="R65">
        <v>7.1</v>
      </c>
      <c r="S65">
        <v>0.159</v>
      </c>
      <c r="T65">
        <f t="shared" ref="T65" si="48">AVERAGE(82,74)</f>
        <v>78</v>
      </c>
    </row>
    <row r="66" spans="1:20" x14ac:dyDescent="0.25">
      <c r="A66" t="s">
        <v>109</v>
      </c>
      <c r="B66">
        <v>0.164646341</v>
      </c>
      <c r="C66">
        <v>0.27893506499999998</v>
      </c>
      <c r="D66">
        <v>1.6718137989999999</v>
      </c>
      <c r="E66">
        <v>0.13558479600000001</v>
      </c>
      <c r="F66">
        <v>101.1</v>
      </c>
      <c r="G66">
        <f t="shared" si="35"/>
        <v>1.0109999999999999</v>
      </c>
      <c r="H66">
        <v>11.3</v>
      </c>
      <c r="I66">
        <f t="shared" si="36"/>
        <v>284.45</v>
      </c>
      <c r="J66">
        <v>2160</v>
      </c>
      <c r="K66">
        <v>1.2</v>
      </c>
      <c r="L66" s="2">
        <f t="shared" si="37"/>
        <v>296.36341379999999</v>
      </c>
      <c r="M66">
        <f t="shared" si="38"/>
        <v>502.08311699999996</v>
      </c>
      <c r="N66" s="2">
        <f t="shared" si="39"/>
        <v>12.836253746387355</v>
      </c>
      <c r="O66" s="2">
        <f t="shared" si="40"/>
        <v>21746.497683207246</v>
      </c>
      <c r="P66">
        <v>0.88900000000000001</v>
      </c>
      <c r="Q66">
        <f>AVERAGE(948,762,947)</f>
        <v>885.66666666666663</v>
      </c>
      <c r="R66">
        <v>6.9</v>
      </c>
      <c r="S66">
        <v>0.17799999999999999</v>
      </c>
      <c r="T66">
        <f>AVERAGE(47,48)</f>
        <v>47.5</v>
      </c>
    </row>
    <row r="67" spans="1:20" x14ac:dyDescent="0.25">
      <c r="A67" t="s">
        <v>110</v>
      </c>
      <c r="B67">
        <v>0.40538327499999999</v>
      </c>
      <c r="C67">
        <v>0.24798701300000001</v>
      </c>
      <c r="D67">
        <v>0.41164681400000003</v>
      </c>
      <c r="E67">
        <v>0.16374259399999999</v>
      </c>
      <c r="F67">
        <v>101.1</v>
      </c>
      <c r="G67">
        <f t="shared" si="35"/>
        <v>1.0109999999999999</v>
      </c>
      <c r="H67" s="1">
        <v>11.3</v>
      </c>
      <c r="I67">
        <f t="shared" si="36"/>
        <v>284.45</v>
      </c>
      <c r="J67">
        <v>2160</v>
      </c>
      <c r="K67">
        <v>1.2</v>
      </c>
      <c r="L67" s="2">
        <f t="shared" si="37"/>
        <v>729.68989500000009</v>
      </c>
      <c r="M67">
        <f t="shared" si="38"/>
        <v>446.37662340000003</v>
      </c>
      <c r="N67" s="2">
        <f t="shared" si="39"/>
        <v>31.604726535899914</v>
      </c>
      <c r="O67" s="2">
        <f t="shared" si="40"/>
        <v>19333.707663000296</v>
      </c>
      <c r="P67">
        <v>0.88900000000000001</v>
      </c>
      <c r="Q67">
        <f>AVERAGE(374,512,368)</f>
        <v>418</v>
      </c>
      <c r="R67">
        <v>6.9</v>
      </c>
      <c r="S67">
        <v>0.17799999999999999</v>
      </c>
      <c r="T67">
        <f t="shared" ref="T67" si="49">AVERAGE(47,48)</f>
        <v>47.5</v>
      </c>
    </row>
    <row r="68" spans="1:20" x14ac:dyDescent="0.25">
      <c r="A68" t="s">
        <v>111</v>
      </c>
      <c r="B68">
        <v>0.25367058799999997</v>
      </c>
      <c r="C68">
        <v>0.18629870100000001</v>
      </c>
      <c r="D68">
        <v>0.36528860800000001</v>
      </c>
      <c r="E68">
        <v>0.13789025299999999</v>
      </c>
      <c r="F68">
        <v>99.02</v>
      </c>
      <c r="G68">
        <f t="shared" si="35"/>
        <v>0.99019999999999997</v>
      </c>
      <c r="H68">
        <v>17.600000000000001</v>
      </c>
      <c r="I68">
        <f t="shared" si="36"/>
        <v>290.75</v>
      </c>
      <c r="J68">
        <v>2160</v>
      </c>
      <c r="K68">
        <v>1.2</v>
      </c>
      <c r="L68" s="2">
        <f t="shared" si="37"/>
        <v>456.60705839999991</v>
      </c>
      <c r="M68">
        <f t="shared" si="38"/>
        <v>335.33766180000003</v>
      </c>
      <c r="N68" s="2">
        <f t="shared" si="39"/>
        <v>18.950222200842489</v>
      </c>
      <c r="O68" s="2">
        <f t="shared" si="40"/>
        <v>13917.268878165401</v>
      </c>
      <c r="P68">
        <v>0.751</v>
      </c>
      <c r="Q68">
        <f>AVERAGE(490,716)</f>
        <v>603</v>
      </c>
      <c r="R68">
        <v>4.4000000000000004</v>
      </c>
      <c r="S68">
        <v>0.159</v>
      </c>
      <c r="T68">
        <f>AVERAGE(67,66)</f>
        <v>66.5</v>
      </c>
    </row>
    <row r="69" spans="1:20" x14ac:dyDescent="0.25">
      <c r="A69" t="s">
        <v>112</v>
      </c>
      <c r="B69">
        <v>0.57840710900000003</v>
      </c>
      <c r="C69">
        <v>0.16092885400000001</v>
      </c>
      <c r="D69">
        <v>0.48725144599999998</v>
      </c>
      <c r="E69">
        <v>8.8446368999999997E-2</v>
      </c>
      <c r="F69">
        <v>99.02</v>
      </c>
      <c r="G69">
        <f t="shared" si="35"/>
        <v>0.99019999999999997</v>
      </c>
      <c r="H69">
        <v>17.600000000000001</v>
      </c>
      <c r="I69">
        <f t="shared" si="36"/>
        <v>290.75</v>
      </c>
      <c r="J69">
        <v>2160</v>
      </c>
      <c r="K69">
        <v>1.2</v>
      </c>
      <c r="L69" s="2">
        <f t="shared" si="37"/>
        <v>1041.1327962000003</v>
      </c>
      <c r="M69">
        <f t="shared" si="38"/>
        <v>289.67193720000006</v>
      </c>
      <c r="N69" s="2">
        <f t="shared" si="39"/>
        <v>43.209357949282349</v>
      </c>
      <c r="O69" s="2">
        <f t="shared" si="40"/>
        <v>12022.038368227937</v>
      </c>
      <c r="P69">
        <v>0.751</v>
      </c>
      <c r="Q69">
        <v>0</v>
      </c>
      <c r="R69">
        <v>5.3</v>
      </c>
      <c r="S69">
        <v>0.159</v>
      </c>
      <c r="T69">
        <f t="shared" ref="T69" si="50">AVERAGE(67,66)</f>
        <v>66.5</v>
      </c>
    </row>
    <row r="70" spans="1:20" x14ac:dyDescent="0.25">
      <c r="A70" t="s">
        <v>113</v>
      </c>
      <c r="B70">
        <v>0.123722898</v>
      </c>
      <c r="C70">
        <v>0.35253246799999999</v>
      </c>
      <c r="D70">
        <v>0.96877321400000005</v>
      </c>
      <c r="E70">
        <v>0.27224765400000001</v>
      </c>
      <c r="F70">
        <v>101.11</v>
      </c>
      <c r="G70">
        <f t="shared" si="35"/>
        <v>1.0110999999999999</v>
      </c>
      <c r="H70">
        <v>11.05</v>
      </c>
      <c r="I70">
        <f t="shared" si="36"/>
        <v>284.2</v>
      </c>
      <c r="J70">
        <v>2160</v>
      </c>
      <c r="K70">
        <v>1.2</v>
      </c>
      <c r="L70" s="2">
        <f t="shared" si="37"/>
        <v>222.70121639999999</v>
      </c>
      <c r="M70">
        <f t="shared" si="38"/>
        <v>634.55844239999999</v>
      </c>
      <c r="N70" s="2">
        <f t="shared" si="39"/>
        <v>9.6551964218197046</v>
      </c>
      <c r="O70" s="2">
        <f t="shared" si="40"/>
        <v>27511.239056240582</v>
      </c>
      <c r="P70">
        <f>AVERAGE(0.889,0.912)</f>
        <v>0.90050000000000008</v>
      </c>
      <c r="Q70">
        <f>AVERAGE(1376,1405,1362)</f>
        <v>1381</v>
      </c>
      <c r="R70">
        <v>3.1</v>
      </c>
      <c r="S70">
        <v>0.17799999999999999</v>
      </c>
      <c r="T70">
        <f>AVERAGE(57,62)</f>
        <v>59.5</v>
      </c>
    </row>
    <row r="71" spans="1:20" x14ac:dyDescent="0.25">
      <c r="A71" t="s">
        <v>114</v>
      </c>
      <c r="B71">
        <v>0.52816376300000001</v>
      </c>
      <c r="C71">
        <v>0.25268831200000003</v>
      </c>
      <c r="D71">
        <v>1.0880405150000001</v>
      </c>
      <c r="E71">
        <v>7.4039691000000005E-2</v>
      </c>
      <c r="F71">
        <v>101.11</v>
      </c>
      <c r="G71">
        <f t="shared" si="35"/>
        <v>1.0110999999999999</v>
      </c>
      <c r="H71" s="1">
        <v>10.8</v>
      </c>
      <c r="I71">
        <f t="shared" si="36"/>
        <v>283.95</v>
      </c>
      <c r="J71">
        <v>2160</v>
      </c>
      <c r="K71">
        <v>1.2</v>
      </c>
      <c r="L71" s="2">
        <f t="shared" si="37"/>
        <v>950.69477340000014</v>
      </c>
      <c r="M71">
        <f t="shared" si="38"/>
        <v>454.8389616</v>
      </c>
      <c r="N71" s="2">
        <f t="shared" si="39"/>
        <v>41.253597886846357</v>
      </c>
      <c r="O71" s="2">
        <f t="shared" si="40"/>
        <v>19736.874704813803</v>
      </c>
      <c r="P71">
        <v>0.91200000000000003</v>
      </c>
      <c r="Q71">
        <v>0</v>
      </c>
      <c r="R71">
        <v>4.5999999999999996</v>
      </c>
      <c r="S71">
        <v>0.17799999999999999</v>
      </c>
      <c r="T71">
        <f t="shared" ref="T71" si="51">AVERAGE(57,62)</f>
        <v>59.5</v>
      </c>
    </row>
    <row r="72" spans="1:20" x14ac:dyDescent="0.25">
      <c r="A72" t="s">
        <v>115</v>
      </c>
      <c r="B72">
        <v>0.12866034300000001</v>
      </c>
      <c r="C72">
        <v>0.16146371000000001</v>
      </c>
      <c r="D72">
        <v>0.12615853699999999</v>
      </c>
      <c r="E72">
        <v>0.139120032</v>
      </c>
      <c r="F72">
        <v>99.02</v>
      </c>
      <c r="G72">
        <f t="shared" si="35"/>
        <v>0.99019999999999997</v>
      </c>
      <c r="H72">
        <v>17.25</v>
      </c>
      <c r="I72">
        <f t="shared" si="36"/>
        <v>290.39999999999998</v>
      </c>
      <c r="J72">
        <v>2160</v>
      </c>
      <c r="K72">
        <v>1.2</v>
      </c>
      <c r="L72" s="2">
        <f t="shared" si="37"/>
        <v>231.58861740000003</v>
      </c>
      <c r="M72">
        <f t="shared" si="38"/>
        <v>290.63467800000006</v>
      </c>
      <c r="N72" s="2">
        <f t="shared" si="39"/>
        <v>9.6230337133834762</v>
      </c>
      <c r="O72" s="2">
        <f t="shared" si="40"/>
        <v>12076.531809168058</v>
      </c>
      <c r="P72">
        <f>AVERAGE(0.751,0.764)</f>
        <v>0.75750000000000006</v>
      </c>
      <c r="Q72">
        <f>AVERAGE(934,758)</f>
        <v>846</v>
      </c>
      <c r="R72">
        <v>5.3</v>
      </c>
      <c r="S72">
        <v>0.159</v>
      </c>
      <c r="T72">
        <f>AVERAGE(78,68)</f>
        <v>73</v>
      </c>
    </row>
    <row r="73" spans="1:20" x14ac:dyDescent="0.25">
      <c r="A73" t="s">
        <v>116</v>
      </c>
      <c r="B73">
        <v>0.49544224199999998</v>
      </c>
      <c r="C73">
        <v>0.251636364</v>
      </c>
      <c r="D73">
        <v>0.25001630200000002</v>
      </c>
      <c r="E73">
        <v>0.16188298800000001</v>
      </c>
      <c r="F73">
        <v>99.02</v>
      </c>
      <c r="G73">
        <f t="shared" si="35"/>
        <v>0.99019999999999997</v>
      </c>
      <c r="H73">
        <v>17.25</v>
      </c>
      <c r="I73">
        <f t="shared" si="36"/>
        <v>290.39999999999998</v>
      </c>
      <c r="J73">
        <v>2160</v>
      </c>
      <c r="K73">
        <v>1.2</v>
      </c>
      <c r="L73" s="2">
        <f t="shared" si="37"/>
        <v>891.79603559999998</v>
      </c>
      <c r="M73">
        <f t="shared" si="38"/>
        <v>452.94545520000008</v>
      </c>
      <c r="N73" s="2">
        <f t="shared" si="39"/>
        <v>37.056153330792021</v>
      </c>
      <c r="O73" s="2">
        <f t="shared" si="40"/>
        <v>18820.913716087609</v>
      </c>
      <c r="P73">
        <v>0.751</v>
      </c>
      <c r="Q73">
        <v>0</v>
      </c>
      <c r="R73">
        <v>4.8</v>
      </c>
      <c r="S73">
        <v>0.159</v>
      </c>
      <c r="T73">
        <f t="shared" ref="T73" si="52">AVERAGE(78,68)</f>
        <v>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A17" sqref="A17"/>
    </sheetView>
  </sheetViews>
  <sheetFormatPr defaultRowHeight="15" x14ac:dyDescent="0.25"/>
  <cols>
    <col min="1" max="1" width="23" customWidth="1"/>
    <col min="2" max="2" width="91.85546875" bestFit="1" customWidth="1"/>
  </cols>
  <sheetData>
    <row r="1" spans="1:3" x14ac:dyDescent="0.25">
      <c r="A1" t="s">
        <v>0</v>
      </c>
      <c r="B1" t="s">
        <v>1</v>
      </c>
    </row>
    <row r="3" spans="1:3" x14ac:dyDescent="0.25">
      <c r="A3" t="s">
        <v>2</v>
      </c>
      <c r="B3" t="s">
        <v>3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6" spans="1:3" x14ac:dyDescent="0.25">
      <c r="A6" t="s">
        <v>8</v>
      </c>
      <c r="B6" t="s">
        <v>9</v>
      </c>
    </row>
    <row r="7" spans="1:3" x14ac:dyDescent="0.25">
      <c r="A7" t="s">
        <v>10</v>
      </c>
      <c r="B7" t="s">
        <v>11</v>
      </c>
      <c r="C7" t="s">
        <v>12</v>
      </c>
    </row>
    <row r="8" spans="1:3" x14ac:dyDescent="0.25">
      <c r="A8" t="s">
        <v>13</v>
      </c>
      <c r="B8" t="s">
        <v>14</v>
      </c>
      <c r="C8" t="s">
        <v>15</v>
      </c>
    </row>
    <row r="9" spans="1:3" x14ac:dyDescent="0.25">
      <c r="A9" t="s">
        <v>16</v>
      </c>
      <c r="B9" t="s">
        <v>17</v>
      </c>
      <c r="C9" t="s">
        <v>12</v>
      </c>
    </row>
    <row r="10" spans="1:3" x14ac:dyDescent="0.25">
      <c r="A10" t="s">
        <v>18</v>
      </c>
      <c r="B10" t="s">
        <v>19</v>
      </c>
      <c r="C10" t="s">
        <v>15</v>
      </c>
    </row>
    <row r="11" spans="1:3" x14ac:dyDescent="0.25">
      <c r="A11" t="s">
        <v>20</v>
      </c>
      <c r="B11" t="s">
        <v>21</v>
      </c>
    </row>
    <row r="12" spans="1:3" x14ac:dyDescent="0.25">
      <c r="A12" t="s">
        <v>22</v>
      </c>
      <c r="B12" t="s">
        <v>23</v>
      </c>
    </row>
    <row r="13" spans="1:3" x14ac:dyDescent="0.25">
      <c r="A13" t="s">
        <v>24</v>
      </c>
      <c r="B13" t="s">
        <v>25</v>
      </c>
      <c r="C13" t="s">
        <v>15</v>
      </c>
    </row>
    <row r="14" spans="1:3" x14ac:dyDescent="0.25">
      <c r="A14" t="s">
        <v>26</v>
      </c>
      <c r="B14" t="s">
        <v>27</v>
      </c>
      <c r="C14" t="s">
        <v>15</v>
      </c>
    </row>
    <row r="15" spans="1:3" x14ac:dyDescent="0.25">
      <c r="A15" t="s">
        <v>28</v>
      </c>
      <c r="B15" t="s">
        <v>29</v>
      </c>
      <c r="C15" t="s">
        <v>15</v>
      </c>
    </row>
    <row r="16" spans="1:3" x14ac:dyDescent="0.25">
      <c r="A16" t="s">
        <v>30</v>
      </c>
      <c r="B16" t="s">
        <v>31</v>
      </c>
      <c r="C16" t="s">
        <v>15</v>
      </c>
    </row>
    <row r="17" spans="1:3" x14ac:dyDescent="0.25">
      <c r="A17" t="s">
        <v>32</v>
      </c>
      <c r="B17" t="s">
        <v>33</v>
      </c>
      <c r="C17" t="s">
        <v>12</v>
      </c>
    </row>
    <row r="18" spans="1:3" x14ac:dyDescent="0.25">
      <c r="A18" t="s">
        <v>34</v>
      </c>
      <c r="B18" t="s">
        <v>35</v>
      </c>
    </row>
    <row r="19" spans="1:3" x14ac:dyDescent="0.25">
      <c r="A19" t="s">
        <v>36</v>
      </c>
      <c r="B19" t="s">
        <v>37</v>
      </c>
    </row>
    <row r="20" spans="1:3" x14ac:dyDescent="0.25">
      <c r="A20" t="s">
        <v>38</v>
      </c>
      <c r="B20" t="s">
        <v>39</v>
      </c>
      <c r="C20" t="s">
        <v>12</v>
      </c>
    </row>
    <row r="21" spans="1:3" x14ac:dyDescent="0.25">
      <c r="A21" t="s">
        <v>40</v>
      </c>
      <c r="B21" t="s">
        <v>41</v>
      </c>
    </row>
    <row r="25" spans="1:3" x14ac:dyDescent="0.25">
      <c r="A25" t="s">
        <v>42</v>
      </c>
    </row>
    <row r="26" spans="1:3" x14ac:dyDescent="0.25">
      <c r="A26" t="s">
        <v>43</v>
      </c>
    </row>
    <row r="27" spans="1:3" x14ac:dyDescent="0.25">
      <c r="A27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final_flux</vt:lpstr>
      <vt:lpstr>read_me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Tobio</dc:creator>
  <cp:lastModifiedBy>Ana</cp:lastModifiedBy>
  <dcterms:created xsi:type="dcterms:W3CDTF">2017-10-06T18:13:32Z</dcterms:created>
  <dcterms:modified xsi:type="dcterms:W3CDTF">2017-10-10T21:40:25Z</dcterms:modified>
</cp:coreProperties>
</file>