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AF55C73F-C45D-41F0-8889-4D4383D6195B}" xr6:coauthVersionLast="34" xr6:coauthVersionMax="34" xr10:uidLastSave="{00000000-0000-0000-0000-000000000000}"/>
  <bookViews>
    <workbookView xWindow="240" yWindow="15" windowWidth="16095" windowHeight="9660" activeTab="1" xr2:uid="{00000000-000D-0000-FFFF-FFFF00000000}"/>
  </bookViews>
  <sheets>
    <sheet name="Population Definitions" sheetId="1" r:id="rId1"/>
    <sheet name="Transfers" sheetId="19" r:id="rId2"/>
    <sheet name="Interactions" sheetId="18" r:id="rId3"/>
    <sheet name="General Demographics" sheetId="3" r:id="rId4"/>
    <sheet name="Active TB Prevalence" sheetId="4" r:id="rId5"/>
    <sheet name="Latent TB Prevalence" sheetId="5" r:id="rId6"/>
    <sheet name="Notified Cases" sheetId="6"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s>
  <externalReferences>
    <externalReference r:id="rId14"/>
  </externalReferences>
  <calcPr calcId="179017"/>
</workbook>
</file>

<file path=xl/calcChain.xml><?xml version="1.0" encoding="utf-8"?>
<calcChain xmlns="http://schemas.openxmlformats.org/spreadsheetml/2006/main">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K18" i="3"/>
  <c r="G18" i="3"/>
  <c r="H18" i="3" s="1"/>
  <c r="I18" i="3" s="1"/>
  <c r="F18" i="3"/>
  <c r="U16" i="3"/>
  <c r="T16" i="3"/>
  <c r="S16" i="3"/>
  <c r="R16" i="3"/>
  <c r="Q16" i="3"/>
  <c r="P16" i="3"/>
  <c r="O16" i="3"/>
  <c r="N16" i="3"/>
  <c r="M16" i="3"/>
  <c r="L16" i="3"/>
  <c r="K16" i="3"/>
  <c r="J16" i="3"/>
  <c r="I16" i="3"/>
  <c r="H16" i="3"/>
  <c r="G16" i="3"/>
  <c r="F16" i="3"/>
  <c r="E16" i="3"/>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1BFCB65-CC2D-4D61-954C-D417CC930B71}">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2C8D6CF0-126C-41A5-AD4C-6FAAE8610C4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shapeId="0" xr:uid="{4B632171-4674-4633-9277-1A77A0F75269}">
      <text>
        <r>
          <rPr>
            <sz val="8"/>
            <color indexed="81"/>
            <rFont val="Tahoma"/>
            <family val="2"/>
          </rPr>
          <t>This column defines a 'label' attribute for a 'interpop' item.</t>
        </r>
      </text>
    </comment>
    <comment ref="D18"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<sst xmlns="http://schemas.openxmlformats.org/spreadsheetml/2006/main" count="4631" uniqueCount="165">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</sst>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_-* #,##0.0_-;\-* #,##0.0_-;_-* &quot;-&quot;??_-;_-@_-"/>
    <numFmt numFmtId="171" formatCode="#,##0.0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6">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xf numFmtId="43" fontId="3" fillId="0" borderId="0" applyFont="0" applyFill="0" applyBorder="0" applyAlignment="0" applyProtection="0"/>
  </cellStyleXfs>
  <cellXfs count="167">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0" fontId="2" fillId="0" borderId="0" xfId="0" applyFont="1"/>
    <xf numFmtId="3" fontId="0" fillId="2" borderId="1" xfId="0" applyNumberForma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5" applyNumberFormat="1" applyFont="1" applyFill="1" applyBorder="1" applyAlignment="1">
      <alignment horizontal="right"/>
    </xf>
    <xf numFmtId="171" fontId="0" fillId="2" borderId="1" xfId="0" applyNumberFormat="1" applyFill="1" applyBorder="1" applyAlignment="1">
      <alignment horizontal="right"/>
    </xf>
    <xf numFmtId="166" fontId="0" fillId="2" borderId="1" xfId="5" applyNumberFormat="1" applyFont="1" applyFill="1" applyBorder="1" applyAlignment="1">
      <alignment horizontal="right"/>
    </xf>
    <xf numFmtId="166" fontId="0" fillId="4" borderId="1" xfId="5" applyNumberFormat="1" applyFont="1" applyFill="1" applyBorder="1" applyAlignment="1">
      <alignment horizontal="right"/>
    </xf>
    <xf numFmtId="166" fontId="4" fillId="2" borderId="2" xfId="5" applyNumberFormat="1" applyFont="1" applyFill="1" applyBorder="1" applyAlignment="1">
      <alignment horizontal="center" vertical="center"/>
    </xf>
    <xf numFmtId="166" fontId="4" fillId="2" borderId="2" xfId="5" applyNumberFormat="1" applyFont="1" applyFill="1" applyBorder="1" applyAlignment="1">
      <alignment horizontal="right" vertical="center"/>
    </xf>
    <xf numFmtId="166" fontId="5" fillId="3" borderId="2" xfId="5" applyNumberFormat="1" applyFont="1" applyFill="1" applyBorder="1" applyAlignment="1">
      <alignment horizontal="right" vertical="center"/>
    </xf>
    <xf numFmtId="166" fontId="5" fillId="3" borderId="3" xfId="5" applyNumberFormat="1" applyFont="1" applyFill="1" applyBorder="1" applyAlignment="1">
      <alignment horizontal="right" vertical="center"/>
    </xf>
    <xf numFmtId="168" fontId="0" fillId="2" borderId="1" xfId="5" applyNumberFormat="1" applyFont="1" applyFill="1" applyBorder="1" applyAlignment="1">
      <alignment horizontal="right"/>
    </xf>
    <xf numFmtId="166"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cellXfs>
  <cellStyles count="6">
    <cellStyle name="Comma" xfId="5" builtinId="3"/>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A13"/>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4" t="s">
        <v>110</v>
      </c>
    </row>
    <row r="3" spans="1:2" x14ac:dyDescent="0.25">
      <c r="A3" s="3" t="s">
        <v>113</v>
      </c>
      <c r="B3" s="4" t="s">
        <v>112</v>
      </c>
    </row>
    <row r="4" spans="1:2" x14ac:dyDescent="0.25">
      <c r="A4" s="3" t="s">
        <v>115</v>
      </c>
      <c r="B4" s="4" t="s">
        <v>114</v>
      </c>
    </row>
    <row r="5" spans="1:2" x14ac:dyDescent="0.25">
      <c r="A5" s="3" t="s">
        <v>117</v>
      </c>
      <c r="B5" s="4" t="s">
        <v>116</v>
      </c>
    </row>
    <row r="6" spans="1:2" x14ac:dyDescent="0.25">
      <c r="A6" s="3" t="s">
        <v>119</v>
      </c>
      <c r="B6" s="4" t="s">
        <v>118</v>
      </c>
    </row>
    <row r="7" spans="1:2" x14ac:dyDescent="0.25">
      <c r="A7" s="3" t="s">
        <v>121</v>
      </c>
      <c r="B7" s="4" t="s">
        <v>120</v>
      </c>
    </row>
    <row r="8" spans="1:2" x14ac:dyDescent="0.25">
      <c r="A8" s="3" t="s">
        <v>128</v>
      </c>
      <c r="B8" s="4" t="s">
        <v>122</v>
      </c>
    </row>
    <row r="9" spans="1:2" x14ac:dyDescent="0.25">
      <c r="A9" s="3" t="s">
        <v>132</v>
      </c>
      <c r="B9" s="4" t="s">
        <v>123</v>
      </c>
    </row>
    <row r="10" spans="1:2" x14ac:dyDescent="0.25">
      <c r="A10" s="3" t="s">
        <v>124</v>
      </c>
      <c r="B10" s="4" t="s">
        <v>129</v>
      </c>
    </row>
    <row r="11" spans="1:2" x14ac:dyDescent="0.25">
      <c r="A11" s="3" t="s">
        <v>125</v>
      </c>
      <c r="B11" s="4" t="s">
        <v>133</v>
      </c>
    </row>
    <row r="12" spans="1:2" x14ac:dyDescent="0.25">
      <c r="A12" s="3" t="s">
        <v>130</v>
      </c>
      <c r="B12" s="4" t="s">
        <v>126</v>
      </c>
    </row>
    <row r="13" spans="1:2" x14ac:dyDescent="0.25">
      <c r="A13" s="3" t="s">
        <v>131</v>
      </c>
      <c r="B13" s="4" t="s">
        <v>127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topLeftCell="A4"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41</v>
      </c>
      <c r="C2" t="str">
        <f t="shared" ref="C2:C13" si="0">IF(SUMPRODUCT(--(E2:W2&lt;&gt;""))=0,0,"N.A.")</f>
        <v>N.A.</v>
      </c>
      <c r="D2" s="2" t="s">
        <v>6</v>
      </c>
      <c r="E2" s="69">
        <v>0.2001</v>
      </c>
    </row>
    <row r="3" spans="1:23" x14ac:dyDescent="0.25">
      <c r="A3" s="166" t="s">
        <v>113</v>
      </c>
      <c r="B3" t="s">
        <v>41</v>
      </c>
      <c r="C3" t="str">
        <f t="shared" si="0"/>
        <v>N.A.</v>
      </c>
      <c r="D3" s="2" t="s">
        <v>6</v>
      </c>
      <c r="E3" s="69">
        <v>0.2001</v>
      </c>
    </row>
    <row r="4" spans="1:23" x14ac:dyDescent="0.25">
      <c r="A4" s="166" t="s">
        <v>115</v>
      </c>
      <c r="B4" t="s">
        <v>41</v>
      </c>
      <c r="C4" t="str">
        <f t="shared" si="0"/>
        <v>N.A.</v>
      </c>
      <c r="D4" s="2" t="s">
        <v>6</v>
      </c>
      <c r="E4" s="69">
        <v>0.2001</v>
      </c>
    </row>
    <row r="5" spans="1:23" x14ac:dyDescent="0.25">
      <c r="A5" s="166" t="s">
        <v>117</v>
      </c>
      <c r="B5" t="s">
        <v>41</v>
      </c>
      <c r="C5" t="str">
        <f t="shared" si="0"/>
        <v>N.A.</v>
      </c>
      <c r="D5" s="2" t="s">
        <v>6</v>
      </c>
      <c r="E5" s="69">
        <v>0.2001</v>
      </c>
    </row>
    <row r="6" spans="1:23" x14ac:dyDescent="0.25">
      <c r="A6" s="166" t="s">
        <v>119</v>
      </c>
      <c r="B6" t="s">
        <v>41</v>
      </c>
      <c r="C6" t="str">
        <f t="shared" si="0"/>
        <v>N.A.</v>
      </c>
      <c r="D6" s="2" t="s">
        <v>6</v>
      </c>
      <c r="E6" s="69">
        <v>0.99</v>
      </c>
    </row>
    <row r="7" spans="1:23" x14ac:dyDescent="0.25">
      <c r="A7" s="166" t="s">
        <v>121</v>
      </c>
      <c r="B7" t="s">
        <v>41</v>
      </c>
      <c r="C7" t="str">
        <f t="shared" si="0"/>
        <v>N.A.</v>
      </c>
      <c r="D7" s="2" t="s">
        <v>6</v>
      </c>
      <c r="E7" s="69">
        <v>0.99</v>
      </c>
    </row>
    <row r="8" spans="1:23" x14ac:dyDescent="0.25">
      <c r="A8" s="166" t="s">
        <v>128</v>
      </c>
      <c r="B8" t="s">
        <v>41</v>
      </c>
      <c r="C8" t="str">
        <f t="shared" si="0"/>
        <v>N.A.</v>
      </c>
      <c r="D8" s="2" t="s">
        <v>6</v>
      </c>
      <c r="E8" s="69">
        <v>0.2001</v>
      </c>
    </row>
    <row r="9" spans="1:23" x14ac:dyDescent="0.25">
      <c r="A9" s="166" t="s">
        <v>132</v>
      </c>
      <c r="B9" t="s">
        <v>41</v>
      </c>
      <c r="C9" t="str">
        <f t="shared" si="0"/>
        <v>N.A.</v>
      </c>
      <c r="D9" s="2" t="s">
        <v>6</v>
      </c>
      <c r="E9" s="69">
        <v>0.99</v>
      </c>
    </row>
    <row r="10" spans="1:23" x14ac:dyDescent="0.25">
      <c r="A10" s="166" t="s">
        <v>124</v>
      </c>
      <c r="B10" t="s">
        <v>41</v>
      </c>
      <c r="C10" t="str">
        <f t="shared" si="0"/>
        <v>N.A.</v>
      </c>
      <c r="D10" s="2" t="s">
        <v>6</v>
      </c>
      <c r="E10" s="69">
        <v>0.2001</v>
      </c>
    </row>
    <row r="11" spans="1:23" x14ac:dyDescent="0.25">
      <c r="A11" s="166" t="s">
        <v>125</v>
      </c>
      <c r="B11" t="s">
        <v>41</v>
      </c>
      <c r="C11" t="str">
        <f t="shared" si="0"/>
        <v>N.A.</v>
      </c>
      <c r="D11" s="2" t="s">
        <v>6</v>
      </c>
      <c r="E11" s="69">
        <v>0.99</v>
      </c>
    </row>
    <row r="12" spans="1:23" x14ac:dyDescent="0.25">
      <c r="A12" s="166" t="s">
        <v>130</v>
      </c>
      <c r="B12" t="s">
        <v>41</v>
      </c>
      <c r="C12" t="str">
        <f t="shared" si="0"/>
        <v>N.A.</v>
      </c>
      <c r="D12" s="2" t="s">
        <v>6</v>
      </c>
      <c r="E12" s="69">
        <v>0.2001</v>
      </c>
    </row>
    <row r="13" spans="1:23" x14ac:dyDescent="0.25">
      <c r="A13" s="166" t="s">
        <v>131</v>
      </c>
      <c r="B13" t="s">
        <v>41</v>
      </c>
      <c r="C13" t="str">
        <f t="shared" si="0"/>
        <v>N.A.</v>
      </c>
      <c r="D13" s="2" t="s">
        <v>6</v>
      </c>
      <c r="E13" s="69">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41</v>
      </c>
      <c r="C16" t="str">
        <f t="shared" ref="C16:C27" si="1">IF(SUMPRODUCT(--(E16:W16&lt;&gt;""))=0,0,"N.A.")</f>
        <v>N.A.</v>
      </c>
      <c r="D16" s="2" t="s">
        <v>6</v>
      </c>
      <c r="E16" s="70">
        <v>5.5500000000000002E-3</v>
      </c>
    </row>
    <row r="17" spans="1:23" x14ac:dyDescent="0.25">
      <c r="A17" s="166" t="s">
        <v>113</v>
      </c>
      <c r="B17" t="s">
        <v>41</v>
      </c>
      <c r="C17" t="str">
        <f t="shared" si="1"/>
        <v>N.A.</v>
      </c>
      <c r="D17" s="2" t="s">
        <v>6</v>
      </c>
      <c r="E17" s="70">
        <v>1.1280487804878051E-4</v>
      </c>
    </row>
    <row r="18" spans="1:23" x14ac:dyDescent="0.25">
      <c r="A18" s="166" t="s">
        <v>115</v>
      </c>
      <c r="B18" t="s">
        <v>41</v>
      </c>
      <c r="C18" t="str">
        <f t="shared" si="1"/>
        <v>N.A.</v>
      </c>
      <c r="D18" s="2" t="s">
        <v>6</v>
      </c>
      <c r="E18" s="70">
        <v>1.1280487804878051E-4</v>
      </c>
    </row>
    <row r="19" spans="1:23" x14ac:dyDescent="0.25">
      <c r="A19" s="166" t="s">
        <v>117</v>
      </c>
      <c r="B19" t="s">
        <v>41</v>
      </c>
      <c r="C19" t="str">
        <f t="shared" si="1"/>
        <v>N.A.</v>
      </c>
      <c r="D19" s="2" t="s">
        <v>6</v>
      </c>
      <c r="E19" s="70">
        <v>1.1280487804878051E-4</v>
      </c>
    </row>
    <row r="20" spans="1:23" x14ac:dyDescent="0.25">
      <c r="A20" s="166" t="s">
        <v>119</v>
      </c>
      <c r="B20" t="s">
        <v>41</v>
      </c>
      <c r="C20" t="str">
        <f t="shared" si="1"/>
        <v>N.A.</v>
      </c>
      <c r="D20" s="2" t="s">
        <v>6</v>
      </c>
      <c r="E20" s="70">
        <v>3.7000000000000002E-3</v>
      </c>
    </row>
    <row r="21" spans="1:23" x14ac:dyDescent="0.25">
      <c r="A21" s="166" t="s">
        <v>121</v>
      </c>
      <c r="B21" t="s">
        <v>41</v>
      </c>
      <c r="C21" t="str">
        <f t="shared" si="1"/>
        <v>N.A.</v>
      </c>
      <c r="D21" s="2" t="s">
        <v>6</v>
      </c>
      <c r="E21" s="70">
        <v>3.7000000000000002E-3</v>
      </c>
    </row>
    <row r="22" spans="1:23" x14ac:dyDescent="0.25">
      <c r="A22" s="166" t="s">
        <v>128</v>
      </c>
      <c r="B22" t="s">
        <v>41</v>
      </c>
      <c r="C22" t="str">
        <f t="shared" si="1"/>
        <v>N.A.</v>
      </c>
      <c r="D22" s="2" t="s">
        <v>6</v>
      </c>
      <c r="E22" s="70">
        <v>1.1280487804878051E-4</v>
      </c>
    </row>
    <row r="23" spans="1:23" x14ac:dyDescent="0.25">
      <c r="A23" s="166" t="s">
        <v>132</v>
      </c>
      <c r="B23" t="s">
        <v>41</v>
      </c>
      <c r="C23" t="str">
        <f t="shared" si="1"/>
        <v>N.A.</v>
      </c>
      <c r="D23" s="2" t="s">
        <v>6</v>
      </c>
      <c r="E23" s="70">
        <v>3.7000000000000002E-3</v>
      </c>
    </row>
    <row r="24" spans="1:23" x14ac:dyDescent="0.25">
      <c r="A24" s="166" t="s">
        <v>124</v>
      </c>
      <c r="B24" t="s">
        <v>41</v>
      </c>
      <c r="C24" t="str">
        <f t="shared" si="1"/>
        <v>N.A.</v>
      </c>
      <c r="D24" s="2" t="s">
        <v>6</v>
      </c>
      <c r="E24" s="70">
        <v>1.1280487804878051E-4</v>
      </c>
    </row>
    <row r="25" spans="1:23" x14ac:dyDescent="0.25">
      <c r="A25" s="166" t="s">
        <v>125</v>
      </c>
      <c r="B25" t="s">
        <v>41</v>
      </c>
      <c r="C25" t="str">
        <f t="shared" si="1"/>
        <v>N.A.</v>
      </c>
      <c r="D25" s="2" t="s">
        <v>6</v>
      </c>
      <c r="E25" s="70">
        <v>3.7000000000000002E-3</v>
      </c>
    </row>
    <row r="26" spans="1:23" x14ac:dyDescent="0.25">
      <c r="A26" s="166" t="s">
        <v>130</v>
      </c>
      <c r="B26" t="s">
        <v>41</v>
      </c>
      <c r="C26" t="str">
        <f t="shared" si="1"/>
        <v>N.A.</v>
      </c>
      <c r="D26" s="2" t="s">
        <v>6</v>
      </c>
      <c r="E26" s="70">
        <v>1.1280487804878051E-4</v>
      </c>
    </row>
    <row r="27" spans="1:23" x14ac:dyDescent="0.25">
      <c r="A27" s="166" t="s">
        <v>131</v>
      </c>
      <c r="B27" t="s">
        <v>41</v>
      </c>
      <c r="C27" t="str">
        <f t="shared" si="1"/>
        <v>N.A.</v>
      </c>
      <c r="D27" s="2" t="s">
        <v>6</v>
      </c>
      <c r="E27" s="70">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41</v>
      </c>
      <c r="C30" t="str">
        <f t="shared" ref="C30:C41" si="2">IF(SUMPRODUCT(--(E30:W30&lt;&gt;""))=0,0,"N.A.")</f>
        <v>N.A.</v>
      </c>
      <c r="D30" s="2" t="s">
        <v>6</v>
      </c>
      <c r="E30" s="161">
        <f>0.177*3</f>
        <v>0.53099999999999992</v>
      </c>
    </row>
    <row r="31" spans="1:23" x14ac:dyDescent="0.25">
      <c r="A31" s="166" t="s">
        <v>113</v>
      </c>
      <c r="B31" t="s">
        <v>41</v>
      </c>
      <c r="C31" t="str">
        <f t="shared" si="2"/>
        <v>N.A.</v>
      </c>
      <c r="D31" s="2" t="s">
        <v>6</v>
      </c>
      <c r="E31" s="161">
        <v>0.17699999999999999</v>
      </c>
    </row>
    <row r="32" spans="1:23" x14ac:dyDescent="0.25">
      <c r="A32" s="166" t="s">
        <v>115</v>
      </c>
      <c r="B32" t="s">
        <v>41</v>
      </c>
      <c r="C32" t="str">
        <f t="shared" si="2"/>
        <v>N.A.</v>
      </c>
      <c r="D32" s="2" t="s">
        <v>6</v>
      </c>
      <c r="E32" s="161">
        <v>0.17699999999999999</v>
      </c>
    </row>
    <row r="33" spans="1:5" x14ac:dyDescent="0.25">
      <c r="A33" s="166" t="s">
        <v>117</v>
      </c>
      <c r="B33" t="s">
        <v>41</v>
      </c>
      <c r="C33" t="str">
        <f t="shared" si="2"/>
        <v>N.A.</v>
      </c>
      <c r="D33" s="2" t="s">
        <v>6</v>
      </c>
      <c r="E33" s="161">
        <v>0.17699999999999999</v>
      </c>
    </row>
    <row r="34" spans="1:5" x14ac:dyDescent="0.25">
      <c r="A34" s="166" t="s">
        <v>119</v>
      </c>
      <c r="B34" t="s">
        <v>41</v>
      </c>
      <c r="C34" t="str">
        <f t="shared" si="2"/>
        <v>N.A.</v>
      </c>
      <c r="D34" s="2" t="s">
        <v>6</v>
      </c>
      <c r="E34" s="161">
        <v>0.93</v>
      </c>
    </row>
    <row r="35" spans="1:5" x14ac:dyDescent="0.25">
      <c r="A35" s="166" t="s">
        <v>121</v>
      </c>
      <c r="B35" t="s">
        <v>41</v>
      </c>
      <c r="C35" t="str">
        <f t="shared" si="2"/>
        <v>N.A.</v>
      </c>
      <c r="D35" s="2" t="s">
        <v>6</v>
      </c>
      <c r="E35" s="161">
        <f>E34</f>
        <v>0.93</v>
      </c>
    </row>
    <row r="36" spans="1:5" x14ac:dyDescent="0.25">
      <c r="A36" s="166" t="s">
        <v>128</v>
      </c>
      <c r="B36" t="s">
        <v>41</v>
      </c>
      <c r="C36" t="str">
        <f t="shared" si="2"/>
        <v>N.A.</v>
      </c>
      <c r="D36" s="2" t="s">
        <v>6</v>
      </c>
      <c r="E36" s="161">
        <v>0.17699999999999999</v>
      </c>
    </row>
    <row r="37" spans="1:5" x14ac:dyDescent="0.25">
      <c r="A37" s="166" t="s">
        <v>132</v>
      </c>
      <c r="B37" t="s">
        <v>41</v>
      </c>
      <c r="C37" t="str">
        <f t="shared" si="2"/>
        <v>N.A.</v>
      </c>
      <c r="D37" s="2" t="s">
        <v>6</v>
      </c>
      <c r="E37" s="161">
        <f>E34</f>
        <v>0.93</v>
      </c>
    </row>
    <row r="38" spans="1:5" x14ac:dyDescent="0.25">
      <c r="A38" s="166" t="s">
        <v>124</v>
      </c>
      <c r="B38" t="s">
        <v>41</v>
      </c>
      <c r="C38" t="str">
        <f t="shared" si="2"/>
        <v>N.A.</v>
      </c>
      <c r="D38" s="2" t="s">
        <v>6</v>
      </c>
      <c r="E38" s="161">
        <v>0.17699999999999999</v>
      </c>
    </row>
    <row r="39" spans="1:5" x14ac:dyDescent="0.25">
      <c r="A39" s="166" t="s">
        <v>125</v>
      </c>
      <c r="B39" t="s">
        <v>41</v>
      </c>
      <c r="C39" t="str">
        <f t="shared" si="2"/>
        <v>N.A.</v>
      </c>
      <c r="D39" s="2" t="s">
        <v>6</v>
      </c>
      <c r="E39" s="161">
        <f>E34</f>
        <v>0.93</v>
      </c>
    </row>
    <row r="40" spans="1:5" x14ac:dyDescent="0.25">
      <c r="A40" s="166" t="s">
        <v>130</v>
      </c>
      <c r="B40" t="s">
        <v>41</v>
      </c>
      <c r="C40" t="str">
        <f t="shared" si="2"/>
        <v>N.A.</v>
      </c>
      <c r="D40" s="2" t="s">
        <v>6</v>
      </c>
      <c r="E40" s="161">
        <v>0.17699999999999999</v>
      </c>
    </row>
    <row r="41" spans="1:5" x14ac:dyDescent="0.25">
      <c r="A41" s="166" t="s">
        <v>131</v>
      </c>
      <c r="B41" t="s">
        <v>41</v>
      </c>
      <c r="C41" t="str">
        <f t="shared" si="2"/>
        <v>N.A.</v>
      </c>
      <c r="D41" s="2" t="s">
        <v>6</v>
      </c>
      <c r="E41" s="161">
        <f>E34</f>
        <v>0.93</v>
      </c>
    </row>
  </sheetData>
  <dataValidations count="1">
    <dataValidation type="list" allowBlank="1" showInputMessage="1" showErrorMessage="1" sqref="B30:B41 B16:B27 B2:B13" xr:uid="{00000000-0002-0000-0800-00000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A229" zoomScale="55" zoomScaleNormal="55" workbookViewId="0">
      <selection activeCell="A268" sqref="A268"/>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48</v>
      </c>
      <c r="C2" t="str">
        <f t="shared" ref="C2:C13" si="0">IF(SUMPRODUCT(--(E2:W2&lt;&gt;""))=0,0,"N.A.")</f>
        <v>N.A.</v>
      </c>
      <c r="D2" s="2" t="s">
        <v>6</v>
      </c>
      <c r="G2" s="73">
        <v>0.52728187130444959</v>
      </c>
      <c r="H2" s="73">
        <v>0.60126751446492466</v>
      </c>
      <c r="I2" s="73">
        <v>0.6185431743629175</v>
      </c>
      <c r="J2" s="73">
        <v>0.6544774870160196</v>
      </c>
      <c r="K2" s="73"/>
      <c r="L2" s="73">
        <v>0.54895144774638782</v>
      </c>
      <c r="M2" s="73">
        <v>0.68417739899250785</v>
      </c>
      <c r="N2" s="73">
        <v>0.72738972022399784</v>
      </c>
      <c r="O2" s="73">
        <v>0.73016553054937605</v>
      </c>
      <c r="P2" s="73"/>
      <c r="Q2" s="73">
        <v>0.71294256594431826</v>
      </c>
      <c r="R2" s="73"/>
      <c r="S2" s="73">
        <v>0.65602333797001322</v>
      </c>
      <c r="T2" s="73"/>
    </row>
    <row r="3" spans="1:23" x14ac:dyDescent="0.25">
      <c r="A3" s="166" t="s">
        <v>113</v>
      </c>
      <c r="B3" s="71" t="s">
        <v>48</v>
      </c>
      <c r="C3" t="str">
        <f t="shared" si="0"/>
        <v>N.A.</v>
      </c>
      <c r="D3" s="2" t="s">
        <v>6</v>
      </c>
      <c r="G3" s="73">
        <v>0.52761265523770429</v>
      </c>
      <c r="H3" s="73">
        <v>0.6017651657491071</v>
      </c>
      <c r="I3" s="73">
        <v>0.61917910676356847</v>
      </c>
      <c r="J3" s="73">
        <v>0.65528162143823487</v>
      </c>
      <c r="K3" s="73">
        <v>0.65443320943362138</v>
      </c>
      <c r="L3" s="73">
        <v>0.62653996484003982</v>
      </c>
      <c r="M3" s="73">
        <v>0.68417739888878804</v>
      </c>
      <c r="N3" s="73">
        <v>0.72592662047665379</v>
      </c>
      <c r="O3" s="73">
        <v>0.73016553025898712</v>
      </c>
      <c r="P3" s="73">
        <v>0.78137559754285613</v>
      </c>
      <c r="Q3" s="73">
        <v>0.71294256626806429</v>
      </c>
      <c r="R3" s="73">
        <v>0.68381977228723001</v>
      </c>
      <c r="S3" s="73">
        <v>0.65651957338707012</v>
      </c>
      <c r="T3" s="73"/>
    </row>
    <row r="4" spans="1:23" x14ac:dyDescent="0.25">
      <c r="A4" s="166" t="s">
        <v>115</v>
      </c>
      <c r="B4" s="71" t="s">
        <v>48</v>
      </c>
      <c r="C4" t="str">
        <f t="shared" si="0"/>
        <v>N.A.</v>
      </c>
      <c r="D4" s="2" t="s">
        <v>6</v>
      </c>
      <c r="G4" s="73">
        <v>0.55067449706655269</v>
      </c>
      <c r="H4" s="73">
        <v>0.62555791776644842</v>
      </c>
      <c r="I4" s="73">
        <v>0.64086681698974046</v>
      </c>
      <c r="J4" s="73">
        <v>0.67436241142338693</v>
      </c>
      <c r="K4" s="73"/>
      <c r="L4" s="73">
        <v>0.62653996506090293</v>
      </c>
      <c r="M4" s="73"/>
      <c r="N4" s="73">
        <v>0.72745783122423247</v>
      </c>
      <c r="O4" s="73">
        <v>0.73848508537969926</v>
      </c>
      <c r="P4" s="73">
        <v>0.781375597733036</v>
      </c>
      <c r="Q4" s="73">
        <v>0.71294256593975247</v>
      </c>
      <c r="R4" s="73">
        <v>0.68381977222841184</v>
      </c>
      <c r="S4" s="73">
        <v>0.65602333785137079</v>
      </c>
      <c r="T4" s="73"/>
    </row>
    <row r="5" spans="1:23" x14ac:dyDescent="0.25">
      <c r="A5" s="166" t="s">
        <v>117</v>
      </c>
      <c r="B5" s="71" t="s">
        <v>48</v>
      </c>
      <c r="C5" t="str">
        <f t="shared" si="0"/>
        <v>N.A.</v>
      </c>
      <c r="D5" s="2" t="s">
        <v>6</v>
      </c>
      <c r="G5" s="73">
        <v>0.52845628744387418</v>
      </c>
      <c r="H5" s="73">
        <v>0.60272649992205973</v>
      </c>
      <c r="I5" s="73">
        <v>0.62016736933887728</v>
      </c>
      <c r="J5" s="73">
        <v>0.65632656370426856</v>
      </c>
      <c r="K5" s="73">
        <v>0.65547585659263452</v>
      </c>
      <c r="L5" s="73">
        <v>0.62907914517819674</v>
      </c>
      <c r="M5" s="73">
        <v>0.68417739902122576</v>
      </c>
      <c r="N5" s="73">
        <v>0.72592662048618972</v>
      </c>
      <c r="O5" s="73"/>
      <c r="P5" s="73">
        <v>0.78137559781853583</v>
      </c>
      <c r="Q5" s="73">
        <v>0.71294256602280948</v>
      </c>
      <c r="R5" s="73">
        <v>0.6838197722454622</v>
      </c>
      <c r="S5" s="73">
        <v>0.65602333785953382</v>
      </c>
      <c r="T5" s="73"/>
    </row>
    <row r="6" spans="1:23" x14ac:dyDescent="0.25">
      <c r="A6" s="166" t="s">
        <v>119</v>
      </c>
      <c r="B6" s="71" t="s">
        <v>48</v>
      </c>
      <c r="C6" t="str">
        <f t="shared" si="0"/>
        <v>N.A.</v>
      </c>
      <c r="D6" s="2" t="s">
        <v>6</v>
      </c>
      <c r="G6" s="73">
        <v>0.53045361362447518</v>
      </c>
      <c r="H6" s="73">
        <v>0.60516367855763931</v>
      </c>
      <c r="I6" s="73">
        <v>0.62284297262724009</v>
      </c>
      <c r="J6" s="73">
        <v>0.65936045820325317</v>
      </c>
      <c r="K6" s="73">
        <v>0.565506340560194</v>
      </c>
      <c r="L6" s="73">
        <v>0.63206374301910362</v>
      </c>
      <c r="M6" s="73">
        <v>0.76964007850794369</v>
      </c>
      <c r="N6" s="73">
        <v>0.72660518192436707</v>
      </c>
      <c r="O6" s="73">
        <v>0.73782441629676121</v>
      </c>
      <c r="P6" s="73">
        <v>0.78193517968808746</v>
      </c>
      <c r="Q6" s="73">
        <v>0.71340975748522106</v>
      </c>
      <c r="R6" s="73">
        <v>0.68404139567522904</v>
      </c>
      <c r="S6" s="73">
        <v>0.65661033668624535</v>
      </c>
      <c r="T6" s="73"/>
    </row>
    <row r="7" spans="1:23" x14ac:dyDescent="0.25">
      <c r="A7" s="166" t="s">
        <v>121</v>
      </c>
      <c r="B7" s="71" t="s">
        <v>48</v>
      </c>
      <c r="C7" t="str">
        <f t="shared" si="0"/>
        <v>N.A.</v>
      </c>
      <c r="D7" s="2" t="s">
        <v>6</v>
      </c>
      <c r="G7" s="73">
        <v>0.52838965188452258</v>
      </c>
      <c r="H7" s="73">
        <v>0.60256726743249001</v>
      </c>
      <c r="I7" s="73">
        <v>0.61991786553615713</v>
      </c>
      <c r="J7" s="73">
        <v>0.65597182946713306</v>
      </c>
      <c r="K7" s="73">
        <v>0.65503099227854578</v>
      </c>
      <c r="L7" s="73"/>
      <c r="M7" s="73">
        <v>0.68417739898711749</v>
      </c>
      <c r="N7" s="73">
        <v>0.73295096659773573</v>
      </c>
      <c r="O7" s="73"/>
      <c r="P7" s="73">
        <v>0.78137559787202193</v>
      </c>
      <c r="Q7" s="73">
        <v>0.71294256598294636</v>
      </c>
      <c r="R7" s="73">
        <v>0.6838197720766066</v>
      </c>
      <c r="S7" s="73">
        <v>0.67314841143825577</v>
      </c>
      <c r="T7" s="73"/>
    </row>
    <row r="8" spans="1:23" x14ac:dyDescent="0.25">
      <c r="A8" s="166" t="s">
        <v>128</v>
      </c>
      <c r="B8" s="71" t="s">
        <v>48</v>
      </c>
      <c r="C8" t="str">
        <f t="shared" si="0"/>
        <v>N.A.</v>
      </c>
      <c r="D8" s="2" t="s">
        <v>6</v>
      </c>
      <c r="G8" s="73">
        <v>0.5270438588019648</v>
      </c>
      <c r="H8" s="73">
        <v>0.46364079802937885</v>
      </c>
      <c r="I8" s="73">
        <v>0.61817155646575495</v>
      </c>
      <c r="J8" s="73">
        <v>0.65403539027450919</v>
      </c>
      <c r="K8" s="73">
        <v>0.65300889165040166</v>
      </c>
      <c r="L8" s="73"/>
      <c r="M8" s="73">
        <v>0.68417739889979223</v>
      </c>
      <c r="N8" s="73">
        <v>0.7259266203066973</v>
      </c>
      <c r="O8" s="73">
        <v>0.73016553044905463</v>
      </c>
      <c r="P8" s="73">
        <v>0.78137559792763511</v>
      </c>
      <c r="Q8" s="73">
        <v>0.71294256602521744</v>
      </c>
      <c r="R8" s="73">
        <v>0.68381977240266867</v>
      </c>
      <c r="S8" s="73">
        <v>0.65602333786113276</v>
      </c>
      <c r="T8" s="73"/>
    </row>
    <row r="9" spans="1:23" x14ac:dyDescent="0.25">
      <c r="A9" s="166" t="s">
        <v>132</v>
      </c>
      <c r="B9" s="71" t="s">
        <v>48</v>
      </c>
      <c r="C9" t="str">
        <f t="shared" si="0"/>
        <v>N.A.</v>
      </c>
      <c r="D9" s="2" t="s">
        <v>6</v>
      </c>
      <c r="G9" s="73">
        <v>0.52704385877126847</v>
      </c>
      <c r="H9" s="73">
        <v>0.52980922439436529</v>
      </c>
      <c r="I9" s="73">
        <v>0.61817155627866849</v>
      </c>
      <c r="J9" s="73">
        <v>0.65403539030765889</v>
      </c>
      <c r="K9" s="73">
        <v>0.68487264055179264</v>
      </c>
      <c r="L9" s="73">
        <v>0.71809133807644876</v>
      </c>
      <c r="M9" s="73">
        <v>0.68417739908977482</v>
      </c>
      <c r="N9" s="73">
        <v>0.72592662044277956</v>
      </c>
      <c r="O9" s="73">
        <v>0.73016553038445808</v>
      </c>
      <c r="P9" s="73">
        <v>0.78137559786281374</v>
      </c>
      <c r="Q9" s="73">
        <v>0.71294256605192141</v>
      </c>
      <c r="R9" s="73">
        <v>0.68381977229616697</v>
      </c>
      <c r="S9" s="73">
        <v>0.65602333797124845</v>
      </c>
      <c r="T9" s="73"/>
    </row>
    <row r="10" spans="1:23" x14ac:dyDescent="0.25">
      <c r="A10" s="166" t="s">
        <v>124</v>
      </c>
      <c r="B10" s="71" t="s">
        <v>48</v>
      </c>
      <c r="C10" s="72">
        <v>0.59</v>
      </c>
      <c r="D10" s="2" t="s">
        <v>6</v>
      </c>
      <c r="G10" s="73"/>
      <c r="H10" s="73"/>
      <c r="I10" s="73"/>
      <c r="J10" s="73"/>
      <c r="K10" s="73"/>
      <c r="L10" s="73"/>
      <c r="M10" s="73"/>
      <c r="N10" s="73"/>
      <c r="O10" s="73"/>
      <c r="P10" s="73"/>
      <c r="Q10" s="73"/>
      <c r="R10" s="73"/>
      <c r="S10" s="73"/>
      <c r="T10" s="73"/>
    </row>
    <row r="11" spans="1:23" x14ac:dyDescent="0.25">
      <c r="A11" s="166" t="s">
        <v>125</v>
      </c>
      <c r="B11" s="71" t="s">
        <v>48</v>
      </c>
      <c r="C11" s="72">
        <v>0.59</v>
      </c>
      <c r="D11" s="2" t="s">
        <v>6</v>
      </c>
      <c r="G11" s="73"/>
      <c r="H11" s="73"/>
      <c r="I11" s="73"/>
      <c r="J11" s="73"/>
      <c r="K11" s="73"/>
      <c r="L11" s="73"/>
      <c r="M11" s="73"/>
      <c r="N11" s="73"/>
      <c r="O11" s="73"/>
      <c r="P11" s="73"/>
      <c r="Q11" s="73"/>
      <c r="R11" s="73"/>
      <c r="S11" s="73"/>
      <c r="T11" s="73"/>
    </row>
    <row r="12" spans="1:23" x14ac:dyDescent="0.25">
      <c r="A12" s="166" t="s">
        <v>130</v>
      </c>
      <c r="B12" s="71" t="s">
        <v>48</v>
      </c>
      <c r="C12" t="str">
        <f t="shared" si="0"/>
        <v>N.A.</v>
      </c>
      <c r="D12" s="2" t="s">
        <v>6</v>
      </c>
      <c r="G12" s="73"/>
      <c r="H12" s="73"/>
      <c r="I12" s="73"/>
      <c r="J12" s="73"/>
      <c r="K12" s="73"/>
      <c r="L12" s="73"/>
      <c r="M12" s="73"/>
      <c r="N12" s="73"/>
      <c r="O12" s="73"/>
      <c r="P12" s="73"/>
      <c r="Q12" s="73"/>
      <c r="R12" s="73"/>
      <c r="S12" s="73"/>
      <c r="T12" s="73">
        <v>0.8</v>
      </c>
    </row>
    <row r="13" spans="1:23" x14ac:dyDescent="0.25">
      <c r="A13" s="166" t="s">
        <v>131</v>
      </c>
      <c r="B13" s="71" t="s">
        <v>48</v>
      </c>
      <c r="C13" t="str">
        <f t="shared" si="0"/>
        <v>N.A.</v>
      </c>
      <c r="D13" s="2" t="s">
        <v>6</v>
      </c>
      <c r="G13" s="73"/>
      <c r="H13" s="73"/>
      <c r="I13" s="73"/>
      <c r="J13" s="73"/>
      <c r="K13" s="73"/>
      <c r="L13" s="73"/>
      <c r="M13" s="73"/>
      <c r="N13" s="73"/>
      <c r="O13" s="73"/>
      <c r="P13" s="73"/>
      <c r="Q13" s="73"/>
      <c r="R13" s="73"/>
      <c r="S13" s="73"/>
      <c r="T13" s="73">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71" t="s">
        <v>48</v>
      </c>
      <c r="C16" t="str">
        <f t="shared" ref="C16:C27" si="1">IF(SUMPRODUCT(--(E16:W16&lt;&gt;""))=0,0,"N.A.")</f>
        <v>N.A.</v>
      </c>
      <c r="D16" s="2" t="s">
        <v>6</v>
      </c>
      <c r="G16" s="75">
        <v>0.82399999999999995</v>
      </c>
      <c r="H16" s="75"/>
      <c r="I16" s="75"/>
      <c r="J16" s="75"/>
      <c r="K16" s="75"/>
      <c r="L16" s="75"/>
      <c r="M16" s="75"/>
      <c r="N16" s="75"/>
      <c r="O16" s="75">
        <v>0.82399999999999995</v>
      </c>
      <c r="P16" s="75">
        <v>0.871</v>
      </c>
      <c r="Q16" s="75">
        <v>0.68300000000000005</v>
      </c>
      <c r="R16" s="75"/>
      <c r="S16" s="75">
        <v>0.90300000000000002</v>
      </c>
      <c r="T16" s="75">
        <v>0.9</v>
      </c>
    </row>
    <row r="17" spans="1:23" x14ac:dyDescent="0.25">
      <c r="A17" s="166" t="s">
        <v>113</v>
      </c>
      <c r="B17" s="71" t="s">
        <v>48</v>
      </c>
      <c r="C17" t="str">
        <f t="shared" si="1"/>
        <v>N.A.</v>
      </c>
      <c r="D17" s="2" t="s">
        <v>6</v>
      </c>
      <c r="G17" s="75">
        <v>0.82399999999999995</v>
      </c>
      <c r="H17" s="75"/>
      <c r="I17" s="75"/>
      <c r="J17" s="75"/>
      <c r="K17" s="75"/>
      <c r="L17" s="75"/>
      <c r="M17" s="75"/>
      <c r="N17" s="75"/>
      <c r="O17" s="75">
        <v>0.82399999999999995</v>
      </c>
      <c r="P17" s="75">
        <v>0.871</v>
      </c>
      <c r="Q17" s="75">
        <v>0.68300000000000005</v>
      </c>
      <c r="R17" s="75"/>
      <c r="S17" s="75">
        <v>0.90300000000000002</v>
      </c>
      <c r="T17" s="75">
        <v>0.9</v>
      </c>
    </row>
    <row r="18" spans="1:23" x14ac:dyDescent="0.25">
      <c r="A18" s="166" t="s">
        <v>115</v>
      </c>
      <c r="B18" s="71" t="s">
        <v>48</v>
      </c>
      <c r="C18" t="str">
        <f t="shared" si="1"/>
        <v>N.A.</v>
      </c>
      <c r="D18" s="2" t="s">
        <v>6</v>
      </c>
      <c r="G18" s="75">
        <v>0.82399999999999995</v>
      </c>
      <c r="H18" s="75"/>
      <c r="I18" s="75"/>
      <c r="J18" s="75"/>
      <c r="K18" s="75"/>
      <c r="L18" s="75"/>
      <c r="M18" s="75"/>
      <c r="N18" s="75"/>
      <c r="O18" s="75">
        <v>0.82399999999999995</v>
      </c>
      <c r="P18" s="75">
        <v>0.871</v>
      </c>
      <c r="Q18" s="75">
        <v>0.68300000000000005</v>
      </c>
      <c r="R18" s="75"/>
      <c r="S18" s="75">
        <v>0.90300000000000002</v>
      </c>
      <c r="T18" s="75">
        <v>0.9</v>
      </c>
    </row>
    <row r="19" spans="1:23" x14ac:dyDescent="0.25">
      <c r="A19" s="166" t="s">
        <v>117</v>
      </c>
      <c r="B19" s="71" t="s">
        <v>48</v>
      </c>
      <c r="C19" t="str">
        <f t="shared" si="1"/>
        <v>N.A.</v>
      </c>
      <c r="D19" s="2" t="s">
        <v>6</v>
      </c>
      <c r="G19" s="75">
        <v>0.82399999999999995</v>
      </c>
      <c r="H19" s="75"/>
      <c r="I19" s="75"/>
      <c r="J19" s="75"/>
      <c r="K19" s="75"/>
      <c r="L19" s="75"/>
      <c r="M19" s="75"/>
      <c r="N19" s="75"/>
      <c r="O19" s="75">
        <v>0.82399999999999995</v>
      </c>
      <c r="P19" s="75">
        <v>0.871</v>
      </c>
      <c r="Q19" s="75">
        <v>0.68300000000000005</v>
      </c>
      <c r="R19" s="75"/>
      <c r="S19" s="75">
        <v>0.90300000000000002</v>
      </c>
      <c r="T19" s="75">
        <v>0.9</v>
      </c>
    </row>
    <row r="20" spans="1:23" x14ac:dyDescent="0.25">
      <c r="A20" s="166" t="s">
        <v>119</v>
      </c>
      <c r="B20" s="71" t="s">
        <v>48</v>
      </c>
      <c r="C20" t="str">
        <f t="shared" si="1"/>
        <v>N.A.</v>
      </c>
      <c r="D20" s="2" t="s">
        <v>6</v>
      </c>
      <c r="G20" s="75">
        <v>0.82399999999999995</v>
      </c>
      <c r="H20" s="75"/>
      <c r="I20" s="75"/>
      <c r="J20" s="75"/>
      <c r="K20" s="75"/>
      <c r="L20" s="75"/>
      <c r="M20" s="75"/>
      <c r="N20" s="75"/>
      <c r="O20" s="75">
        <v>0.82399999999999995</v>
      </c>
      <c r="P20" s="75">
        <v>0.871</v>
      </c>
      <c r="Q20" s="75">
        <v>0.68300000000000005</v>
      </c>
      <c r="R20" s="75"/>
      <c r="S20" s="75">
        <v>0.90300000000000002</v>
      </c>
      <c r="T20" s="75">
        <v>0.9</v>
      </c>
    </row>
    <row r="21" spans="1:23" x14ac:dyDescent="0.25">
      <c r="A21" s="166" t="s">
        <v>121</v>
      </c>
      <c r="B21" s="71" t="s">
        <v>48</v>
      </c>
      <c r="C21" t="str">
        <f t="shared" si="1"/>
        <v>N.A.</v>
      </c>
      <c r="D21" s="2" t="s">
        <v>6</v>
      </c>
      <c r="G21" s="75">
        <v>0.82399999999999995</v>
      </c>
      <c r="H21" s="75"/>
      <c r="I21" s="75"/>
      <c r="J21" s="75"/>
      <c r="K21" s="75"/>
      <c r="L21" s="75"/>
      <c r="M21" s="75"/>
      <c r="N21" s="75"/>
      <c r="O21" s="75">
        <v>0.82399999999999995</v>
      </c>
      <c r="P21" s="75">
        <v>0.871</v>
      </c>
      <c r="Q21" s="75">
        <v>0.68300000000000005</v>
      </c>
      <c r="R21" s="75"/>
      <c r="S21" s="75">
        <v>0.90300000000000002</v>
      </c>
      <c r="T21" s="75">
        <v>0.9</v>
      </c>
    </row>
    <row r="22" spans="1:23" x14ac:dyDescent="0.25">
      <c r="A22" s="166" t="s">
        <v>128</v>
      </c>
      <c r="B22" s="71" t="s">
        <v>48</v>
      </c>
      <c r="C22" t="str">
        <f t="shared" si="1"/>
        <v>N.A.</v>
      </c>
      <c r="D22" s="2" t="s">
        <v>6</v>
      </c>
      <c r="G22" s="75">
        <v>0.82399999999999995</v>
      </c>
      <c r="H22" s="75"/>
      <c r="I22" s="75"/>
      <c r="J22" s="75"/>
      <c r="K22" s="75"/>
      <c r="L22" s="75"/>
      <c r="M22" s="75"/>
      <c r="N22" s="75"/>
      <c r="O22" s="75">
        <v>0.82399999999999995</v>
      </c>
      <c r="P22" s="75">
        <v>0.871</v>
      </c>
      <c r="Q22" s="75">
        <v>0.68300000000000005</v>
      </c>
      <c r="R22" s="75"/>
      <c r="S22" s="75">
        <v>0.90300000000000002</v>
      </c>
      <c r="T22" s="75">
        <v>0.9</v>
      </c>
    </row>
    <row r="23" spans="1:23" x14ac:dyDescent="0.25">
      <c r="A23" s="166" t="s">
        <v>132</v>
      </c>
      <c r="B23" s="71" t="s">
        <v>48</v>
      </c>
      <c r="C23" t="str">
        <f t="shared" si="1"/>
        <v>N.A.</v>
      </c>
      <c r="D23" s="2" t="s">
        <v>6</v>
      </c>
      <c r="G23" s="75">
        <v>0.82399999999999995</v>
      </c>
      <c r="H23" s="75"/>
      <c r="I23" s="75"/>
      <c r="J23" s="75"/>
      <c r="K23" s="75"/>
      <c r="L23" s="75"/>
      <c r="M23" s="75"/>
      <c r="N23" s="75"/>
      <c r="O23" s="75">
        <v>0.82399999999999995</v>
      </c>
      <c r="P23" s="75">
        <v>0.871</v>
      </c>
      <c r="Q23" s="75">
        <v>0.68300000000000005</v>
      </c>
      <c r="R23" s="75"/>
      <c r="S23" s="75">
        <v>0.90300000000000002</v>
      </c>
      <c r="T23" s="75">
        <v>0.9</v>
      </c>
    </row>
    <row r="24" spans="1:23" x14ac:dyDescent="0.25">
      <c r="A24" s="166" t="s">
        <v>124</v>
      </c>
      <c r="B24" s="71" t="s">
        <v>48</v>
      </c>
      <c r="C24" s="74">
        <v>0.59</v>
      </c>
      <c r="D24" s="2" t="s">
        <v>6</v>
      </c>
      <c r="G24" s="75"/>
      <c r="H24" s="75"/>
      <c r="I24" s="75"/>
      <c r="J24" s="75"/>
      <c r="K24" s="75"/>
      <c r="L24" s="75"/>
      <c r="M24" s="75"/>
      <c r="N24" s="75"/>
      <c r="O24" s="75"/>
      <c r="P24" s="75"/>
      <c r="Q24" s="75"/>
      <c r="R24" s="75"/>
      <c r="S24" s="75"/>
      <c r="T24" s="75"/>
    </row>
    <row r="25" spans="1:23" x14ac:dyDescent="0.25">
      <c r="A25" s="166" t="s">
        <v>125</v>
      </c>
      <c r="B25" s="71" t="s">
        <v>48</v>
      </c>
      <c r="C25" s="74">
        <v>0.59</v>
      </c>
      <c r="D25" s="2" t="s">
        <v>6</v>
      </c>
      <c r="G25" s="75"/>
      <c r="H25" s="75"/>
      <c r="I25" s="75"/>
      <c r="J25" s="75"/>
      <c r="K25" s="75"/>
      <c r="L25" s="75"/>
      <c r="M25" s="75"/>
      <c r="N25" s="75"/>
      <c r="O25" s="75"/>
      <c r="P25" s="75"/>
      <c r="Q25" s="75"/>
      <c r="R25" s="75"/>
      <c r="S25" s="75"/>
      <c r="T25" s="75"/>
    </row>
    <row r="26" spans="1:23" x14ac:dyDescent="0.25">
      <c r="A26" s="166" t="s">
        <v>130</v>
      </c>
      <c r="B26" s="71" t="s">
        <v>48</v>
      </c>
      <c r="C26" t="str">
        <f t="shared" si="1"/>
        <v>N.A.</v>
      </c>
      <c r="D26" s="2" t="s">
        <v>6</v>
      </c>
      <c r="G26" s="75"/>
      <c r="H26" s="75"/>
      <c r="I26" s="75"/>
      <c r="J26" s="75"/>
      <c r="K26" s="75"/>
      <c r="L26" s="75"/>
      <c r="M26" s="75"/>
      <c r="N26" s="75"/>
      <c r="O26" s="75"/>
      <c r="P26" s="75"/>
      <c r="Q26" s="75"/>
      <c r="R26" s="75"/>
      <c r="S26" s="75"/>
      <c r="T26" s="76">
        <v>0.93759999999999999</v>
      </c>
    </row>
    <row r="27" spans="1:23" x14ac:dyDescent="0.25">
      <c r="A27" s="166" t="s">
        <v>131</v>
      </c>
      <c r="B27" s="71" t="s">
        <v>48</v>
      </c>
      <c r="C27" t="str">
        <f t="shared" si="1"/>
        <v>N.A.</v>
      </c>
      <c r="D27" s="2" t="s">
        <v>6</v>
      </c>
      <c r="G27" s="75"/>
      <c r="H27" s="75"/>
      <c r="I27" s="75"/>
      <c r="J27" s="75"/>
      <c r="K27" s="75"/>
      <c r="L27" s="75"/>
      <c r="M27" s="75"/>
      <c r="N27" s="75"/>
      <c r="O27" s="75"/>
      <c r="P27" s="75"/>
      <c r="Q27" s="75"/>
      <c r="R27" s="75"/>
      <c r="S27" s="75"/>
      <c r="T27" s="75">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71" t="s">
        <v>48</v>
      </c>
      <c r="C30" t="str">
        <f t="shared" ref="C30:C37" si="2">IF(SUMPRODUCT(--(E30:W30&lt;&gt;""))=0,0,"N.A.")</f>
        <v>N.A.</v>
      </c>
      <c r="D30" s="2" t="s">
        <v>6</v>
      </c>
      <c r="H30" s="77">
        <v>0.12690191000323731</v>
      </c>
      <c r="I30" s="77">
        <v>0.1290866194809572</v>
      </c>
      <c r="J30" s="77"/>
      <c r="K30" s="77"/>
      <c r="L30" s="77">
        <v>0.11751930501930502</v>
      </c>
      <c r="M30" s="77"/>
      <c r="N30" s="77">
        <v>8.7855297157622733E-2</v>
      </c>
      <c r="O30" s="77">
        <v>8.0291970802919707E-2</v>
      </c>
      <c r="P30" s="77">
        <v>4.9977688531905401E-2</v>
      </c>
      <c r="Q30" s="77">
        <v>5.0980392156862744E-2</v>
      </c>
      <c r="R30" s="77">
        <v>5.4147772739397172E-2</v>
      </c>
      <c r="S30" s="77">
        <v>5.0324675324675328E-2</v>
      </c>
      <c r="T30" s="77">
        <v>4.1752224503764541E-2</v>
      </c>
    </row>
    <row r="31" spans="1:23" x14ac:dyDescent="0.25">
      <c r="A31" s="166" t="s">
        <v>113</v>
      </c>
      <c r="B31" s="71" t="s">
        <v>48</v>
      </c>
      <c r="C31" t="str">
        <f t="shared" si="2"/>
        <v>N.A.</v>
      </c>
      <c r="D31" s="2" t="s">
        <v>6</v>
      </c>
      <c r="H31" s="77">
        <v>0.1133879781420765</v>
      </c>
      <c r="I31" s="77">
        <v>0.11237298266586969</v>
      </c>
      <c r="J31" s="77"/>
      <c r="K31" s="77"/>
      <c r="L31" s="77">
        <v>8.8495575221238937E-2</v>
      </c>
      <c r="M31" s="77"/>
      <c r="N31" s="77">
        <v>8.75405280222325E-2</v>
      </c>
      <c r="O31" s="77"/>
      <c r="P31" s="77">
        <v>4.1591320072332731E-2</v>
      </c>
      <c r="Q31" s="77">
        <v>3.834355828220859E-2</v>
      </c>
      <c r="R31" s="77">
        <v>4.4099378881987575E-2</v>
      </c>
      <c r="S31" s="77">
        <v>3.9321511179645337E-2</v>
      </c>
      <c r="T31" s="77">
        <v>3.5859820700896494E-2</v>
      </c>
    </row>
    <row r="32" spans="1:23" x14ac:dyDescent="0.25">
      <c r="A32" s="166" t="s">
        <v>115</v>
      </c>
      <c r="B32" s="71" t="s">
        <v>48</v>
      </c>
      <c r="C32" t="str">
        <f t="shared" si="2"/>
        <v>N.A.</v>
      </c>
      <c r="D32" s="2" t="s">
        <v>6</v>
      </c>
      <c r="H32" s="77">
        <v>0.15780842091170763</v>
      </c>
      <c r="I32" s="77">
        <v>0.13122721749696234</v>
      </c>
      <c r="J32" s="77"/>
      <c r="K32" s="77"/>
      <c r="L32" s="77">
        <v>0.12801951420260921</v>
      </c>
      <c r="M32" s="77"/>
      <c r="N32" s="77">
        <v>0.11693734518564772</v>
      </c>
      <c r="O32" s="77"/>
      <c r="P32" s="77"/>
      <c r="Q32" s="77">
        <v>8.7488316109183964E-2</v>
      </c>
      <c r="R32" s="77">
        <v>7.6886747284385951E-2</v>
      </c>
      <c r="S32" s="77">
        <v>6.9641955504940248E-2</v>
      </c>
      <c r="T32" s="77">
        <v>6.9810943466733361E-2</v>
      </c>
    </row>
    <row r="33" spans="1:23" x14ac:dyDescent="0.25">
      <c r="A33" s="166" t="s">
        <v>117</v>
      </c>
      <c r="B33" s="71" t="s">
        <v>48</v>
      </c>
      <c r="C33" t="str">
        <f t="shared" si="2"/>
        <v>N.A.</v>
      </c>
      <c r="D33" s="2" t="s">
        <v>6</v>
      </c>
      <c r="H33" s="77">
        <v>0.1333333333333333</v>
      </c>
      <c r="I33" s="77">
        <v>0.10920770877944322</v>
      </c>
      <c r="J33" s="77"/>
      <c r="K33" s="77">
        <v>0.10461538461538462</v>
      </c>
      <c r="L33" s="77">
        <v>0.10574765626588756</v>
      </c>
      <c r="M33" s="77"/>
      <c r="N33" s="77">
        <v>0.10023373932599088</v>
      </c>
      <c r="O33" s="77"/>
      <c r="P33" s="77">
        <v>7.9566258273482598E-2</v>
      </c>
      <c r="Q33" s="77">
        <v>6.3890405467977918E-2</v>
      </c>
      <c r="R33" s="77">
        <v>7.7663265401036199E-2</v>
      </c>
      <c r="S33" s="77">
        <v>6.7228847400140485E-2</v>
      </c>
      <c r="T33" s="77">
        <v>4.3518375341477247E-2</v>
      </c>
    </row>
    <row r="34" spans="1:23" x14ac:dyDescent="0.25">
      <c r="A34" s="166" t="s">
        <v>119</v>
      </c>
      <c r="B34" s="71" t="s">
        <v>48</v>
      </c>
      <c r="C34" t="str">
        <f t="shared" si="2"/>
        <v>N.A.</v>
      </c>
      <c r="D34" s="2" t="s">
        <v>6</v>
      </c>
      <c r="H34" s="77">
        <v>0.15783623078369768</v>
      </c>
      <c r="I34" s="77">
        <v>0.13125925929346685</v>
      </c>
      <c r="J34" s="77">
        <v>0.11387649433581779</v>
      </c>
      <c r="K34" s="77">
        <v>0.11538287201108939</v>
      </c>
      <c r="L34" s="77">
        <v>0.12754313300908782</v>
      </c>
      <c r="M34" s="77">
        <v>0.10388573183873054</v>
      </c>
      <c r="N34" s="77">
        <v>0.11895971196237486</v>
      </c>
      <c r="O34" s="77">
        <v>0.12344685515806607</v>
      </c>
      <c r="P34" s="77">
        <v>0.10868301378108965</v>
      </c>
      <c r="Q34" s="77">
        <v>9.560733710659218E-2</v>
      </c>
      <c r="R34" s="77">
        <v>8.213988447690064E-2</v>
      </c>
      <c r="S34" s="77">
        <v>7.1167404435899306E-2</v>
      </c>
      <c r="T34" s="77">
        <v>6.8420760896606897E-2</v>
      </c>
    </row>
    <row r="35" spans="1:23" x14ac:dyDescent="0.25">
      <c r="A35" s="166" t="s">
        <v>121</v>
      </c>
      <c r="B35" s="71" t="s">
        <v>48</v>
      </c>
      <c r="C35" t="str">
        <f t="shared" si="2"/>
        <v>N.A.</v>
      </c>
      <c r="D35" s="2" t="s">
        <v>6</v>
      </c>
      <c r="H35" s="77">
        <v>0.13333333333333333</v>
      </c>
      <c r="I35" s="77">
        <v>0.10920770877944325</v>
      </c>
      <c r="J35" s="77">
        <v>8.2812499999999997E-2</v>
      </c>
      <c r="K35" s="77">
        <v>0.10461538461538464</v>
      </c>
      <c r="L35" s="77">
        <v>0.10877457573095552</v>
      </c>
      <c r="M35" s="77">
        <v>5.8973365187897579E-2</v>
      </c>
      <c r="N35" s="77">
        <v>0.11554136323801989</v>
      </c>
      <c r="O35" s="77">
        <v>9.1344647246847113E-2</v>
      </c>
      <c r="P35" s="77">
        <v>7.3647333952645708E-2</v>
      </c>
      <c r="Q35" s="77">
        <v>7.6155286776611444E-2</v>
      </c>
      <c r="R35" s="77">
        <v>5.856099540167703E-2</v>
      </c>
      <c r="S35" s="77">
        <v>6.5839305482724458E-2</v>
      </c>
      <c r="T35" s="77">
        <v>4.8122548616253875E-2</v>
      </c>
    </row>
    <row r="36" spans="1:23" x14ac:dyDescent="0.25">
      <c r="A36" s="166" t="s">
        <v>128</v>
      </c>
      <c r="B36" s="71" t="s">
        <v>48</v>
      </c>
      <c r="C36" t="str">
        <f t="shared" si="2"/>
        <v>N.A.</v>
      </c>
      <c r="D36" s="2" t="s">
        <v>6</v>
      </c>
      <c r="H36" s="77">
        <v>0.38012958963282939</v>
      </c>
      <c r="I36" s="77">
        <v>0.34711964549483015</v>
      </c>
      <c r="J36" s="77"/>
      <c r="K36" s="77"/>
      <c r="L36" s="77">
        <v>0.10393258426966293</v>
      </c>
      <c r="M36" s="77"/>
      <c r="N36" s="77"/>
      <c r="O36" s="77"/>
      <c r="P36" s="77">
        <v>4.0316346554082186E-2</v>
      </c>
      <c r="Q36" s="77">
        <v>4.98776268039497E-2</v>
      </c>
      <c r="R36" s="77"/>
      <c r="S36" s="77">
        <v>4.8024732147071314E-2</v>
      </c>
      <c r="T36" s="77">
        <v>3.4267026873311526E-2</v>
      </c>
    </row>
    <row r="37" spans="1:23" x14ac:dyDescent="0.25">
      <c r="A37" s="166" t="s">
        <v>132</v>
      </c>
      <c r="B37" s="71" t="s">
        <v>48</v>
      </c>
      <c r="C37" t="str">
        <f t="shared" si="2"/>
        <v>N.A.</v>
      </c>
      <c r="D37" s="2" t="s">
        <v>6</v>
      </c>
      <c r="H37" s="77">
        <v>0.38012958963282939</v>
      </c>
      <c r="I37" s="77">
        <v>0.3471196454948301</v>
      </c>
      <c r="J37" s="77"/>
      <c r="K37" s="77"/>
      <c r="L37" s="77"/>
      <c r="M37" s="77">
        <v>0.17735495168108789</v>
      </c>
      <c r="N37" s="77">
        <v>0.11118230299264784</v>
      </c>
      <c r="O37" s="77">
        <v>0.1021170703273874</v>
      </c>
      <c r="P37" s="77"/>
      <c r="Q37" s="77"/>
      <c r="R37" s="77"/>
      <c r="S37" s="77">
        <v>9.3275464708036271E-2</v>
      </c>
      <c r="T37" s="77">
        <v>4.5643939393939396E-2</v>
      </c>
    </row>
    <row r="38" spans="1:23" x14ac:dyDescent="0.25">
      <c r="A38" s="166" t="s">
        <v>124</v>
      </c>
      <c r="B38" s="71" t="s">
        <v>48</v>
      </c>
      <c r="C38" s="78">
        <v>0.05</v>
      </c>
      <c r="D38" s="2" t="s">
        <v>6</v>
      </c>
    </row>
    <row r="39" spans="1:23" x14ac:dyDescent="0.25">
      <c r="A39" s="166" t="s">
        <v>125</v>
      </c>
      <c r="B39" s="71" t="s">
        <v>48</v>
      </c>
      <c r="C39" s="78">
        <v>0.05</v>
      </c>
      <c r="D39" s="2" t="s">
        <v>6</v>
      </c>
    </row>
    <row r="40" spans="1:23" x14ac:dyDescent="0.25">
      <c r="A40" s="166" t="s">
        <v>130</v>
      </c>
      <c r="B40" s="71" t="s">
        <v>48</v>
      </c>
      <c r="C40" s="78">
        <v>0.05</v>
      </c>
      <c r="D40" s="2" t="s">
        <v>6</v>
      </c>
    </row>
    <row r="41" spans="1:23" x14ac:dyDescent="0.25">
      <c r="A41" s="166" t="s">
        <v>131</v>
      </c>
      <c r="B41" s="71" t="s">
        <v>48</v>
      </c>
      <c r="C41" s="78">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71" t="s">
        <v>48</v>
      </c>
      <c r="C44" t="str">
        <f t="shared" ref="C44:C51" si="3">IF(SUMPRODUCT(--(E44:W44&lt;&gt;""))=0,0,"N.A.")</f>
        <v>N.A.</v>
      </c>
      <c r="D44" s="2" t="s">
        <v>6</v>
      </c>
      <c r="H44" s="79">
        <v>0.83004208481709296</v>
      </c>
      <c r="I44" s="79">
        <v>0.82002022244691608</v>
      </c>
      <c r="J44" s="79">
        <v>0.88652482269503541</v>
      </c>
      <c r="K44" s="79">
        <v>0.87963843958135113</v>
      </c>
      <c r="L44" s="79">
        <v>0.84242277992277992</v>
      </c>
      <c r="M44" s="79">
        <v>0.89597086273617121</v>
      </c>
      <c r="N44" s="79">
        <v>0.88771435283063194</v>
      </c>
      <c r="O44" s="79">
        <v>0.90208910143468413</v>
      </c>
      <c r="P44" s="79">
        <v>0.93596608656849622</v>
      </c>
      <c r="Q44" s="79">
        <v>0.93568627450980391</v>
      </c>
      <c r="R44" s="79">
        <v>0.93331555081355033</v>
      </c>
      <c r="S44" s="79">
        <v>0.93733766233766236</v>
      </c>
      <c r="T44" s="79">
        <v>0.94558521560574949</v>
      </c>
    </row>
    <row r="45" spans="1:23" x14ac:dyDescent="0.25">
      <c r="A45" s="166" t="s">
        <v>113</v>
      </c>
      <c r="B45" s="71" t="s">
        <v>48</v>
      </c>
      <c r="C45" t="str">
        <f t="shared" si="3"/>
        <v>N.A.</v>
      </c>
      <c r="D45" s="2" t="s">
        <v>6</v>
      </c>
      <c r="H45" s="79">
        <v>0.85314207650273222</v>
      </c>
      <c r="I45" s="79">
        <v>0.83263598326359833</v>
      </c>
      <c r="J45" s="79">
        <v>0.89219330855018586</v>
      </c>
      <c r="K45" s="79">
        <v>0.873269435569755</v>
      </c>
      <c r="L45" s="79">
        <v>0.87610619469026552</v>
      </c>
      <c r="M45" s="79">
        <v>0.90651307044749663</v>
      </c>
      <c r="N45" s="79">
        <v>0.88559518295507178</v>
      </c>
      <c r="O45" s="79">
        <v>0.89358528095474887</v>
      </c>
      <c r="P45" s="79">
        <v>0.93761301989150092</v>
      </c>
      <c r="Q45" s="79">
        <v>0.94734151329243355</v>
      </c>
      <c r="R45" s="79">
        <v>0.94099378881987583</v>
      </c>
      <c r="S45" s="79">
        <v>0.93754818812644569</v>
      </c>
      <c r="T45" s="79">
        <v>0.93887530562347188</v>
      </c>
    </row>
    <row r="46" spans="1:23" x14ac:dyDescent="0.25">
      <c r="A46" s="166" t="s">
        <v>115</v>
      </c>
      <c r="B46" s="71" t="s">
        <v>48</v>
      </c>
      <c r="C46" t="str">
        <f t="shared" si="3"/>
        <v>N.A.</v>
      </c>
      <c r="D46" s="2" t="s">
        <v>6</v>
      </c>
      <c r="H46" s="79">
        <v>0.72421179463150154</v>
      </c>
      <c r="I46" s="79">
        <v>0.74295261239368171</v>
      </c>
      <c r="J46" s="79">
        <v>0.75441127224955573</v>
      </c>
      <c r="K46" s="79">
        <v>0.76850747270232711</v>
      </c>
      <c r="L46" s="79">
        <v>0.76313932399588613</v>
      </c>
      <c r="M46" s="79">
        <v>0.81120008641523145</v>
      </c>
      <c r="N46" s="79">
        <v>0.81736360284413834</v>
      </c>
      <c r="O46" s="79">
        <v>0.82369956980646253</v>
      </c>
      <c r="P46" s="79">
        <v>0.83941445019082661</v>
      </c>
      <c r="Q46" s="79">
        <v>0.87059440009749156</v>
      </c>
      <c r="R46" s="79">
        <v>0.88368562949790774</v>
      </c>
      <c r="S46" s="79">
        <v>0.89042121466047164</v>
      </c>
      <c r="T46" s="79">
        <v>0.89233197402238951</v>
      </c>
    </row>
    <row r="47" spans="1:23" x14ac:dyDescent="0.25">
      <c r="A47" s="166" t="s">
        <v>117</v>
      </c>
      <c r="B47" s="71" t="s">
        <v>48</v>
      </c>
      <c r="C47" t="str">
        <f t="shared" si="3"/>
        <v>N.A.</v>
      </c>
      <c r="D47" s="2" t="s">
        <v>6</v>
      </c>
      <c r="H47" s="79">
        <v>0.62666666666666659</v>
      </c>
      <c r="I47" s="79">
        <v>0.65952890792291208</v>
      </c>
      <c r="J47" s="79">
        <v>0.69531250000000011</v>
      </c>
      <c r="K47" s="79">
        <v>0.66</v>
      </c>
      <c r="L47" s="79">
        <v>0.67997098718148585</v>
      </c>
      <c r="M47" s="79">
        <v>0.73061564869581486</v>
      </c>
      <c r="N47" s="79">
        <v>0.69669415894621212</v>
      </c>
      <c r="O47" s="79">
        <v>0.72554870627036794</v>
      </c>
      <c r="P47" s="79">
        <v>0.73314310383437098</v>
      </c>
      <c r="Q47" s="79">
        <v>0.76062737997332364</v>
      </c>
      <c r="R47" s="79">
        <v>0.73594458758491521</v>
      </c>
      <c r="S47" s="79">
        <v>0.7235599778025279</v>
      </c>
      <c r="T47" s="79">
        <v>0.78871192206587293</v>
      </c>
    </row>
    <row r="48" spans="1:23" x14ac:dyDescent="0.25">
      <c r="A48" s="166" t="s">
        <v>119</v>
      </c>
      <c r="B48" s="71" t="s">
        <v>48</v>
      </c>
      <c r="C48" t="str">
        <f t="shared" si="3"/>
        <v>N.A.</v>
      </c>
      <c r="D48" s="2" t="s">
        <v>6</v>
      </c>
      <c r="H48" s="79">
        <v>0.72419357296361586</v>
      </c>
      <c r="I48" s="79">
        <v>0.74292521105595766</v>
      </c>
      <c r="J48" s="79">
        <v>0.75440303995861979</v>
      </c>
      <c r="K48" s="79">
        <v>0.76836350816045251</v>
      </c>
      <c r="L48" s="79">
        <v>0.75982423581627967</v>
      </c>
      <c r="M48" s="79">
        <v>0.78878984775300964</v>
      </c>
      <c r="N48" s="79">
        <v>0.78917336691740736</v>
      </c>
      <c r="O48" s="79">
        <v>0.79504524336435856</v>
      </c>
      <c r="P48" s="79">
        <v>0.80837059964261437</v>
      </c>
      <c r="Q48" s="79">
        <v>0.82161975483086058</v>
      </c>
      <c r="R48" s="79">
        <v>0.84111640809153621</v>
      </c>
      <c r="S48" s="79">
        <v>0.85684661068530654</v>
      </c>
      <c r="T48" s="79">
        <v>0.85642224443745063</v>
      </c>
    </row>
    <row r="49" spans="1:23" x14ac:dyDescent="0.25">
      <c r="A49" s="166" t="s">
        <v>121</v>
      </c>
      <c r="B49" s="71" t="s">
        <v>48</v>
      </c>
      <c r="C49" t="str">
        <f t="shared" si="3"/>
        <v>N.A.</v>
      </c>
      <c r="D49" s="2" t="s">
        <v>6</v>
      </c>
      <c r="H49" s="79">
        <v>0.62666666666666671</v>
      </c>
      <c r="I49" s="79">
        <v>0.65952890792291208</v>
      </c>
      <c r="J49" s="79">
        <v>0.6953125</v>
      </c>
      <c r="K49" s="79">
        <v>0.66000000000000014</v>
      </c>
      <c r="L49" s="79">
        <v>0.66054848548454392</v>
      </c>
      <c r="M49" s="79">
        <v>0.70566344071715192</v>
      </c>
      <c r="N49" s="79">
        <v>0.69205385325298785</v>
      </c>
      <c r="O49" s="79">
        <v>0.74366116755687717</v>
      </c>
      <c r="P49" s="79">
        <v>0.74516682149476132</v>
      </c>
      <c r="Q49" s="79">
        <v>0.69956836600533523</v>
      </c>
      <c r="R49" s="79">
        <v>0.71486299292628741</v>
      </c>
      <c r="S49" s="79">
        <v>0.6988538467300921</v>
      </c>
      <c r="T49" s="79">
        <v>0.70846704517403114</v>
      </c>
    </row>
    <row r="50" spans="1:23" x14ac:dyDescent="0.25">
      <c r="A50" s="166" t="s">
        <v>128</v>
      </c>
      <c r="B50" s="71" t="s">
        <v>48</v>
      </c>
      <c r="C50" t="str">
        <f t="shared" si="3"/>
        <v>N.A.</v>
      </c>
      <c r="D50" s="2" t="s">
        <v>6</v>
      </c>
      <c r="H50" s="79">
        <v>0.54211663066954641</v>
      </c>
      <c r="I50" s="79">
        <v>0.55391432791728212</v>
      </c>
      <c r="J50" s="79"/>
      <c r="K50" s="79"/>
      <c r="L50" s="79"/>
      <c r="M50" s="79">
        <v>0.71724951656779534</v>
      </c>
      <c r="N50" s="79"/>
      <c r="O50" s="79">
        <v>0.87209982452719825</v>
      </c>
      <c r="P50" s="79">
        <v>0.93607658916572534</v>
      </c>
      <c r="Q50" s="79">
        <v>0.92117478268208308</v>
      </c>
      <c r="R50" s="79"/>
      <c r="S50" s="79">
        <v>0.95197526785292863</v>
      </c>
      <c r="T50" s="79">
        <v>0.95205933930518016</v>
      </c>
    </row>
    <row r="51" spans="1:23" x14ac:dyDescent="0.25">
      <c r="A51" s="166" t="s">
        <v>132</v>
      </c>
      <c r="B51" s="71" t="s">
        <v>48</v>
      </c>
      <c r="C51" t="str">
        <f t="shared" si="3"/>
        <v>N.A.</v>
      </c>
      <c r="D51" s="2" t="s">
        <v>6</v>
      </c>
      <c r="H51" s="79">
        <v>0.54211663066954652</v>
      </c>
      <c r="I51" s="79">
        <v>0.55391432791728201</v>
      </c>
      <c r="J51" s="79"/>
      <c r="K51" s="79"/>
      <c r="L51" s="79"/>
      <c r="M51" s="79">
        <v>0.71572068078746287</v>
      </c>
      <c r="N51" s="79">
        <v>0.79472144558351454</v>
      </c>
      <c r="O51" s="79">
        <v>0.82275047266042423</v>
      </c>
      <c r="P51" s="79">
        <v>0.84013077386714397</v>
      </c>
      <c r="Q51" s="79">
        <v>0.85820257562805047</v>
      </c>
      <c r="R51" s="79"/>
      <c r="S51" s="79">
        <v>0.85324272513838928</v>
      </c>
      <c r="T51" s="79">
        <v>0.9064078282828284</v>
      </c>
    </row>
    <row r="52" spans="1:23" x14ac:dyDescent="0.25">
      <c r="A52" s="166" t="s">
        <v>124</v>
      </c>
      <c r="B52" s="71" t="s">
        <v>48</v>
      </c>
      <c r="C52" s="80">
        <v>0.83</v>
      </c>
      <c r="D52" s="2" t="s">
        <v>6</v>
      </c>
    </row>
    <row r="53" spans="1:23" x14ac:dyDescent="0.25">
      <c r="A53" s="166" t="s">
        <v>125</v>
      </c>
      <c r="B53" s="71" t="s">
        <v>48</v>
      </c>
      <c r="C53" s="80">
        <v>0.83</v>
      </c>
      <c r="D53" s="2" t="s">
        <v>6</v>
      </c>
    </row>
    <row r="54" spans="1:23" x14ac:dyDescent="0.25">
      <c r="A54" s="166" t="s">
        <v>130</v>
      </c>
      <c r="B54" s="71" t="s">
        <v>48</v>
      </c>
      <c r="C54" s="80">
        <v>0.83</v>
      </c>
      <c r="D54" s="2" t="s">
        <v>6</v>
      </c>
    </row>
    <row r="55" spans="1:23" x14ac:dyDescent="0.25">
      <c r="A55" s="166" t="s">
        <v>131</v>
      </c>
      <c r="B55" s="71" t="s">
        <v>48</v>
      </c>
      <c r="C55" s="80">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71" t="s">
        <v>48</v>
      </c>
      <c r="C58" t="str">
        <f t="shared" ref="C58:C69" si="4">IF(SUMPRODUCT(--(E58:W58&lt;&gt;""))=0,0,"N.A.")</f>
        <v>N.A.</v>
      </c>
      <c r="D58" s="2" t="s">
        <v>6</v>
      </c>
      <c r="E58" s="82">
        <v>0.54900000000000004</v>
      </c>
      <c r="F58" s="81"/>
      <c r="G58" s="81"/>
      <c r="H58" s="81"/>
      <c r="I58" s="81"/>
      <c r="J58" s="81"/>
      <c r="K58" s="81"/>
      <c r="L58" s="81"/>
      <c r="M58" s="81">
        <v>0.68417739916270781</v>
      </c>
      <c r="N58" s="81"/>
      <c r="O58" s="81">
        <v>0.73016553029983899</v>
      </c>
      <c r="P58" s="81">
        <v>0.78137559788628941</v>
      </c>
      <c r="Q58" s="81">
        <v>0.71294256599845918</v>
      </c>
      <c r="R58" s="81"/>
      <c r="S58" s="81">
        <v>0.65602333784067923</v>
      </c>
      <c r="T58" s="81"/>
    </row>
    <row r="59" spans="1:23" x14ac:dyDescent="0.25">
      <c r="A59" s="166" t="s">
        <v>113</v>
      </c>
      <c r="B59" s="71" t="s">
        <v>48</v>
      </c>
      <c r="C59" t="str">
        <f t="shared" si="4"/>
        <v>N.A.</v>
      </c>
      <c r="D59" s="2" t="s">
        <v>6</v>
      </c>
      <c r="E59" s="82">
        <v>0.627</v>
      </c>
      <c r="F59" s="81"/>
      <c r="G59" s="81"/>
      <c r="H59" s="81"/>
      <c r="I59" s="81"/>
      <c r="J59" s="81"/>
      <c r="K59" s="81"/>
      <c r="L59" s="81">
        <v>0.62653996496501718</v>
      </c>
      <c r="M59" s="81">
        <v>0.68417739889461482</v>
      </c>
      <c r="N59" s="81">
        <v>0.72592662034733069</v>
      </c>
      <c r="O59" s="81">
        <v>0.73016553032383003</v>
      </c>
      <c r="P59" s="81">
        <v>0.78137559788628952</v>
      </c>
      <c r="Q59" s="81">
        <v>0.71294256614550144</v>
      </c>
      <c r="R59" s="81">
        <v>0.68381977226304091</v>
      </c>
      <c r="S59" s="81">
        <v>0.65651957350207557</v>
      </c>
      <c r="T59" s="81"/>
    </row>
    <row r="60" spans="1:23" x14ac:dyDescent="0.25">
      <c r="A60" s="166" t="s">
        <v>115</v>
      </c>
      <c r="B60" s="71" t="s">
        <v>48</v>
      </c>
      <c r="C60" t="str">
        <f t="shared" si="4"/>
        <v>N.A.</v>
      </c>
      <c r="D60" s="2" t="s">
        <v>6</v>
      </c>
      <c r="E60" s="82">
        <v>0.627</v>
      </c>
      <c r="F60" s="81"/>
      <c r="G60" s="81"/>
      <c r="H60" s="81"/>
      <c r="I60" s="81"/>
      <c r="J60" s="81"/>
      <c r="K60" s="81"/>
      <c r="L60" s="81">
        <v>0.62653996494768227</v>
      </c>
      <c r="M60" s="81">
        <v>0.67642863579586343</v>
      </c>
      <c r="N60" s="81">
        <v>0.72592662042842393</v>
      </c>
      <c r="O60" s="81"/>
      <c r="P60" s="81">
        <v>0.78137559766926901</v>
      </c>
      <c r="Q60" s="81">
        <v>0.71294256616434137</v>
      </c>
      <c r="R60" s="81">
        <v>0.68381977230199043</v>
      </c>
      <c r="S60" s="81">
        <v>0.65602333777983546</v>
      </c>
      <c r="T60" s="81"/>
    </row>
    <row r="61" spans="1:23" x14ac:dyDescent="0.25">
      <c r="A61" s="166" t="s">
        <v>117</v>
      </c>
      <c r="B61" s="71" t="s">
        <v>48</v>
      </c>
      <c r="C61" t="str">
        <f t="shared" si="4"/>
        <v>N.A.</v>
      </c>
      <c r="D61" s="2" t="s">
        <v>6</v>
      </c>
      <c r="E61" s="82">
        <v>0.68400000000000005</v>
      </c>
      <c r="F61" s="81"/>
      <c r="G61" s="81"/>
      <c r="H61" s="81"/>
      <c r="I61" s="81"/>
      <c r="J61" s="81"/>
      <c r="K61" s="81"/>
      <c r="L61" s="81"/>
      <c r="M61" s="81">
        <v>0.68417739900210539</v>
      </c>
      <c r="N61" s="81">
        <v>0.72592662041508416</v>
      </c>
      <c r="O61" s="81"/>
      <c r="P61" s="81">
        <v>0.78137559820028568</v>
      </c>
      <c r="Q61" s="81">
        <v>0.71294256550856849</v>
      </c>
      <c r="R61" s="81">
        <v>0.68381977214411982</v>
      </c>
      <c r="S61" s="81">
        <v>0.65602333766361409</v>
      </c>
      <c r="T61" s="81"/>
    </row>
    <row r="62" spans="1:23" x14ac:dyDescent="0.25">
      <c r="A62" s="166" t="s">
        <v>119</v>
      </c>
      <c r="B62" s="71" t="s">
        <v>48</v>
      </c>
      <c r="C62" t="str">
        <f t="shared" si="4"/>
        <v>N.A.</v>
      </c>
      <c r="D62" s="2" t="s">
        <v>6</v>
      </c>
      <c r="E62" s="82">
        <v>4.0000000000000001E-3</v>
      </c>
      <c r="F62" s="81"/>
      <c r="G62" s="81"/>
      <c r="H62" s="81"/>
      <c r="I62" s="81"/>
      <c r="J62" s="81"/>
      <c r="K62" s="81"/>
      <c r="L62" s="81"/>
      <c r="M62" s="81"/>
      <c r="N62" s="81">
        <v>0.7266051819731294</v>
      </c>
      <c r="O62" s="81"/>
      <c r="P62" s="81">
        <v>0.78193517970597248</v>
      </c>
      <c r="Q62" s="81">
        <v>0.71340975749681868</v>
      </c>
      <c r="R62" s="81">
        <v>0.68404139574834943</v>
      </c>
      <c r="S62" s="81">
        <v>0.65661033689651993</v>
      </c>
      <c r="T62" s="81"/>
    </row>
    <row r="63" spans="1:23" x14ac:dyDescent="0.25">
      <c r="A63" s="166" t="s">
        <v>121</v>
      </c>
      <c r="B63" s="71" t="s">
        <v>48</v>
      </c>
      <c r="C63" t="str">
        <f t="shared" si="4"/>
        <v>N.A.</v>
      </c>
      <c r="D63" s="2" t="s">
        <v>6</v>
      </c>
      <c r="E63" s="82">
        <v>0.68400000000000005</v>
      </c>
      <c r="F63" s="81"/>
      <c r="G63" s="81"/>
      <c r="H63" s="81"/>
      <c r="I63" s="81"/>
      <c r="J63" s="81"/>
      <c r="K63" s="81"/>
      <c r="L63" s="81"/>
      <c r="M63" s="81">
        <v>0.68417739886238338</v>
      </c>
      <c r="N63" s="81"/>
      <c r="O63" s="81"/>
      <c r="P63" s="81">
        <v>0.78137559770002041</v>
      </c>
      <c r="Q63" s="81">
        <v>0.71294256588409466</v>
      </c>
      <c r="R63" s="81">
        <v>0.68381977222141721</v>
      </c>
      <c r="S63" s="81"/>
      <c r="T63" s="81"/>
    </row>
    <row r="64" spans="1:23" x14ac:dyDescent="0.25">
      <c r="A64" s="166" t="s">
        <v>128</v>
      </c>
      <c r="B64" s="71" t="s">
        <v>48</v>
      </c>
      <c r="C64" s="83">
        <v>0.59</v>
      </c>
      <c r="D64" s="2" t="s">
        <v>6</v>
      </c>
      <c r="E64" s="82"/>
      <c r="F64" s="81"/>
      <c r="G64" s="81"/>
      <c r="H64" s="81"/>
      <c r="I64" s="81"/>
      <c r="J64" s="81"/>
      <c r="K64" s="81"/>
      <c r="L64" s="81"/>
      <c r="M64" s="81"/>
      <c r="N64" s="81"/>
      <c r="O64" s="81"/>
      <c r="P64" s="81"/>
      <c r="Q64" s="81"/>
      <c r="R64" s="81"/>
      <c r="S64" s="81"/>
      <c r="T64" s="81"/>
    </row>
    <row r="65" spans="1:23" x14ac:dyDescent="0.25">
      <c r="A65" s="166" t="s">
        <v>132</v>
      </c>
      <c r="B65" s="71" t="s">
        <v>48</v>
      </c>
      <c r="C65" s="83">
        <v>0.59</v>
      </c>
      <c r="D65" s="2" t="s">
        <v>6</v>
      </c>
      <c r="E65" s="82"/>
      <c r="F65" s="81"/>
      <c r="G65" s="81"/>
      <c r="H65" s="81"/>
      <c r="I65" s="81"/>
      <c r="J65" s="81"/>
      <c r="K65" s="81"/>
      <c r="L65" s="81"/>
      <c r="M65" s="81"/>
      <c r="N65" s="81"/>
      <c r="O65" s="81"/>
      <c r="P65" s="81"/>
      <c r="Q65" s="81"/>
      <c r="R65" s="81"/>
      <c r="S65" s="81"/>
      <c r="T65" s="81"/>
    </row>
    <row r="66" spans="1:23" x14ac:dyDescent="0.25">
      <c r="A66" s="166" t="s">
        <v>124</v>
      </c>
      <c r="B66" s="71" t="s">
        <v>48</v>
      </c>
      <c r="C66" s="83">
        <v>0.59</v>
      </c>
      <c r="D66" s="2" t="s">
        <v>6</v>
      </c>
      <c r="E66" s="82"/>
      <c r="F66" s="81"/>
      <c r="G66" s="81"/>
      <c r="H66" s="81"/>
      <c r="I66" s="81"/>
      <c r="J66" s="81"/>
      <c r="K66" s="81"/>
      <c r="L66" s="81"/>
      <c r="M66" s="81"/>
      <c r="N66" s="81"/>
      <c r="O66" s="81"/>
      <c r="P66" s="81"/>
      <c r="Q66" s="81"/>
      <c r="R66" s="81"/>
      <c r="S66" s="81"/>
      <c r="T66" s="81"/>
    </row>
    <row r="67" spans="1:23" x14ac:dyDescent="0.25">
      <c r="A67" s="166" t="s">
        <v>125</v>
      </c>
      <c r="B67" s="71" t="s">
        <v>48</v>
      </c>
      <c r="C67" s="83">
        <v>0.59</v>
      </c>
      <c r="D67" s="2" t="s">
        <v>6</v>
      </c>
      <c r="E67" s="82"/>
      <c r="F67" s="81"/>
      <c r="G67" s="81"/>
      <c r="H67" s="81"/>
      <c r="I67" s="81"/>
      <c r="J67" s="81"/>
      <c r="K67" s="81"/>
      <c r="L67" s="81"/>
      <c r="M67" s="81"/>
      <c r="N67" s="81"/>
      <c r="O67" s="81"/>
      <c r="P67" s="81"/>
      <c r="Q67" s="81"/>
      <c r="R67" s="81"/>
      <c r="S67" s="81"/>
      <c r="T67" s="81"/>
    </row>
    <row r="68" spans="1:23" x14ac:dyDescent="0.25">
      <c r="A68" s="166" t="s">
        <v>130</v>
      </c>
      <c r="B68" s="71" t="s">
        <v>48</v>
      </c>
      <c r="C68" t="str">
        <f t="shared" si="4"/>
        <v>N.A.</v>
      </c>
      <c r="D68" s="2" t="s">
        <v>6</v>
      </c>
      <c r="E68" s="82"/>
      <c r="F68" s="81"/>
      <c r="G68" s="81"/>
      <c r="H68" s="81"/>
      <c r="I68" s="81"/>
      <c r="J68" s="81"/>
      <c r="K68" s="81"/>
      <c r="L68" s="81"/>
      <c r="M68" s="81"/>
      <c r="N68" s="81"/>
      <c r="O68" s="81"/>
      <c r="P68" s="81"/>
      <c r="Q68" s="81"/>
      <c r="R68" s="81"/>
      <c r="S68" s="81"/>
      <c r="T68" s="81">
        <v>0.8</v>
      </c>
    </row>
    <row r="69" spans="1:23" x14ac:dyDescent="0.25">
      <c r="A69" s="166" t="s">
        <v>131</v>
      </c>
      <c r="B69" s="71" t="s">
        <v>48</v>
      </c>
      <c r="C69" t="str">
        <f t="shared" si="4"/>
        <v>N.A.</v>
      </c>
      <c r="D69" s="2" t="s">
        <v>6</v>
      </c>
      <c r="E69" s="82"/>
      <c r="F69" s="81"/>
      <c r="G69" s="81"/>
      <c r="H69" s="81"/>
      <c r="I69" s="81"/>
      <c r="J69" s="81"/>
      <c r="K69" s="81"/>
      <c r="L69" s="81"/>
      <c r="M69" s="81"/>
      <c r="N69" s="81"/>
      <c r="O69" s="81"/>
      <c r="P69" s="81"/>
      <c r="Q69" s="81"/>
      <c r="R69" s="81"/>
      <c r="S69" s="81"/>
      <c r="T69" s="81">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71" t="s">
        <v>48</v>
      </c>
      <c r="C72" t="str">
        <f t="shared" ref="C72:C83" si="5">IF(SUMPRODUCT(--(E72:W72&lt;&gt;""))=0,0,"N.A.")</f>
        <v>N.A.</v>
      </c>
      <c r="D72" s="2" t="s">
        <v>6</v>
      </c>
      <c r="O72" s="84">
        <v>0.61699999999999999</v>
      </c>
      <c r="P72" s="84">
        <v>0.55800000000000005</v>
      </c>
      <c r="Q72" s="84">
        <v>0.57399999999999995</v>
      </c>
      <c r="R72" s="84"/>
      <c r="S72" s="84"/>
    </row>
    <row r="73" spans="1:23" x14ac:dyDescent="0.25">
      <c r="A73" s="166" t="s">
        <v>113</v>
      </c>
      <c r="B73" s="71" t="s">
        <v>48</v>
      </c>
      <c r="C73" t="str">
        <f t="shared" si="5"/>
        <v>N.A.</v>
      </c>
      <c r="D73" s="2" t="s">
        <v>6</v>
      </c>
      <c r="O73" s="84">
        <v>0.61699999999999999</v>
      </c>
      <c r="P73" s="84">
        <v>0.55800000000000005</v>
      </c>
      <c r="Q73" s="84">
        <v>0.57399999999999995</v>
      </c>
      <c r="R73" s="84"/>
      <c r="S73" s="84"/>
    </row>
    <row r="74" spans="1:23" x14ac:dyDescent="0.25">
      <c r="A74" s="166" t="s">
        <v>115</v>
      </c>
      <c r="B74" s="71" t="s">
        <v>48</v>
      </c>
      <c r="C74" t="str">
        <f t="shared" si="5"/>
        <v>N.A.</v>
      </c>
      <c r="D74" s="2" t="s">
        <v>6</v>
      </c>
      <c r="O74" s="84">
        <v>0.61699999999999999</v>
      </c>
      <c r="P74" s="84">
        <v>0.55800000000000005</v>
      </c>
      <c r="Q74" s="84">
        <v>0.57399999999999995</v>
      </c>
      <c r="R74" s="84"/>
      <c r="S74" s="84"/>
    </row>
    <row r="75" spans="1:23" x14ac:dyDescent="0.25">
      <c r="A75" s="166" t="s">
        <v>117</v>
      </c>
      <c r="B75" s="71" t="s">
        <v>48</v>
      </c>
      <c r="C75" t="str">
        <f t="shared" si="5"/>
        <v>N.A.</v>
      </c>
      <c r="D75" s="2" t="s">
        <v>6</v>
      </c>
      <c r="O75" s="84">
        <v>0.61699999999999999</v>
      </c>
      <c r="P75" s="84">
        <v>0.55800000000000005</v>
      </c>
      <c r="Q75" s="84">
        <v>0.57399999999999995</v>
      </c>
      <c r="R75" s="84"/>
      <c r="S75" s="84"/>
    </row>
    <row r="76" spans="1:23" x14ac:dyDescent="0.25">
      <c r="A76" s="166" t="s">
        <v>119</v>
      </c>
      <c r="B76" s="71" t="s">
        <v>48</v>
      </c>
      <c r="C76" t="str">
        <f t="shared" si="5"/>
        <v>N.A.</v>
      </c>
      <c r="D76" s="2" t="s">
        <v>6</v>
      </c>
      <c r="O76" s="84">
        <v>0.61699999999999999</v>
      </c>
      <c r="P76" s="84">
        <v>0.55800000000000005</v>
      </c>
      <c r="Q76" s="84">
        <v>0.57399999999999995</v>
      </c>
      <c r="R76" s="84"/>
      <c r="S76" s="84"/>
    </row>
    <row r="77" spans="1:23" x14ac:dyDescent="0.25">
      <c r="A77" s="166" t="s">
        <v>121</v>
      </c>
      <c r="B77" s="71" t="s">
        <v>48</v>
      </c>
      <c r="C77" t="str">
        <f t="shared" si="5"/>
        <v>N.A.</v>
      </c>
      <c r="D77" s="2" t="s">
        <v>6</v>
      </c>
      <c r="O77" s="84">
        <v>0.61699999999999999</v>
      </c>
      <c r="P77" s="84">
        <v>0.55800000000000005</v>
      </c>
      <c r="Q77" s="84">
        <v>0.57399999999999995</v>
      </c>
      <c r="R77" s="84"/>
      <c r="S77" s="84"/>
    </row>
    <row r="78" spans="1:23" x14ac:dyDescent="0.25">
      <c r="A78" s="166" t="s">
        <v>128</v>
      </c>
      <c r="B78" s="71" t="s">
        <v>48</v>
      </c>
      <c r="C78" s="86">
        <v>0.37</v>
      </c>
      <c r="D78" s="2" t="s">
        <v>6</v>
      </c>
      <c r="O78" s="84"/>
      <c r="P78" s="84"/>
      <c r="Q78" s="84"/>
      <c r="R78" s="84"/>
      <c r="S78" s="84"/>
    </row>
    <row r="79" spans="1:23" x14ac:dyDescent="0.25">
      <c r="A79" s="166" t="s">
        <v>132</v>
      </c>
      <c r="B79" s="71" t="s">
        <v>48</v>
      </c>
      <c r="C79" s="86">
        <v>0.37</v>
      </c>
      <c r="D79" s="2" t="s">
        <v>6</v>
      </c>
      <c r="O79" s="84"/>
      <c r="P79" s="84"/>
      <c r="Q79" s="84"/>
      <c r="R79" s="84"/>
      <c r="S79" s="84"/>
    </row>
    <row r="80" spans="1:23" x14ac:dyDescent="0.25">
      <c r="A80" s="166" t="s">
        <v>124</v>
      </c>
      <c r="B80" s="71" t="s">
        <v>48</v>
      </c>
      <c r="C80" s="86">
        <v>0.37</v>
      </c>
      <c r="D80" s="2" t="s">
        <v>6</v>
      </c>
      <c r="O80" s="84"/>
      <c r="P80" s="84"/>
      <c r="Q80" s="84"/>
      <c r="R80" s="84"/>
      <c r="S80" s="84"/>
    </row>
    <row r="81" spans="1:23" x14ac:dyDescent="0.25">
      <c r="A81" s="166" t="s">
        <v>125</v>
      </c>
      <c r="B81" s="71" t="s">
        <v>48</v>
      </c>
      <c r="C81" s="86">
        <v>0.37</v>
      </c>
      <c r="D81" s="2" t="s">
        <v>6</v>
      </c>
      <c r="O81" s="84"/>
      <c r="P81" s="84"/>
      <c r="Q81" s="84"/>
      <c r="R81" s="84"/>
      <c r="S81" s="84"/>
    </row>
    <row r="82" spans="1:23" x14ac:dyDescent="0.25">
      <c r="A82" s="166" t="s">
        <v>130</v>
      </c>
      <c r="B82" s="71" t="s">
        <v>48</v>
      </c>
      <c r="C82" t="str">
        <f t="shared" si="5"/>
        <v>N.A.</v>
      </c>
      <c r="D82" s="2" t="s">
        <v>6</v>
      </c>
      <c r="O82" s="84"/>
      <c r="P82" s="84"/>
      <c r="Q82" s="84"/>
      <c r="R82" s="84"/>
      <c r="S82" s="85">
        <v>1</v>
      </c>
    </row>
    <row r="83" spans="1:23" x14ac:dyDescent="0.25">
      <c r="A83" s="166" t="s">
        <v>131</v>
      </c>
      <c r="B83" s="71" t="s">
        <v>48</v>
      </c>
      <c r="C83" t="str">
        <f t="shared" si="5"/>
        <v>N.A.</v>
      </c>
      <c r="D83" s="2" t="s">
        <v>6</v>
      </c>
      <c r="O83" s="84"/>
      <c r="P83" s="84"/>
      <c r="Q83" s="84"/>
      <c r="R83" s="84"/>
      <c r="S83" s="84">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71" t="s">
        <v>48</v>
      </c>
      <c r="C86" t="str">
        <f t="shared" ref="C86:C91" si="6">IF(SUMPRODUCT(--(E86:W86&lt;&gt;""))=0,0,"N.A.")</f>
        <v>N.A.</v>
      </c>
      <c r="D86" s="2" t="s">
        <v>6</v>
      </c>
      <c r="N86" s="87"/>
      <c r="O86" s="87">
        <v>0.14285714285714285</v>
      </c>
      <c r="P86" s="87">
        <v>0.30769230769230771</v>
      </c>
      <c r="Q86" s="87"/>
      <c r="R86" s="87">
        <v>0.1111111111111111</v>
      </c>
      <c r="S86" s="87"/>
    </row>
    <row r="87" spans="1:23" x14ac:dyDescent="0.25">
      <c r="A87" s="166" t="s">
        <v>113</v>
      </c>
      <c r="B87" s="71" t="s">
        <v>48</v>
      </c>
      <c r="C87" t="str">
        <f t="shared" si="6"/>
        <v>N.A.</v>
      </c>
      <c r="D87" s="2" t="s">
        <v>6</v>
      </c>
      <c r="N87" s="87">
        <v>0.26666666666666666</v>
      </c>
      <c r="O87" s="87"/>
      <c r="P87" s="87"/>
      <c r="Q87" s="87"/>
      <c r="R87" s="87"/>
      <c r="S87" s="87">
        <v>0.25</v>
      </c>
    </row>
    <row r="88" spans="1:23" x14ac:dyDescent="0.25">
      <c r="A88" s="166" t="s">
        <v>115</v>
      </c>
      <c r="B88" s="71" t="s">
        <v>48</v>
      </c>
      <c r="C88" t="str">
        <f t="shared" si="6"/>
        <v>N.A.</v>
      </c>
      <c r="D88" s="2" t="s">
        <v>6</v>
      </c>
      <c r="N88" s="87">
        <v>0.41949152542372881</v>
      </c>
      <c r="O88" s="87">
        <v>0.39067656765676573</v>
      </c>
      <c r="P88" s="87"/>
      <c r="Q88" s="87"/>
      <c r="R88" s="87"/>
      <c r="S88" s="87">
        <v>0.47606130476061304</v>
      </c>
    </row>
    <row r="89" spans="1:23" x14ac:dyDescent="0.25">
      <c r="A89" s="166" t="s">
        <v>117</v>
      </c>
      <c r="B89" s="71" t="s">
        <v>48</v>
      </c>
      <c r="C89" t="str">
        <f t="shared" si="6"/>
        <v>N.A.</v>
      </c>
      <c r="D89" s="2" t="s">
        <v>6</v>
      </c>
      <c r="N89" s="87">
        <v>0.85451197053407002</v>
      </c>
      <c r="O89" s="87"/>
      <c r="P89" s="87"/>
      <c r="Q89" s="87"/>
      <c r="R89" s="87">
        <v>0.35436893203883496</v>
      </c>
      <c r="S89" s="87">
        <v>0.56666666666666665</v>
      </c>
    </row>
    <row r="90" spans="1:23" x14ac:dyDescent="0.25">
      <c r="A90" s="166" t="s">
        <v>119</v>
      </c>
      <c r="B90" s="71" t="s">
        <v>48</v>
      </c>
      <c r="C90" t="str">
        <f t="shared" si="6"/>
        <v>N.A.</v>
      </c>
      <c r="D90" s="2" t="s">
        <v>6</v>
      </c>
      <c r="N90" s="87">
        <v>0.40434782608695652</v>
      </c>
      <c r="O90" s="87">
        <v>0.35303144925969948</v>
      </c>
      <c r="P90" s="87"/>
      <c r="Q90" s="87">
        <v>0.34559506076894847</v>
      </c>
      <c r="R90" s="87">
        <v>0.36291031419778325</v>
      </c>
      <c r="S90" s="87">
        <v>0.39774620483963036</v>
      </c>
    </row>
    <row r="91" spans="1:23" x14ac:dyDescent="0.25">
      <c r="A91" s="166" t="s">
        <v>121</v>
      </c>
      <c r="B91" s="71" t="s">
        <v>48</v>
      </c>
      <c r="C91" t="str">
        <f t="shared" si="6"/>
        <v>N.A.</v>
      </c>
      <c r="D91" s="2" t="s">
        <v>6</v>
      </c>
      <c r="N91" s="87">
        <v>0.66666666666666663</v>
      </c>
      <c r="O91" s="87"/>
      <c r="P91" s="87"/>
      <c r="Q91" s="87"/>
      <c r="R91" s="87"/>
      <c r="S91" s="87">
        <v>0.26666666666666666</v>
      </c>
    </row>
    <row r="92" spans="1:23" x14ac:dyDescent="0.25">
      <c r="A92" s="166" t="s">
        <v>128</v>
      </c>
      <c r="B92" s="71" t="s">
        <v>48</v>
      </c>
      <c r="C92" s="88">
        <v>0.24</v>
      </c>
      <c r="D92" s="2" t="s">
        <v>6</v>
      </c>
    </row>
    <row r="93" spans="1:23" x14ac:dyDescent="0.25">
      <c r="A93" s="166" t="s">
        <v>132</v>
      </c>
      <c r="B93" s="71" t="s">
        <v>48</v>
      </c>
      <c r="C93" s="88">
        <v>0.24</v>
      </c>
      <c r="D93" s="2" t="s">
        <v>6</v>
      </c>
    </row>
    <row r="94" spans="1:23" x14ac:dyDescent="0.25">
      <c r="A94" s="166" t="s">
        <v>124</v>
      </c>
      <c r="B94" s="71" t="s">
        <v>48</v>
      </c>
      <c r="C94" s="88">
        <v>0.24</v>
      </c>
      <c r="D94" s="2" t="s">
        <v>6</v>
      </c>
    </row>
    <row r="95" spans="1:23" x14ac:dyDescent="0.25">
      <c r="A95" s="166" t="s">
        <v>125</v>
      </c>
      <c r="B95" s="71" t="s">
        <v>48</v>
      </c>
      <c r="C95" s="88">
        <v>0.24</v>
      </c>
      <c r="D95" s="2" t="s">
        <v>6</v>
      </c>
    </row>
    <row r="96" spans="1:23" x14ac:dyDescent="0.25">
      <c r="A96" s="166" t="s">
        <v>130</v>
      </c>
      <c r="B96" s="71" t="s">
        <v>48</v>
      </c>
      <c r="C96" s="88">
        <v>0.24</v>
      </c>
      <c r="D96" s="2" t="s">
        <v>6</v>
      </c>
    </row>
    <row r="97" spans="1:23" x14ac:dyDescent="0.25">
      <c r="A97" s="166" t="s">
        <v>131</v>
      </c>
      <c r="B97" s="71" t="s">
        <v>48</v>
      </c>
      <c r="C97" s="88">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71" t="s">
        <v>48</v>
      </c>
      <c r="C100" t="str">
        <f t="shared" ref="C100:C105" si="7">IF(SUMPRODUCT(--(E100:W100&lt;&gt;""))=0,0,"N.A.")</f>
        <v>N.A.</v>
      </c>
      <c r="D100" s="2" t="s">
        <v>6</v>
      </c>
      <c r="N100" s="90"/>
      <c r="O100" s="90">
        <v>0.7142857142857143</v>
      </c>
      <c r="P100" s="90"/>
      <c r="Q100" s="90"/>
      <c r="R100" s="90">
        <v>0.88888888888888884</v>
      </c>
      <c r="S100" s="90"/>
    </row>
    <row r="101" spans="1:23" x14ac:dyDescent="0.25">
      <c r="A101" s="166" t="s">
        <v>113</v>
      </c>
      <c r="B101" s="71" t="s">
        <v>48</v>
      </c>
      <c r="C101" t="str">
        <f t="shared" si="7"/>
        <v>N.A.</v>
      </c>
      <c r="D101" s="2" t="s">
        <v>6</v>
      </c>
      <c r="N101" s="90">
        <v>0.66666666666666663</v>
      </c>
      <c r="O101" s="90"/>
      <c r="P101" s="90"/>
      <c r="Q101" s="90">
        <v>0.7142857142857143</v>
      </c>
      <c r="R101" s="90"/>
      <c r="S101" s="90">
        <v>0.55000000000000004</v>
      </c>
    </row>
    <row r="102" spans="1:23" x14ac:dyDescent="0.25">
      <c r="A102" s="166" t="s">
        <v>115</v>
      </c>
      <c r="B102" s="71" t="s">
        <v>48</v>
      </c>
      <c r="C102" t="str">
        <f t="shared" si="7"/>
        <v>N.A.</v>
      </c>
      <c r="D102" s="2" t="s">
        <v>6</v>
      </c>
      <c r="N102" s="90"/>
      <c r="O102" s="90"/>
      <c r="P102" s="90">
        <v>0.5981219279583303</v>
      </c>
      <c r="Q102" s="90">
        <v>0.58178894164496853</v>
      </c>
      <c r="R102" s="90">
        <v>0.52494593276911738</v>
      </c>
      <c r="S102" s="90">
        <v>0.42567224759005584</v>
      </c>
    </row>
    <row r="103" spans="1:23" x14ac:dyDescent="0.25">
      <c r="A103" s="166" t="s">
        <v>117</v>
      </c>
      <c r="B103" s="71" t="s">
        <v>48</v>
      </c>
      <c r="C103" t="str">
        <f t="shared" si="7"/>
        <v>N.A.</v>
      </c>
      <c r="D103" s="2" t="s">
        <v>6</v>
      </c>
      <c r="N103" s="90">
        <v>0.14548802946593004</v>
      </c>
      <c r="O103" s="90"/>
      <c r="P103" s="90">
        <v>0.17025862068965519</v>
      </c>
      <c r="Q103" s="90"/>
      <c r="R103" s="90"/>
      <c r="S103" s="90">
        <v>0.2</v>
      </c>
    </row>
    <row r="104" spans="1:23" x14ac:dyDescent="0.25">
      <c r="A104" s="166" t="s">
        <v>119</v>
      </c>
      <c r="B104" s="71" t="s">
        <v>48</v>
      </c>
      <c r="C104" t="str">
        <f t="shared" si="7"/>
        <v>N.A.</v>
      </c>
      <c r="D104" s="2" t="s">
        <v>6</v>
      </c>
      <c r="N104" s="90">
        <v>0.3536231884057971</v>
      </c>
      <c r="O104" s="90">
        <v>0.42502972009078133</v>
      </c>
      <c r="P104" s="90"/>
      <c r="Q104" s="90">
        <v>0.46024652980161046</v>
      </c>
      <c r="R104" s="90">
        <v>0.38980797528137756</v>
      </c>
      <c r="S104" s="90">
        <v>0.40658313236167903</v>
      </c>
    </row>
    <row r="105" spans="1:23" x14ac:dyDescent="0.25">
      <c r="A105" s="166" t="s">
        <v>121</v>
      </c>
      <c r="B105" s="71" t="s">
        <v>48</v>
      </c>
      <c r="C105" t="str">
        <f t="shared" si="7"/>
        <v>N.A.</v>
      </c>
      <c r="D105" s="2" t="s">
        <v>6</v>
      </c>
      <c r="N105" s="90">
        <v>0.33333333333333331</v>
      </c>
      <c r="O105" s="90"/>
      <c r="P105" s="90"/>
      <c r="Q105" s="90"/>
      <c r="R105" s="90">
        <v>0.34693877551020408</v>
      </c>
      <c r="S105" s="90">
        <v>0.4</v>
      </c>
    </row>
    <row r="106" spans="1:23" x14ac:dyDescent="0.25">
      <c r="A106" s="166" t="s">
        <v>128</v>
      </c>
      <c r="B106" s="71" t="s">
        <v>48</v>
      </c>
      <c r="C106" s="89">
        <v>0.52</v>
      </c>
      <c r="D106" s="2" t="s">
        <v>6</v>
      </c>
    </row>
    <row r="107" spans="1:23" x14ac:dyDescent="0.25">
      <c r="A107" s="166" t="s">
        <v>132</v>
      </c>
      <c r="B107" s="71" t="s">
        <v>48</v>
      </c>
      <c r="C107" s="89">
        <v>0.52</v>
      </c>
      <c r="D107" s="2" t="s">
        <v>6</v>
      </c>
    </row>
    <row r="108" spans="1:23" x14ac:dyDescent="0.25">
      <c r="A108" s="166" t="s">
        <v>124</v>
      </c>
      <c r="B108" s="71" t="s">
        <v>48</v>
      </c>
      <c r="C108" s="89">
        <v>0.52</v>
      </c>
      <c r="D108" s="2" t="s">
        <v>6</v>
      </c>
    </row>
    <row r="109" spans="1:23" x14ac:dyDescent="0.25">
      <c r="A109" s="166" t="s">
        <v>125</v>
      </c>
      <c r="B109" s="71" t="s">
        <v>48</v>
      </c>
      <c r="C109" s="89">
        <v>0.52</v>
      </c>
      <c r="D109" s="2" t="s">
        <v>6</v>
      </c>
    </row>
    <row r="110" spans="1:23" x14ac:dyDescent="0.25">
      <c r="A110" s="166" t="s">
        <v>130</v>
      </c>
      <c r="B110" s="71" t="s">
        <v>48</v>
      </c>
      <c r="C110" s="89">
        <v>0.52</v>
      </c>
      <c r="D110" s="2" t="s">
        <v>6</v>
      </c>
    </row>
    <row r="111" spans="1:23" x14ac:dyDescent="0.25">
      <c r="A111" s="166" t="s">
        <v>131</v>
      </c>
      <c r="B111" s="71" t="s">
        <v>48</v>
      </c>
      <c r="C111" s="89">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s="71" t="s">
        <v>48</v>
      </c>
      <c r="C114" t="str">
        <f t="shared" ref="C114:C125" si="8">IF(SUMPRODUCT(--(E114:W114&lt;&gt;""))=0,0,"N.A.")</f>
        <v>N.A.</v>
      </c>
      <c r="D114" s="2" t="s">
        <v>6</v>
      </c>
      <c r="L114" s="91"/>
      <c r="M114" s="91">
        <v>0.68417739916270781</v>
      </c>
      <c r="N114" s="91"/>
      <c r="O114" s="91"/>
      <c r="P114" s="91"/>
      <c r="Q114" s="91"/>
      <c r="R114" s="91"/>
      <c r="S114" s="91"/>
      <c r="T114" s="91"/>
    </row>
    <row r="115" spans="1:23" x14ac:dyDescent="0.25">
      <c r="A115" s="166" t="s">
        <v>113</v>
      </c>
      <c r="B115" s="71" t="s">
        <v>48</v>
      </c>
      <c r="C115" s="92">
        <v>0.59</v>
      </c>
      <c r="D115" s="2" t="s">
        <v>6</v>
      </c>
      <c r="L115" s="91"/>
      <c r="M115" s="91"/>
      <c r="N115" s="91"/>
      <c r="O115" s="91"/>
      <c r="P115" s="91"/>
      <c r="Q115" s="91"/>
      <c r="R115" s="91"/>
      <c r="S115" s="91"/>
      <c r="T115" s="91"/>
    </row>
    <row r="116" spans="1:23" x14ac:dyDescent="0.25">
      <c r="A116" s="166" t="s">
        <v>115</v>
      </c>
      <c r="B116" s="71" t="s">
        <v>48</v>
      </c>
      <c r="C116" s="92" t="s">
        <v>41</v>
      </c>
      <c r="D116" s="2" t="s">
        <v>6</v>
      </c>
      <c r="L116" s="91">
        <v>0.62653996495110453</v>
      </c>
      <c r="M116" s="91"/>
      <c r="N116" s="91"/>
      <c r="O116" s="91">
        <v>0.73016553019208075</v>
      </c>
      <c r="P116" s="91"/>
      <c r="Q116" s="91">
        <v>0.71294256594944572</v>
      </c>
      <c r="R116" s="91">
        <v>0.68381977238005032</v>
      </c>
      <c r="S116" s="91">
        <v>0.65602333788131761</v>
      </c>
      <c r="T116" s="91"/>
    </row>
    <row r="117" spans="1:23" x14ac:dyDescent="0.25">
      <c r="A117" s="166" t="s">
        <v>117</v>
      </c>
      <c r="B117" s="71" t="s">
        <v>48</v>
      </c>
      <c r="C117" s="92">
        <v>0.59</v>
      </c>
      <c r="D117" s="2" t="s">
        <v>6</v>
      </c>
      <c r="L117" s="91"/>
      <c r="M117" s="91"/>
      <c r="N117" s="91"/>
      <c r="O117" s="91"/>
      <c r="P117" s="91"/>
      <c r="Q117" s="91"/>
      <c r="R117" s="91"/>
      <c r="S117" s="91"/>
      <c r="T117" s="91"/>
    </row>
    <row r="118" spans="1:23" x14ac:dyDescent="0.25">
      <c r="A118" s="166" t="s">
        <v>119</v>
      </c>
      <c r="B118" s="71" t="s">
        <v>48</v>
      </c>
      <c r="C118" s="92" t="s">
        <v>41</v>
      </c>
      <c r="D118" s="2" t="s">
        <v>6</v>
      </c>
      <c r="L118" s="91">
        <v>0.62675728247034024</v>
      </c>
      <c r="M118" s="91"/>
      <c r="N118" s="91">
        <v>0.72660518196804846</v>
      </c>
      <c r="O118" s="91">
        <v>0.73071436852812177</v>
      </c>
      <c r="P118" s="91"/>
      <c r="Q118" s="91">
        <v>0.7134097575033268</v>
      </c>
      <c r="R118" s="91">
        <v>0.68404139569767641</v>
      </c>
      <c r="S118" s="91">
        <v>0.65661033666112878</v>
      </c>
      <c r="T118" s="91"/>
    </row>
    <row r="119" spans="1:23" x14ac:dyDescent="0.25">
      <c r="A119" s="166" t="s">
        <v>121</v>
      </c>
      <c r="B119" s="71" t="s">
        <v>48</v>
      </c>
      <c r="C119" s="92">
        <v>0.59</v>
      </c>
      <c r="D119" s="2" t="s">
        <v>6</v>
      </c>
      <c r="L119" s="91"/>
      <c r="M119" s="91"/>
      <c r="N119" s="91"/>
      <c r="O119" s="91"/>
      <c r="P119" s="91"/>
      <c r="Q119" s="91"/>
      <c r="R119" s="91"/>
      <c r="S119" s="91"/>
      <c r="T119" s="91"/>
    </row>
    <row r="120" spans="1:23" x14ac:dyDescent="0.25">
      <c r="A120" s="166" t="s">
        <v>128</v>
      </c>
      <c r="B120" s="71" t="s">
        <v>48</v>
      </c>
      <c r="C120" s="92">
        <v>0.59</v>
      </c>
      <c r="D120" s="2" t="s">
        <v>6</v>
      </c>
      <c r="L120" s="91"/>
      <c r="M120" s="91"/>
      <c r="N120" s="91"/>
      <c r="O120" s="91"/>
      <c r="P120" s="91"/>
      <c r="Q120" s="91"/>
      <c r="R120" s="91"/>
      <c r="S120" s="91"/>
      <c r="T120" s="91"/>
    </row>
    <row r="121" spans="1:23" x14ac:dyDescent="0.25">
      <c r="A121" s="166" t="s">
        <v>132</v>
      </c>
      <c r="B121" s="71" t="s">
        <v>48</v>
      </c>
      <c r="C121" s="92">
        <v>0.59</v>
      </c>
      <c r="D121" s="2" t="s">
        <v>6</v>
      </c>
      <c r="L121" s="91"/>
      <c r="M121" s="91"/>
      <c r="N121" s="91"/>
      <c r="O121" s="91"/>
      <c r="P121" s="91"/>
      <c r="Q121" s="91"/>
      <c r="R121" s="91"/>
      <c r="S121" s="91"/>
      <c r="T121" s="91"/>
    </row>
    <row r="122" spans="1:23" x14ac:dyDescent="0.25">
      <c r="A122" s="166" t="s">
        <v>124</v>
      </c>
      <c r="B122" s="71" t="s">
        <v>48</v>
      </c>
      <c r="C122" s="92">
        <v>0.59</v>
      </c>
      <c r="D122" s="2" t="s">
        <v>6</v>
      </c>
      <c r="L122" s="91"/>
      <c r="M122" s="91"/>
      <c r="N122" s="91"/>
      <c r="O122" s="91"/>
      <c r="P122" s="91"/>
      <c r="Q122" s="91"/>
      <c r="R122" s="91"/>
      <c r="S122" s="91"/>
      <c r="T122" s="91"/>
    </row>
    <row r="123" spans="1:23" x14ac:dyDescent="0.25">
      <c r="A123" s="166" t="s">
        <v>125</v>
      </c>
      <c r="B123" s="71" t="s">
        <v>48</v>
      </c>
      <c r="C123" s="92">
        <v>0.59</v>
      </c>
      <c r="D123" s="2" t="s">
        <v>6</v>
      </c>
      <c r="L123" s="91"/>
      <c r="M123" s="91"/>
      <c r="N123" s="91"/>
      <c r="O123" s="91"/>
      <c r="P123" s="91"/>
      <c r="Q123" s="91"/>
      <c r="R123" s="91"/>
      <c r="S123" s="91"/>
      <c r="T123" s="91"/>
    </row>
    <row r="124" spans="1:23" x14ac:dyDescent="0.25">
      <c r="A124" s="166" t="s">
        <v>130</v>
      </c>
      <c r="B124" s="71" t="s">
        <v>48</v>
      </c>
      <c r="C124" t="str">
        <f t="shared" si="8"/>
        <v>N.A.</v>
      </c>
      <c r="D124" s="2" t="s">
        <v>6</v>
      </c>
      <c r="L124" s="91"/>
      <c r="M124" s="91"/>
      <c r="N124" s="91"/>
      <c r="O124" s="91"/>
      <c r="P124" s="91"/>
      <c r="Q124" s="91"/>
      <c r="R124" s="91"/>
      <c r="S124" s="91"/>
      <c r="T124" s="91">
        <v>0.8</v>
      </c>
    </row>
    <row r="125" spans="1:23" x14ac:dyDescent="0.25">
      <c r="A125" s="166" t="s">
        <v>131</v>
      </c>
      <c r="B125" s="71" t="s">
        <v>48</v>
      </c>
      <c r="C125" t="str">
        <f t="shared" si="8"/>
        <v>N.A.</v>
      </c>
      <c r="D125" s="2" t="s">
        <v>6</v>
      </c>
      <c r="L125" s="91"/>
      <c r="M125" s="91"/>
      <c r="N125" s="91"/>
      <c r="O125" s="91"/>
      <c r="P125" s="91"/>
      <c r="Q125" s="91"/>
      <c r="R125" s="91"/>
      <c r="S125" s="91"/>
      <c r="T125" s="91">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s="71" t="s">
        <v>48</v>
      </c>
      <c r="C128" t="str">
        <f t="shared" ref="C128:C139" si="9">IF(SUMPRODUCT(--(E128:W128&lt;&gt;""))=0,0,"N.A.")</f>
        <v>N.A.</v>
      </c>
      <c r="D128" s="2" t="s">
        <v>6</v>
      </c>
      <c r="Q128" s="93">
        <v>0.81</v>
      </c>
      <c r="R128" s="93">
        <v>1</v>
      </c>
      <c r="S128" s="93"/>
      <c r="T128" s="93"/>
    </row>
    <row r="129" spans="1:23" x14ac:dyDescent="0.25">
      <c r="A129" s="166" t="s">
        <v>113</v>
      </c>
      <c r="B129" s="71" t="s">
        <v>48</v>
      </c>
      <c r="C129" t="str">
        <f t="shared" si="9"/>
        <v>N.A.</v>
      </c>
      <c r="D129" s="2" t="s">
        <v>6</v>
      </c>
      <c r="Q129" s="93">
        <v>0.81</v>
      </c>
      <c r="R129" s="93">
        <v>1</v>
      </c>
      <c r="S129" s="93"/>
      <c r="T129" s="93"/>
    </row>
    <row r="130" spans="1:23" x14ac:dyDescent="0.25">
      <c r="A130" s="166" t="s">
        <v>115</v>
      </c>
      <c r="B130" s="71" t="s">
        <v>48</v>
      </c>
      <c r="C130" t="str">
        <f t="shared" si="9"/>
        <v>N.A.</v>
      </c>
      <c r="D130" s="2" t="s">
        <v>6</v>
      </c>
      <c r="Q130" s="93">
        <v>0.81</v>
      </c>
      <c r="R130" s="93">
        <v>1</v>
      </c>
      <c r="S130" s="93"/>
      <c r="T130" s="93"/>
    </row>
    <row r="131" spans="1:23" x14ac:dyDescent="0.25">
      <c r="A131" s="166" t="s">
        <v>117</v>
      </c>
      <c r="B131" s="71" t="s">
        <v>48</v>
      </c>
      <c r="C131" t="str">
        <f t="shared" si="9"/>
        <v>N.A.</v>
      </c>
      <c r="D131" s="2" t="s">
        <v>6</v>
      </c>
      <c r="Q131" s="93">
        <v>0.81</v>
      </c>
      <c r="R131" s="93">
        <v>1</v>
      </c>
      <c r="S131" s="93"/>
      <c r="T131" s="93"/>
    </row>
    <row r="132" spans="1:23" x14ac:dyDescent="0.25">
      <c r="A132" s="166" t="s">
        <v>119</v>
      </c>
      <c r="B132" s="71" t="s">
        <v>48</v>
      </c>
      <c r="C132" t="str">
        <f t="shared" si="9"/>
        <v>N.A.</v>
      </c>
      <c r="D132" s="2" t="s">
        <v>6</v>
      </c>
      <c r="Q132" s="93">
        <v>0.81</v>
      </c>
      <c r="R132" s="93">
        <v>1</v>
      </c>
      <c r="S132" s="93"/>
      <c r="T132" s="93"/>
    </row>
    <row r="133" spans="1:23" x14ac:dyDescent="0.25">
      <c r="A133" s="166" t="s">
        <v>121</v>
      </c>
      <c r="B133" s="71" t="s">
        <v>48</v>
      </c>
      <c r="C133" t="str">
        <f t="shared" si="9"/>
        <v>N.A.</v>
      </c>
      <c r="D133" s="2" t="s">
        <v>6</v>
      </c>
      <c r="Q133" s="93">
        <v>0.81</v>
      </c>
      <c r="R133" s="93">
        <v>1</v>
      </c>
      <c r="S133" s="93"/>
      <c r="T133" s="93"/>
    </row>
    <row r="134" spans="1:23" x14ac:dyDescent="0.25">
      <c r="A134" s="166" t="s">
        <v>128</v>
      </c>
      <c r="B134" s="71" t="s">
        <v>48</v>
      </c>
      <c r="C134" s="94">
        <v>0.37</v>
      </c>
      <c r="D134" s="2" t="s">
        <v>6</v>
      </c>
      <c r="Q134" s="93"/>
      <c r="R134" s="93"/>
      <c r="S134" s="93"/>
      <c r="T134" s="93"/>
    </row>
    <row r="135" spans="1:23" x14ac:dyDescent="0.25">
      <c r="A135" s="166" t="s">
        <v>132</v>
      </c>
      <c r="B135" s="71" t="s">
        <v>48</v>
      </c>
      <c r="C135" s="94">
        <v>0.37</v>
      </c>
      <c r="D135" s="2" t="s">
        <v>6</v>
      </c>
      <c r="Q135" s="93"/>
      <c r="R135" s="93"/>
      <c r="S135" s="93"/>
      <c r="T135" s="93"/>
    </row>
    <row r="136" spans="1:23" x14ac:dyDescent="0.25">
      <c r="A136" s="166" t="s">
        <v>124</v>
      </c>
      <c r="B136" s="71" t="s">
        <v>48</v>
      </c>
      <c r="C136" s="94">
        <v>0.37</v>
      </c>
      <c r="D136" s="2" t="s">
        <v>6</v>
      </c>
      <c r="Q136" s="93"/>
      <c r="R136" s="93"/>
      <c r="S136" s="93"/>
      <c r="T136" s="93"/>
    </row>
    <row r="137" spans="1:23" x14ac:dyDescent="0.25">
      <c r="A137" s="166" t="s">
        <v>125</v>
      </c>
      <c r="B137" s="71" t="s">
        <v>48</v>
      </c>
      <c r="C137" s="94">
        <v>0.37</v>
      </c>
      <c r="D137" s="2" t="s">
        <v>6</v>
      </c>
      <c r="Q137" s="93"/>
      <c r="R137" s="93"/>
      <c r="S137" s="93"/>
      <c r="T137" s="93"/>
    </row>
    <row r="138" spans="1:23" x14ac:dyDescent="0.25">
      <c r="A138" s="166" t="s">
        <v>130</v>
      </c>
      <c r="B138" s="71" t="s">
        <v>48</v>
      </c>
      <c r="C138" t="str">
        <f t="shared" si="9"/>
        <v>N.A.</v>
      </c>
      <c r="D138" s="2" t="s">
        <v>6</v>
      </c>
      <c r="Q138" s="93"/>
      <c r="R138" s="93"/>
      <c r="S138" s="93"/>
      <c r="T138" s="93">
        <v>0.75</v>
      </c>
    </row>
    <row r="139" spans="1:23" x14ac:dyDescent="0.25">
      <c r="A139" s="166" t="s">
        <v>131</v>
      </c>
      <c r="B139" s="71" t="s">
        <v>48</v>
      </c>
      <c r="C139" t="str">
        <f t="shared" si="9"/>
        <v>N.A.</v>
      </c>
      <c r="D139" s="2" t="s">
        <v>6</v>
      </c>
      <c r="Q139" s="93"/>
      <c r="R139" s="93"/>
      <c r="S139" s="93"/>
      <c r="T139" s="93">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6" t="s">
        <v>111</v>
      </c>
      <c r="B142" s="71" t="s">
        <v>48</v>
      </c>
      <c r="C142" s="96">
        <v>0.44</v>
      </c>
      <c r="D142" s="2" t="s">
        <v>6</v>
      </c>
    </row>
    <row r="143" spans="1:23" x14ac:dyDescent="0.25">
      <c r="A143" s="166" t="s">
        <v>113</v>
      </c>
      <c r="B143" s="71" t="s">
        <v>48</v>
      </c>
      <c r="C143" s="96">
        <v>0.44</v>
      </c>
      <c r="D143" s="2" t="s">
        <v>6</v>
      </c>
    </row>
    <row r="144" spans="1:23" x14ac:dyDescent="0.25">
      <c r="A144" s="166" t="s">
        <v>115</v>
      </c>
      <c r="B144" s="71" t="s">
        <v>48</v>
      </c>
      <c r="C144" s="96" t="s">
        <v>41</v>
      </c>
      <c r="D144" s="2" t="s">
        <v>6</v>
      </c>
      <c r="N144" s="95"/>
      <c r="O144" s="95">
        <v>0.79564495481450503</v>
      </c>
      <c r="P144" s="95">
        <v>0.797976333390499</v>
      </c>
    </row>
    <row r="145" spans="1:23" x14ac:dyDescent="0.25">
      <c r="A145" s="166" t="s">
        <v>117</v>
      </c>
      <c r="B145" s="71" t="s">
        <v>48</v>
      </c>
      <c r="C145" s="96" t="s">
        <v>41</v>
      </c>
      <c r="D145" s="2" t="s">
        <v>6</v>
      </c>
      <c r="N145" s="95">
        <v>0.2581699346405229</v>
      </c>
      <c r="O145" s="95"/>
      <c r="P145" s="95"/>
    </row>
    <row r="146" spans="1:23" x14ac:dyDescent="0.25">
      <c r="A146" s="166" t="s">
        <v>119</v>
      </c>
      <c r="B146" s="71" t="s">
        <v>48</v>
      </c>
      <c r="C146" s="96" t="s">
        <v>41</v>
      </c>
      <c r="D146" s="2" t="s">
        <v>6</v>
      </c>
      <c r="N146" s="95"/>
      <c r="O146" s="95"/>
      <c r="P146" s="95">
        <v>0.83095586989244097</v>
      </c>
    </row>
    <row r="147" spans="1:23" x14ac:dyDescent="0.25">
      <c r="A147" s="166" t="s">
        <v>121</v>
      </c>
      <c r="B147" s="71" t="s">
        <v>48</v>
      </c>
      <c r="C147" s="96">
        <v>0.44</v>
      </c>
      <c r="D147" s="2" t="s">
        <v>6</v>
      </c>
    </row>
    <row r="148" spans="1:23" x14ac:dyDescent="0.25">
      <c r="A148" s="166" t="s">
        <v>128</v>
      </c>
      <c r="B148" s="71" t="s">
        <v>48</v>
      </c>
      <c r="C148" s="96">
        <v>0.44</v>
      </c>
      <c r="D148" s="2" t="s">
        <v>6</v>
      </c>
    </row>
    <row r="149" spans="1:23" x14ac:dyDescent="0.25">
      <c r="A149" s="166" t="s">
        <v>132</v>
      </c>
      <c r="B149" s="71" t="s">
        <v>48</v>
      </c>
      <c r="C149" s="96">
        <v>0.44</v>
      </c>
      <c r="D149" s="2" t="s">
        <v>6</v>
      </c>
    </row>
    <row r="150" spans="1:23" x14ac:dyDescent="0.25">
      <c r="A150" s="166" t="s">
        <v>124</v>
      </c>
      <c r="B150" s="71" t="s">
        <v>48</v>
      </c>
      <c r="C150" s="96">
        <v>0.44</v>
      </c>
      <c r="D150" s="2" t="s">
        <v>6</v>
      </c>
    </row>
    <row r="151" spans="1:23" x14ac:dyDescent="0.25">
      <c r="A151" s="166" t="s">
        <v>125</v>
      </c>
      <c r="B151" s="71" t="s">
        <v>48</v>
      </c>
      <c r="C151" s="96">
        <v>0.44</v>
      </c>
      <c r="D151" s="2" t="s">
        <v>6</v>
      </c>
    </row>
    <row r="152" spans="1:23" x14ac:dyDescent="0.25">
      <c r="A152" s="166" t="s">
        <v>130</v>
      </c>
      <c r="B152" s="71" t="s">
        <v>48</v>
      </c>
      <c r="C152" s="96">
        <v>0.44</v>
      </c>
      <c r="D152" s="2" t="s">
        <v>6</v>
      </c>
    </row>
    <row r="153" spans="1:23" x14ac:dyDescent="0.25">
      <c r="A153" s="166" t="s">
        <v>131</v>
      </c>
      <c r="B153" s="71" t="s">
        <v>48</v>
      </c>
      <c r="C153" s="96">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6" t="s">
        <v>111</v>
      </c>
      <c r="B156" s="71" t="s">
        <v>48</v>
      </c>
      <c r="C156" s="97">
        <v>0.28000000000000003</v>
      </c>
      <c r="D156" s="2" t="s">
        <v>6</v>
      </c>
    </row>
    <row r="157" spans="1:23" x14ac:dyDescent="0.25">
      <c r="A157" s="166" t="s">
        <v>113</v>
      </c>
      <c r="B157" s="71" t="s">
        <v>48</v>
      </c>
      <c r="C157" s="97">
        <v>0.28000000000000003</v>
      </c>
      <c r="D157" s="2" t="s">
        <v>6</v>
      </c>
    </row>
    <row r="158" spans="1:23" x14ac:dyDescent="0.25">
      <c r="A158" s="166" t="s">
        <v>115</v>
      </c>
      <c r="B158" s="71" t="s">
        <v>48</v>
      </c>
      <c r="C158" s="97" t="s">
        <v>41</v>
      </c>
      <c r="D158" s="2" t="s">
        <v>6</v>
      </c>
      <c r="O158" s="98">
        <v>0.13574660633484162</v>
      </c>
      <c r="P158" s="98"/>
      <c r="Q158" s="98">
        <v>0.5714285714285714</v>
      </c>
      <c r="R158" s="98">
        <v>0.68</v>
      </c>
      <c r="S158" s="98">
        <v>0.62727272727272732</v>
      </c>
    </row>
    <row r="159" spans="1:23" x14ac:dyDescent="0.25">
      <c r="A159" s="166" t="s">
        <v>117</v>
      </c>
      <c r="B159" s="71" t="s">
        <v>48</v>
      </c>
      <c r="C159" s="97">
        <v>0.28000000000000003</v>
      </c>
      <c r="D159" s="2" t="s">
        <v>6</v>
      </c>
      <c r="O159" s="98"/>
      <c r="P159" s="98"/>
      <c r="Q159" s="98"/>
      <c r="R159" s="98"/>
      <c r="S159" s="98"/>
    </row>
    <row r="160" spans="1:23" x14ac:dyDescent="0.25">
      <c r="A160" s="166" t="s">
        <v>119</v>
      </c>
      <c r="B160" s="71" t="s">
        <v>48</v>
      </c>
      <c r="C160" s="97" t="s">
        <v>41</v>
      </c>
      <c r="D160" s="2" t="s">
        <v>6</v>
      </c>
      <c r="O160" s="98"/>
      <c r="P160" s="98">
        <v>0.33333333333333331</v>
      </c>
      <c r="Q160" s="98"/>
      <c r="R160" s="98">
        <v>0.39130434782608697</v>
      </c>
      <c r="S160" s="98">
        <v>0.41417910447761191</v>
      </c>
    </row>
    <row r="161" spans="1:23" x14ac:dyDescent="0.25">
      <c r="A161" s="166" t="s">
        <v>121</v>
      </c>
      <c r="B161" s="71" t="s">
        <v>48</v>
      </c>
      <c r="C161" s="97">
        <v>0.28000000000000003</v>
      </c>
      <c r="D161" s="2" t="s">
        <v>6</v>
      </c>
    </row>
    <row r="162" spans="1:23" x14ac:dyDescent="0.25">
      <c r="A162" s="166" t="s">
        <v>128</v>
      </c>
      <c r="B162" s="71" t="s">
        <v>48</v>
      </c>
      <c r="C162" s="97">
        <v>0.28000000000000003</v>
      </c>
      <c r="D162" s="2" t="s">
        <v>6</v>
      </c>
    </row>
    <row r="163" spans="1:23" x14ac:dyDescent="0.25">
      <c r="A163" s="166" t="s">
        <v>132</v>
      </c>
      <c r="B163" s="71" t="s">
        <v>48</v>
      </c>
      <c r="C163" s="97">
        <v>0.28000000000000003</v>
      </c>
      <c r="D163" s="2" t="s">
        <v>6</v>
      </c>
    </row>
    <row r="164" spans="1:23" x14ac:dyDescent="0.25">
      <c r="A164" s="166" t="s">
        <v>124</v>
      </c>
      <c r="B164" s="71" t="s">
        <v>48</v>
      </c>
      <c r="C164" s="97">
        <v>0.28000000000000003</v>
      </c>
      <c r="D164" s="2" t="s">
        <v>6</v>
      </c>
    </row>
    <row r="165" spans="1:23" x14ac:dyDescent="0.25">
      <c r="A165" s="166" t="s">
        <v>125</v>
      </c>
      <c r="B165" s="71" t="s">
        <v>48</v>
      </c>
      <c r="C165" s="97">
        <v>0.28000000000000003</v>
      </c>
      <c r="D165" s="2" t="s">
        <v>6</v>
      </c>
    </row>
    <row r="166" spans="1:23" x14ac:dyDescent="0.25">
      <c r="A166" s="166" t="s">
        <v>130</v>
      </c>
      <c r="B166" s="71" t="s">
        <v>48</v>
      </c>
      <c r="C166" s="97">
        <v>0.28000000000000003</v>
      </c>
      <c r="D166" s="2" t="s">
        <v>6</v>
      </c>
    </row>
    <row r="167" spans="1:23" x14ac:dyDescent="0.25">
      <c r="A167" s="166" t="s">
        <v>131</v>
      </c>
      <c r="B167" s="71" t="s">
        <v>48</v>
      </c>
      <c r="C167" s="97">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6" t="s">
        <v>111</v>
      </c>
      <c r="B170" s="71" t="s">
        <v>48</v>
      </c>
      <c r="C170" t="str">
        <f t="shared" ref="C170:C181" si="10">IF(SUMPRODUCT(--(E170:W170&lt;&gt;""))=0,0,"N.A.")</f>
        <v>N.A.</v>
      </c>
      <c r="D170" s="2" t="s">
        <v>6</v>
      </c>
      <c r="G170" s="99">
        <v>0.64332362010897726</v>
      </c>
      <c r="H170" s="99">
        <v>0.73310362348119018</v>
      </c>
      <c r="I170" s="99">
        <v>0.75330009457571978</v>
      </c>
      <c r="J170" s="99">
        <v>0.79762529679927685</v>
      </c>
      <c r="K170" s="99"/>
      <c r="L170" s="99"/>
      <c r="M170" s="99">
        <v>0.83510363681622923</v>
      </c>
      <c r="N170" s="99">
        <v>0.88704947647767207</v>
      </c>
      <c r="O170" s="99">
        <v>0.89302372102225214</v>
      </c>
      <c r="P170" s="99"/>
      <c r="Q170" s="99">
        <v>0.87324685929371093</v>
      </c>
      <c r="R170" s="99"/>
      <c r="S170" s="99">
        <v>0.80017196367501287</v>
      </c>
      <c r="T170" s="99"/>
    </row>
    <row r="171" spans="1:23" x14ac:dyDescent="0.25">
      <c r="A171" s="166" t="s">
        <v>113</v>
      </c>
      <c r="B171" s="71" t="s">
        <v>48</v>
      </c>
      <c r="C171" t="str">
        <f t="shared" si="10"/>
        <v>N.A.</v>
      </c>
      <c r="D171" s="2" t="s">
        <v>6</v>
      </c>
      <c r="G171" s="99">
        <v>0.65180388056461958</v>
      </c>
      <c r="H171" s="99">
        <v>0.7419142728869218</v>
      </c>
      <c r="I171" s="99">
        <v>0.7614227110900238</v>
      </c>
      <c r="J171" s="99">
        <v>0.80407862093802041</v>
      </c>
      <c r="K171" s="99">
        <v>0.80233354290491499</v>
      </c>
      <c r="L171" s="99">
        <v>0.76328245967477948</v>
      </c>
      <c r="M171" s="99">
        <v>0.83510363681623001</v>
      </c>
      <c r="N171" s="99">
        <v>0.88704947647767252</v>
      </c>
      <c r="O171" s="99">
        <v>0.89302372102224892</v>
      </c>
      <c r="P171" s="99"/>
      <c r="Q171" s="99">
        <v>0.87324685929370827</v>
      </c>
      <c r="R171" s="99">
        <v>0.83536086843748614</v>
      </c>
      <c r="S171" s="99">
        <v>0.80077723747506924</v>
      </c>
      <c r="T171" s="99"/>
    </row>
    <row r="172" spans="1:23" x14ac:dyDescent="0.25">
      <c r="A172" s="166" t="s">
        <v>115</v>
      </c>
      <c r="B172" s="71" t="s">
        <v>48</v>
      </c>
      <c r="C172" t="str">
        <f t="shared" si="10"/>
        <v>N.A.</v>
      </c>
      <c r="D172" s="2" t="s">
        <v>6</v>
      </c>
      <c r="G172" s="99">
        <v>0.72955876892557192</v>
      </c>
      <c r="H172" s="99">
        <v>0.82386705687099759</v>
      </c>
      <c r="I172" s="99">
        <v>0.83658852383690352</v>
      </c>
      <c r="J172" s="99">
        <v>0.87372829006235064</v>
      </c>
      <c r="K172" s="99"/>
      <c r="L172" s="99">
        <v>0.7632824596747797</v>
      </c>
      <c r="M172" s="99"/>
      <c r="N172" s="99">
        <v>0.88704947647767518</v>
      </c>
      <c r="O172" s="99"/>
      <c r="P172" s="99"/>
      <c r="Q172" s="99">
        <v>0.87324685929370982</v>
      </c>
      <c r="R172" s="99">
        <v>0.83536086843748791</v>
      </c>
      <c r="S172" s="99">
        <v>0.80017196367501131</v>
      </c>
      <c r="T172" s="99"/>
    </row>
    <row r="173" spans="1:23" x14ac:dyDescent="0.25">
      <c r="A173" s="166" t="s">
        <v>117</v>
      </c>
      <c r="B173" s="71" t="s">
        <v>48</v>
      </c>
      <c r="C173" t="str">
        <f t="shared" si="10"/>
        <v>N.A.</v>
      </c>
      <c r="D173" s="2" t="s">
        <v>6</v>
      </c>
      <c r="G173" s="99">
        <v>0.65742998142574993</v>
      </c>
      <c r="H173" s="99">
        <v>0.74739812159799934</v>
      </c>
      <c r="I173" s="99">
        <v>0.76588638430408251</v>
      </c>
      <c r="J173" s="99">
        <v>0.80885256457891663</v>
      </c>
      <c r="K173" s="99">
        <v>0.80728241874059992</v>
      </c>
      <c r="L173" s="99">
        <v>0.7721762249158759</v>
      </c>
      <c r="M173" s="99">
        <v>0.8351036368162309</v>
      </c>
      <c r="N173" s="99">
        <v>0.88704947647767374</v>
      </c>
      <c r="O173" s="99">
        <v>0.79449317142371634</v>
      </c>
      <c r="P173" s="99"/>
      <c r="Q173" s="99">
        <v>0.87324685929371071</v>
      </c>
      <c r="R173" s="99">
        <v>0.8244910155262708</v>
      </c>
      <c r="S173" s="99">
        <v>0.80017196367501142</v>
      </c>
      <c r="T173" s="99"/>
    </row>
    <row r="174" spans="1:23" x14ac:dyDescent="0.25">
      <c r="A174" s="166" t="s">
        <v>119</v>
      </c>
      <c r="B174" s="71" t="s">
        <v>48</v>
      </c>
      <c r="C174" t="str">
        <f t="shared" si="10"/>
        <v>N.A.</v>
      </c>
      <c r="D174" s="2" t="s">
        <v>6</v>
      </c>
      <c r="G174" s="99">
        <v>0.64533582357471519</v>
      </c>
      <c r="H174" s="99">
        <v>0.73565745625713619</v>
      </c>
      <c r="I174" s="99">
        <v>0.75535991807656089</v>
      </c>
      <c r="J174" s="99">
        <v>0.79936495259573404</v>
      </c>
      <c r="K174" s="99">
        <v>0.68543616718179745</v>
      </c>
      <c r="L174" s="99">
        <v>0.76328245967477981</v>
      </c>
      <c r="M174" s="99"/>
      <c r="N174" s="99"/>
      <c r="O174" s="99">
        <v>0.89302372102224847</v>
      </c>
      <c r="P174" s="99"/>
      <c r="Q174" s="99">
        <v>0.87324685929371237</v>
      </c>
      <c r="R174" s="99">
        <v>0.83536086843748825</v>
      </c>
      <c r="S174" s="99">
        <v>0.80017196367501331</v>
      </c>
      <c r="T174" s="99"/>
    </row>
    <row r="175" spans="1:23" x14ac:dyDescent="0.25">
      <c r="A175" s="166" t="s">
        <v>121</v>
      </c>
      <c r="B175" s="71" t="s">
        <v>48</v>
      </c>
      <c r="C175" t="str">
        <f t="shared" si="10"/>
        <v>N.A.</v>
      </c>
      <c r="D175" s="2" t="s">
        <v>6</v>
      </c>
      <c r="G175" s="99">
        <v>0.64637375318676493</v>
      </c>
      <c r="H175" s="99">
        <v>0.73660366413195377</v>
      </c>
      <c r="I175" s="99">
        <v>0.75778349643452114</v>
      </c>
      <c r="J175" s="99">
        <v>0.80321786125489836</v>
      </c>
      <c r="K175" s="99"/>
      <c r="L175" s="99"/>
      <c r="M175" s="99">
        <v>0.84258756489463593</v>
      </c>
      <c r="N175" s="99"/>
      <c r="O175" s="99"/>
      <c r="P175" s="99"/>
      <c r="Q175" s="99">
        <v>0.87324685929371215</v>
      </c>
      <c r="R175" s="99">
        <v>0.8445680002544661</v>
      </c>
      <c r="S175" s="99">
        <v>0.80017196367501175</v>
      </c>
      <c r="T175" s="99"/>
    </row>
    <row r="176" spans="1:23" x14ac:dyDescent="0.25">
      <c r="A176" s="166" t="s">
        <v>128</v>
      </c>
      <c r="B176" s="71" t="s">
        <v>48</v>
      </c>
      <c r="C176" t="str">
        <f t="shared" si="10"/>
        <v>N.A.</v>
      </c>
      <c r="D176" s="2" t="s">
        <v>6</v>
      </c>
      <c r="G176" s="99">
        <v>0.64051330133789031</v>
      </c>
      <c r="H176" s="99"/>
      <c r="I176" s="99">
        <v>0.75045776156030963</v>
      </c>
      <c r="J176" s="99">
        <v>0.7948412677455331</v>
      </c>
      <c r="K176" s="99">
        <v>0.79435013553362732</v>
      </c>
      <c r="L176" s="99"/>
      <c r="M176" s="99">
        <v>0.8351036368162279</v>
      </c>
      <c r="N176" s="99">
        <v>0.88704947647767618</v>
      </c>
      <c r="O176" s="99">
        <v>0.89302372102224958</v>
      </c>
      <c r="P176" s="99"/>
      <c r="Q176" s="99">
        <v>0.87324685929371193</v>
      </c>
      <c r="R176" s="99">
        <v>0.8353608684374888</v>
      </c>
      <c r="S176" s="99">
        <v>0.80017196367501175</v>
      </c>
      <c r="T176" s="99"/>
    </row>
    <row r="177" spans="1:23" x14ac:dyDescent="0.25">
      <c r="A177" s="166" t="s">
        <v>132</v>
      </c>
      <c r="B177" s="71" t="s">
        <v>48</v>
      </c>
      <c r="C177" t="str">
        <f t="shared" si="10"/>
        <v>N.A.</v>
      </c>
      <c r="D177" s="2" t="s">
        <v>6</v>
      </c>
      <c r="G177" s="99">
        <v>0.64051330133789031</v>
      </c>
      <c r="H177" s="99"/>
      <c r="I177" s="99">
        <v>0.75045776156031041</v>
      </c>
      <c r="J177" s="99">
        <v>0.79484126774553221</v>
      </c>
      <c r="K177" s="99"/>
      <c r="L177" s="99"/>
      <c r="M177" s="99">
        <v>0.83510363681623057</v>
      </c>
      <c r="N177" s="99">
        <v>0.88704947647767463</v>
      </c>
      <c r="O177" s="99">
        <v>0.89302372102225391</v>
      </c>
      <c r="P177" s="99"/>
      <c r="Q177" s="99">
        <v>0.87324685929371204</v>
      </c>
      <c r="R177" s="99">
        <v>0.83536086843749047</v>
      </c>
      <c r="S177" s="99">
        <v>0.80017196367501298</v>
      </c>
      <c r="T177" s="99"/>
    </row>
    <row r="178" spans="1:23" x14ac:dyDescent="0.25">
      <c r="A178" s="166" t="s">
        <v>124</v>
      </c>
      <c r="B178" s="71" t="s">
        <v>48</v>
      </c>
      <c r="C178" s="100">
        <v>0.59</v>
      </c>
      <c r="D178" s="2" t="s">
        <v>6</v>
      </c>
      <c r="G178" s="99"/>
      <c r="H178" s="99"/>
      <c r="I178" s="99"/>
      <c r="J178" s="99"/>
      <c r="K178" s="99"/>
      <c r="L178" s="99"/>
      <c r="M178" s="99"/>
      <c r="N178" s="99"/>
      <c r="O178" s="99"/>
      <c r="P178" s="99"/>
      <c r="Q178" s="99"/>
      <c r="R178" s="99"/>
      <c r="S178" s="99"/>
      <c r="T178" s="99"/>
    </row>
    <row r="179" spans="1:23" x14ac:dyDescent="0.25">
      <c r="A179" s="166" t="s">
        <v>125</v>
      </c>
      <c r="B179" s="71" t="s">
        <v>48</v>
      </c>
      <c r="C179" s="100">
        <v>0.59</v>
      </c>
      <c r="D179" s="2" t="s">
        <v>6</v>
      </c>
      <c r="G179" s="99"/>
      <c r="H179" s="99"/>
      <c r="I179" s="99"/>
      <c r="J179" s="99"/>
      <c r="K179" s="99"/>
      <c r="L179" s="99"/>
      <c r="M179" s="99"/>
      <c r="N179" s="99"/>
      <c r="O179" s="99"/>
      <c r="P179" s="99"/>
      <c r="Q179" s="99"/>
      <c r="R179" s="99"/>
      <c r="S179" s="99"/>
      <c r="T179" s="99"/>
    </row>
    <row r="180" spans="1:23" x14ac:dyDescent="0.25">
      <c r="A180" s="166" t="s">
        <v>130</v>
      </c>
      <c r="B180" s="71" t="s">
        <v>48</v>
      </c>
      <c r="C180" t="str">
        <f t="shared" si="10"/>
        <v>N.A.</v>
      </c>
      <c r="D180" s="2" t="s">
        <v>6</v>
      </c>
      <c r="G180" s="99"/>
      <c r="H180" s="99"/>
      <c r="I180" s="99"/>
      <c r="J180" s="99"/>
      <c r="K180" s="99"/>
      <c r="L180" s="99"/>
      <c r="M180" s="99"/>
      <c r="N180" s="99"/>
      <c r="O180" s="99"/>
      <c r="P180" s="99"/>
      <c r="Q180" s="99"/>
      <c r="R180" s="99"/>
      <c r="S180" s="99"/>
      <c r="T180" s="99">
        <v>0.8</v>
      </c>
    </row>
    <row r="181" spans="1:23" x14ac:dyDescent="0.25">
      <c r="A181" s="166" t="s">
        <v>131</v>
      </c>
      <c r="B181" s="71" t="s">
        <v>48</v>
      </c>
      <c r="C181" t="str">
        <f t="shared" si="10"/>
        <v>N.A.</v>
      </c>
      <c r="D181" s="2" t="s">
        <v>6</v>
      </c>
      <c r="G181" s="99"/>
      <c r="H181" s="99"/>
      <c r="I181" s="99"/>
      <c r="J181" s="99"/>
      <c r="K181" s="99"/>
      <c r="L181" s="99"/>
      <c r="M181" s="99"/>
      <c r="N181" s="99"/>
      <c r="O181" s="99"/>
      <c r="P181" s="99"/>
      <c r="Q181" s="99"/>
      <c r="R181" s="99"/>
      <c r="S181" s="99"/>
      <c r="T181" s="99">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6" t="s">
        <v>111</v>
      </c>
      <c r="B184" s="71" t="s">
        <v>48</v>
      </c>
      <c r="C184" t="str">
        <f t="shared" ref="C184:C195" si="11">IF(SUMPRODUCT(--(E184:W184&lt;&gt;""))=0,0,"N.A.")</f>
        <v>N.A.</v>
      </c>
      <c r="D184" s="2" t="s">
        <v>6</v>
      </c>
      <c r="G184" s="101">
        <v>0.82399999999999995</v>
      </c>
      <c r="H184" s="101"/>
      <c r="I184" s="101"/>
      <c r="J184" s="101"/>
      <c r="K184" s="101"/>
      <c r="L184" s="101"/>
      <c r="M184" s="101"/>
      <c r="N184" s="101"/>
      <c r="O184" s="101">
        <v>0.82399999999999995</v>
      </c>
      <c r="P184" s="101">
        <v>0.871</v>
      </c>
      <c r="Q184" s="101">
        <v>0.68300000000000005</v>
      </c>
      <c r="R184" s="101"/>
      <c r="S184" s="101">
        <v>0.90300000000000002</v>
      </c>
      <c r="T184" s="101">
        <v>0.9</v>
      </c>
    </row>
    <row r="185" spans="1:23" x14ac:dyDescent="0.25">
      <c r="A185" s="166" t="s">
        <v>113</v>
      </c>
      <c r="B185" s="71" t="s">
        <v>48</v>
      </c>
      <c r="C185" t="str">
        <f t="shared" si="11"/>
        <v>N.A.</v>
      </c>
      <c r="D185" s="2" t="s">
        <v>6</v>
      </c>
      <c r="G185" s="101">
        <v>0.82399999999999995</v>
      </c>
      <c r="H185" s="101"/>
      <c r="I185" s="101"/>
      <c r="J185" s="101"/>
      <c r="K185" s="101"/>
      <c r="L185" s="101"/>
      <c r="M185" s="101"/>
      <c r="N185" s="101"/>
      <c r="O185" s="101">
        <v>0.82399999999999995</v>
      </c>
      <c r="P185" s="101">
        <v>0.871</v>
      </c>
      <c r="Q185" s="101">
        <v>0.68300000000000005</v>
      </c>
      <c r="R185" s="101"/>
      <c r="S185" s="101">
        <v>0.90300000000000002</v>
      </c>
      <c r="T185" s="101">
        <v>0.9</v>
      </c>
    </row>
    <row r="186" spans="1:23" x14ac:dyDescent="0.25">
      <c r="A186" s="166" t="s">
        <v>115</v>
      </c>
      <c r="B186" s="71" t="s">
        <v>48</v>
      </c>
      <c r="C186" t="str">
        <f t="shared" si="11"/>
        <v>N.A.</v>
      </c>
      <c r="D186" s="2" t="s">
        <v>6</v>
      </c>
      <c r="G186" s="101">
        <v>0.82399999999999995</v>
      </c>
      <c r="H186" s="101"/>
      <c r="I186" s="101"/>
      <c r="J186" s="101"/>
      <c r="K186" s="101"/>
      <c r="L186" s="101"/>
      <c r="M186" s="101"/>
      <c r="N186" s="101"/>
      <c r="O186" s="101">
        <v>0.82399999999999995</v>
      </c>
      <c r="P186" s="101">
        <v>0.871</v>
      </c>
      <c r="Q186" s="101">
        <v>0.68300000000000005</v>
      </c>
      <c r="R186" s="101"/>
      <c r="S186" s="101">
        <v>0.90300000000000002</v>
      </c>
      <c r="T186" s="101">
        <v>0.9</v>
      </c>
    </row>
    <row r="187" spans="1:23" x14ac:dyDescent="0.25">
      <c r="A187" s="166" t="s">
        <v>117</v>
      </c>
      <c r="B187" s="71" t="s">
        <v>48</v>
      </c>
      <c r="C187" t="str">
        <f t="shared" si="11"/>
        <v>N.A.</v>
      </c>
      <c r="D187" s="2" t="s">
        <v>6</v>
      </c>
      <c r="G187" s="101">
        <v>0.82399999999999995</v>
      </c>
      <c r="H187" s="101"/>
      <c r="I187" s="101"/>
      <c r="J187" s="101"/>
      <c r="K187" s="101"/>
      <c r="L187" s="101"/>
      <c r="M187" s="101"/>
      <c r="N187" s="101"/>
      <c r="O187" s="101">
        <v>0.82399999999999995</v>
      </c>
      <c r="P187" s="101">
        <v>0.871</v>
      </c>
      <c r="Q187" s="101">
        <v>0.68300000000000005</v>
      </c>
      <c r="R187" s="101"/>
      <c r="S187" s="101">
        <v>0.90300000000000002</v>
      </c>
      <c r="T187" s="101">
        <v>0.9</v>
      </c>
    </row>
    <row r="188" spans="1:23" x14ac:dyDescent="0.25">
      <c r="A188" s="166" t="s">
        <v>119</v>
      </c>
      <c r="B188" s="71" t="s">
        <v>48</v>
      </c>
      <c r="C188" t="str">
        <f t="shared" si="11"/>
        <v>N.A.</v>
      </c>
      <c r="D188" s="2" t="s">
        <v>6</v>
      </c>
      <c r="G188" s="101">
        <v>0.82399999999999995</v>
      </c>
      <c r="H188" s="101"/>
      <c r="I188" s="101"/>
      <c r="J188" s="101"/>
      <c r="K188" s="101"/>
      <c r="L188" s="101"/>
      <c r="M188" s="101"/>
      <c r="N188" s="101"/>
      <c r="O188" s="101">
        <v>0.82399999999999995</v>
      </c>
      <c r="P188" s="101">
        <v>0.871</v>
      </c>
      <c r="Q188" s="101">
        <v>0.68300000000000005</v>
      </c>
      <c r="R188" s="101"/>
      <c r="S188" s="101">
        <v>0.90300000000000002</v>
      </c>
      <c r="T188" s="101">
        <v>0.9</v>
      </c>
    </row>
    <row r="189" spans="1:23" x14ac:dyDescent="0.25">
      <c r="A189" s="166" t="s">
        <v>121</v>
      </c>
      <c r="B189" s="71" t="s">
        <v>48</v>
      </c>
      <c r="C189" t="str">
        <f t="shared" si="11"/>
        <v>N.A.</v>
      </c>
      <c r="D189" s="2" t="s">
        <v>6</v>
      </c>
      <c r="G189" s="101">
        <v>0.82399999999999995</v>
      </c>
      <c r="H189" s="101"/>
      <c r="I189" s="101"/>
      <c r="J189" s="101"/>
      <c r="K189" s="101"/>
      <c r="L189" s="101"/>
      <c r="M189" s="101"/>
      <c r="N189" s="101"/>
      <c r="O189" s="101">
        <v>0.82399999999999995</v>
      </c>
      <c r="P189" s="101">
        <v>0.871</v>
      </c>
      <c r="Q189" s="101">
        <v>0.68300000000000005</v>
      </c>
      <c r="R189" s="101"/>
      <c r="S189" s="101">
        <v>0.90300000000000002</v>
      </c>
      <c r="T189" s="101">
        <v>0.9</v>
      </c>
    </row>
    <row r="190" spans="1:23" x14ac:dyDescent="0.25">
      <c r="A190" s="166" t="s">
        <v>128</v>
      </c>
      <c r="B190" s="71" t="s">
        <v>48</v>
      </c>
      <c r="C190" t="str">
        <f t="shared" si="11"/>
        <v>N.A.</v>
      </c>
      <c r="D190" s="2" t="s">
        <v>6</v>
      </c>
      <c r="G190" s="101">
        <v>0.82399999999999995</v>
      </c>
      <c r="H190" s="101"/>
      <c r="I190" s="101"/>
      <c r="J190" s="101"/>
      <c r="K190" s="101"/>
      <c r="L190" s="101"/>
      <c r="M190" s="101"/>
      <c r="N190" s="101"/>
      <c r="O190" s="101">
        <v>0.82399999999999995</v>
      </c>
      <c r="P190" s="101">
        <v>0.871</v>
      </c>
      <c r="Q190" s="101">
        <v>0.68300000000000005</v>
      </c>
      <c r="R190" s="101"/>
      <c r="S190" s="101">
        <v>0.90300000000000002</v>
      </c>
      <c r="T190" s="101">
        <v>0.9</v>
      </c>
    </row>
    <row r="191" spans="1:23" x14ac:dyDescent="0.25">
      <c r="A191" s="166" t="s">
        <v>132</v>
      </c>
      <c r="B191" s="71" t="s">
        <v>48</v>
      </c>
      <c r="C191" t="str">
        <f t="shared" si="11"/>
        <v>N.A.</v>
      </c>
      <c r="D191" s="2" t="s">
        <v>6</v>
      </c>
      <c r="G191" s="101">
        <v>0.82399999999999995</v>
      </c>
      <c r="H191" s="101"/>
      <c r="I191" s="101"/>
      <c r="J191" s="101"/>
      <c r="K191" s="101"/>
      <c r="L191" s="101"/>
      <c r="M191" s="101"/>
      <c r="N191" s="101"/>
      <c r="O191" s="101">
        <v>0.82399999999999995</v>
      </c>
      <c r="P191" s="101">
        <v>0.871</v>
      </c>
      <c r="Q191" s="101">
        <v>0.68300000000000005</v>
      </c>
      <c r="R191" s="101"/>
      <c r="S191" s="101">
        <v>0.90300000000000002</v>
      </c>
      <c r="T191" s="101">
        <v>0.9</v>
      </c>
    </row>
    <row r="192" spans="1:23" x14ac:dyDescent="0.25">
      <c r="A192" s="166" t="s">
        <v>124</v>
      </c>
      <c r="B192" s="71" t="s">
        <v>48</v>
      </c>
      <c r="C192" s="103">
        <v>0.59</v>
      </c>
      <c r="D192" s="2" t="s">
        <v>6</v>
      </c>
      <c r="G192" s="101"/>
      <c r="H192" s="101"/>
      <c r="I192" s="101"/>
      <c r="J192" s="101"/>
      <c r="K192" s="101"/>
      <c r="L192" s="101"/>
      <c r="M192" s="101"/>
      <c r="N192" s="101"/>
      <c r="O192" s="101"/>
      <c r="P192" s="101"/>
      <c r="Q192" s="101"/>
      <c r="R192" s="101"/>
      <c r="S192" s="101"/>
      <c r="T192" s="101"/>
    </row>
    <row r="193" spans="1:23" x14ac:dyDescent="0.25">
      <c r="A193" s="166" t="s">
        <v>125</v>
      </c>
      <c r="B193" s="71" t="s">
        <v>48</v>
      </c>
      <c r="C193" s="103">
        <v>0.59</v>
      </c>
      <c r="D193" s="2" t="s">
        <v>6</v>
      </c>
      <c r="G193" s="101"/>
      <c r="H193" s="101"/>
      <c r="I193" s="101"/>
      <c r="J193" s="101"/>
      <c r="K193" s="101"/>
      <c r="L193" s="101"/>
      <c r="M193" s="101"/>
      <c r="N193" s="101"/>
      <c r="O193" s="101"/>
      <c r="P193" s="101"/>
      <c r="Q193" s="101"/>
      <c r="R193" s="101"/>
      <c r="S193" s="101"/>
      <c r="T193" s="101"/>
    </row>
    <row r="194" spans="1:23" x14ac:dyDescent="0.25">
      <c r="A194" s="166" t="s">
        <v>130</v>
      </c>
      <c r="B194" s="71" t="s">
        <v>48</v>
      </c>
      <c r="C194" t="str">
        <f t="shared" si="11"/>
        <v>N.A.</v>
      </c>
      <c r="D194" s="2" t="s">
        <v>6</v>
      </c>
      <c r="G194" s="101"/>
      <c r="H194" s="101"/>
      <c r="I194" s="101"/>
      <c r="J194" s="101"/>
      <c r="K194" s="101"/>
      <c r="L194" s="101"/>
      <c r="M194" s="101"/>
      <c r="N194" s="101"/>
      <c r="O194" s="101"/>
      <c r="P194" s="101"/>
      <c r="Q194" s="101"/>
      <c r="R194" s="101"/>
      <c r="S194" s="101"/>
      <c r="T194" s="102">
        <v>0.93759999999999999</v>
      </c>
    </row>
    <row r="195" spans="1:23" x14ac:dyDescent="0.25">
      <c r="A195" s="166" t="s">
        <v>131</v>
      </c>
      <c r="B195" s="71" t="s">
        <v>48</v>
      </c>
      <c r="C195" t="str">
        <f t="shared" si="11"/>
        <v>N.A.</v>
      </c>
      <c r="D195" s="2" t="s">
        <v>6</v>
      </c>
      <c r="G195" s="101"/>
      <c r="H195" s="101"/>
      <c r="I195" s="101"/>
      <c r="J195" s="101"/>
      <c r="K195" s="101"/>
      <c r="L195" s="101"/>
      <c r="M195" s="101"/>
      <c r="N195" s="101"/>
      <c r="O195" s="101"/>
      <c r="P195" s="101"/>
      <c r="Q195" s="101"/>
      <c r="R195" s="101"/>
      <c r="S195" s="101"/>
      <c r="T195" s="101">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6" t="s">
        <v>111</v>
      </c>
      <c r="B198" s="71" t="s">
        <v>48</v>
      </c>
      <c r="C198" t="str">
        <f t="shared" ref="C198:C205" si="12">IF(SUMPRODUCT(--(E198:W198&lt;&gt;""))=0,0,"N.A.")</f>
        <v>N.A.</v>
      </c>
      <c r="D198" s="2" t="s">
        <v>6</v>
      </c>
      <c r="H198" s="104">
        <v>0.12690191000323731</v>
      </c>
      <c r="I198" s="104">
        <v>0.1290866194809572</v>
      </c>
      <c r="J198" s="104"/>
      <c r="K198" s="104"/>
      <c r="L198" s="104">
        <v>0.11751930501930502</v>
      </c>
      <c r="M198" s="104"/>
      <c r="N198" s="104">
        <v>8.7855297157622733E-2</v>
      </c>
      <c r="O198" s="104">
        <v>8.0291970802919707E-2</v>
      </c>
      <c r="P198" s="104">
        <v>4.9977688531905401E-2</v>
      </c>
      <c r="Q198" s="104">
        <v>5.0980392156862744E-2</v>
      </c>
      <c r="R198" s="104">
        <v>5.4147772739397172E-2</v>
      </c>
      <c r="S198" s="104">
        <v>5.0324675324675328E-2</v>
      </c>
      <c r="T198" s="104">
        <v>4.1752224503764541E-2</v>
      </c>
    </row>
    <row r="199" spans="1:23" x14ac:dyDescent="0.25">
      <c r="A199" s="166" t="s">
        <v>113</v>
      </c>
      <c r="B199" s="71" t="s">
        <v>48</v>
      </c>
      <c r="C199" t="str">
        <f t="shared" si="12"/>
        <v>N.A.</v>
      </c>
      <c r="D199" s="2" t="s">
        <v>6</v>
      </c>
      <c r="H199" s="104">
        <v>0.1133879781420765</v>
      </c>
      <c r="I199" s="104">
        <v>0.11237298266586969</v>
      </c>
      <c r="J199" s="104"/>
      <c r="K199" s="104"/>
      <c r="L199" s="104">
        <v>8.8495575221238937E-2</v>
      </c>
      <c r="M199" s="104"/>
      <c r="N199" s="104">
        <v>8.75405280222325E-2</v>
      </c>
      <c r="O199" s="104"/>
      <c r="P199" s="104">
        <v>4.1591320072332731E-2</v>
      </c>
      <c r="Q199" s="104">
        <v>3.834355828220859E-2</v>
      </c>
      <c r="R199" s="104">
        <v>4.4099378881987575E-2</v>
      </c>
      <c r="S199" s="104">
        <v>3.9321511179645337E-2</v>
      </c>
      <c r="T199" s="104">
        <v>3.5859820700896494E-2</v>
      </c>
    </row>
    <row r="200" spans="1:23" x14ac:dyDescent="0.25">
      <c r="A200" s="166" t="s">
        <v>115</v>
      </c>
      <c r="B200" s="71" t="s">
        <v>48</v>
      </c>
      <c r="C200" t="str">
        <f t="shared" si="12"/>
        <v>N.A.</v>
      </c>
      <c r="D200" s="2" t="s">
        <v>6</v>
      </c>
      <c r="H200" s="104">
        <v>0.15780842091170763</v>
      </c>
      <c r="I200" s="104">
        <v>0.13122721749696234</v>
      </c>
      <c r="J200" s="104"/>
      <c r="K200" s="104"/>
      <c r="L200" s="104">
        <v>0.12801951420260921</v>
      </c>
      <c r="M200" s="104"/>
      <c r="N200" s="104">
        <v>0.11693734518564772</v>
      </c>
      <c r="O200" s="104"/>
      <c r="P200" s="104"/>
      <c r="Q200" s="104">
        <v>8.7488316109183964E-2</v>
      </c>
      <c r="R200" s="104">
        <v>7.6886747284385951E-2</v>
      </c>
      <c r="S200" s="104">
        <v>6.9641955504940248E-2</v>
      </c>
      <c r="T200" s="104">
        <v>6.9810943466733361E-2</v>
      </c>
    </row>
    <row r="201" spans="1:23" x14ac:dyDescent="0.25">
      <c r="A201" s="166" t="s">
        <v>117</v>
      </c>
      <c r="B201" s="71" t="s">
        <v>48</v>
      </c>
      <c r="C201" t="str">
        <f t="shared" si="12"/>
        <v>N.A.</v>
      </c>
      <c r="D201" s="2" t="s">
        <v>6</v>
      </c>
      <c r="H201" s="104">
        <v>0.1333333333333333</v>
      </c>
      <c r="I201" s="104">
        <v>0.10920770877944322</v>
      </c>
      <c r="J201" s="104"/>
      <c r="K201" s="104">
        <v>0.10461538461538462</v>
      </c>
      <c r="L201" s="104">
        <v>0.10574765626588756</v>
      </c>
      <c r="M201" s="104"/>
      <c r="N201" s="104">
        <v>0.10023373932599088</v>
      </c>
      <c r="O201" s="104"/>
      <c r="P201" s="104">
        <v>7.9566258273482598E-2</v>
      </c>
      <c r="Q201" s="104">
        <v>6.3890405467977918E-2</v>
      </c>
      <c r="R201" s="104">
        <v>7.7663265401036199E-2</v>
      </c>
      <c r="S201" s="104">
        <v>6.7228847400140485E-2</v>
      </c>
      <c r="T201" s="104">
        <v>4.3518375341477247E-2</v>
      </c>
    </row>
    <row r="202" spans="1:23" x14ac:dyDescent="0.25">
      <c r="A202" s="166" t="s">
        <v>119</v>
      </c>
      <c r="B202" s="71" t="s">
        <v>48</v>
      </c>
      <c r="C202" t="str">
        <f t="shared" si="12"/>
        <v>N.A.</v>
      </c>
      <c r="D202" s="2" t="s">
        <v>6</v>
      </c>
      <c r="H202" s="104">
        <v>0.15783623078369768</v>
      </c>
      <c r="I202" s="104">
        <v>0.13125925929346685</v>
      </c>
      <c r="J202" s="104">
        <v>0.11387649433581779</v>
      </c>
      <c r="K202" s="104">
        <v>0.11538287201108939</v>
      </c>
      <c r="L202" s="104">
        <v>0.12754313300908782</v>
      </c>
      <c r="M202" s="104">
        <v>0.10388573183873054</v>
      </c>
      <c r="N202" s="104">
        <v>0.11895971196237486</v>
      </c>
      <c r="O202" s="104">
        <v>0.12344685515806607</v>
      </c>
      <c r="P202" s="104">
        <v>0.10868301378108965</v>
      </c>
      <c r="Q202" s="104">
        <v>9.560733710659218E-2</v>
      </c>
      <c r="R202" s="104">
        <v>8.213988447690064E-2</v>
      </c>
      <c r="S202" s="104">
        <v>7.1167404435899306E-2</v>
      </c>
      <c r="T202" s="104">
        <v>6.8420760896606897E-2</v>
      </c>
    </row>
    <row r="203" spans="1:23" x14ac:dyDescent="0.25">
      <c r="A203" s="166" t="s">
        <v>121</v>
      </c>
      <c r="B203" s="71" t="s">
        <v>48</v>
      </c>
      <c r="C203" t="str">
        <f t="shared" si="12"/>
        <v>N.A.</v>
      </c>
      <c r="D203" s="2" t="s">
        <v>6</v>
      </c>
      <c r="H203" s="104">
        <v>0.13333333333333333</v>
      </c>
      <c r="I203" s="104">
        <v>0.10920770877944325</v>
      </c>
      <c r="J203" s="104">
        <v>8.2812499999999997E-2</v>
      </c>
      <c r="K203" s="104">
        <v>0.10461538461538464</v>
      </c>
      <c r="L203" s="104">
        <v>0.10877457573095552</v>
      </c>
      <c r="M203" s="104">
        <v>5.8973365187897579E-2</v>
      </c>
      <c r="N203" s="104">
        <v>0.11554136323801989</v>
      </c>
      <c r="O203" s="104">
        <v>9.1344647246847113E-2</v>
      </c>
      <c r="P203" s="104">
        <v>7.3647333952645708E-2</v>
      </c>
      <c r="Q203" s="104">
        <v>7.6155286776611444E-2</v>
      </c>
      <c r="R203" s="104">
        <v>5.856099540167703E-2</v>
      </c>
      <c r="S203" s="104">
        <v>6.5839305482724458E-2</v>
      </c>
      <c r="T203" s="104">
        <v>4.8122548616253875E-2</v>
      </c>
    </row>
    <row r="204" spans="1:23" x14ac:dyDescent="0.25">
      <c r="A204" s="166" t="s">
        <v>128</v>
      </c>
      <c r="B204" s="71" t="s">
        <v>48</v>
      </c>
      <c r="C204" t="str">
        <f t="shared" si="12"/>
        <v>N.A.</v>
      </c>
      <c r="D204" s="2" t="s">
        <v>6</v>
      </c>
      <c r="H204" s="104">
        <v>0.38012958963282939</v>
      </c>
      <c r="I204" s="104">
        <v>0.34711964549483015</v>
      </c>
      <c r="J204" s="104"/>
      <c r="K204" s="104"/>
      <c r="L204" s="104">
        <v>0.10393258426966293</v>
      </c>
      <c r="M204" s="104"/>
      <c r="N204" s="104"/>
      <c r="O204" s="104"/>
      <c r="P204" s="104">
        <v>4.0316346554082186E-2</v>
      </c>
      <c r="Q204" s="104">
        <v>4.98776268039497E-2</v>
      </c>
      <c r="R204" s="104"/>
      <c r="S204" s="104">
        <v>4.8024732147071314E-2</v>
      </c>
      <c r="T204" s="104">
        <v>3.4267026873311526E-2</v>
      </c>
    </row>
    <row r="205" spans="1:23" x14ac:dyDescent="0.25">
      <c r="A205" s="166" t="s">
        <v>132</v>
      </c>
      <c r="B205" s="71" t="s">
        <v>48</v>
      </c>
      <c r="C205" t="str">
        <f t="shared" si="12"/>
        <v>N.A.</v>
      </c>
      <c r="D205" s="2" t="s">
        <v>6</v>
      </c>
      <c r="H205" s="104">
        <v>0.38012958963282939</v>
      </c>
      <c r="I205" s="104">
        <v>0.3471196454948301</v>
      </c>
      <c r="J205" s="104"/>
      <c r="K205" s="104"/>
      <c r="L205" s="104"/>
      <c r="M205" s="104">
        <v>0.17735495168108789</v>
      </c>
      <c r="N205" s="104">
        <v>0.11118230299264784</v>
      </c>
      <c r="O205" s="104">
        <v>0.1021170703273874</v>
      </c>
      <c r="P205" s="104"/>
      <c r="Q205" s="104"/>
      <c r="R205" s="104"/>
      <c r="S205" s="104">
        <v>9.3275464708036271E-2</v>
      </c>
      <c r="T205" s="104">
        <v>4.5643939393939396E-2</v>
      </c>
    </row>
    <row r="206" spans="1:23" x14ac:dyDescent="0.25">
      <c r="A206" s="166" t="s">
        <v>124</v>
      </c>
      <c r="B206" s="71" t="s">
        <v>48</v>
      </c>
      <c r="C206" s="105">
        <v>0.05</v>
      </c>
      <c r="D206" s="2" t="s">
        <v>6</v>
      </c>
    </row>
    <row r="207" spans="1:23" x14ac:dyDescent="0.25">
      <c r="A207" s="166" t="s">
        <v>125</v>
      </c>
      <c r="B207" s="71" t="s">
        <v>48</v>
      </c>
      <c r="C207" s="105">
        <v>0.05</v>
      </c>
      <c r="D207" s="2" t="s">
        <v>6</v>
      </c>
    </row>
    <row r="208" spans="1:23" x14ac:dyDescent="0.25">
      <c r="A208" s="166" t="s">
        <v>130</v>
      </c>
      <c r="B208" s="71" t="s">
        <v>48</v>
      </c>
      <c r="C208" s="105">
        <v>0.05</v>
      </c>
      <c r="D208" s="2" t="s">
        <v>6</v>
      </c>
    </row>
    <row r="209" spans="1:23" x14ac:dyDescent="0.25">
      <c r="A209" s="166" t="s">
        <v>131</v>
      </c>
      <c r="B209" s="71" t="s">
        <v>48</v>
      </c>
      <c r="C209" s="105">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6" t="s">
        <v>111</v>
      </c>
      <c r="B212" s="71" t="s">
        <v>48</v>
      </c>
      <c r="C212" t="str">
        <f t="shared" ref="C212:C219" si="13">IF(SUMPRODUCT(--(E212:W212&lt;&gt;""))=0,0,"N.A.")</f>
        <v>N.A.</v>
      </c>
      <c r="D212" s="2" t="s">
        <v>6</v>
      </c>
      <c r="H212" s="106">
        <v>0.83004208481709296</v>
      </c>
      <c r="I212" s="106">
        <v>0.82002022244691608</v>
      </c>
      <c r="J212" s="106">
        <v>0.88652482269503541</v>
      </c>
      <c r="K212" s="106">
        <v>0.87963843958135113</v>
      </c>
      <c r="L212" s="106">
        <v>0.84242277992277992</v>
      </c>
      <c r="M212" s="106">
        <v>0.89597086273617121</v>
      </c>
      <c r="N212" s="106">
        <v>0.88771435283063194</v>
      </c>
      <c r="O212" s="106">
        <v>0.90208910143468413</v>
      </c>
      <c r="P212" s="106">
        <v>0.93596608656849622</v>
      </c>
      <c r="Q212" s="106">
        <v>0.93568627450980391</v>
      </c>
      <c r="R212" s="106">
        <v>0.93331555081355033</v>
      </c>
      <c r="S212" s="106">
        <v>0.93733766233766236</v>
      </c>
      <c r="T212" s="106">
        <v>0.94558521560574949</v>
      </c>
    </row>
    <row r="213" spans="1:23" x14ac:dyDescent="0.25">
      <c r="A213" s="166" t="s">
        <v>113</v>
      </c>
      <c r="B213" s="71" t="s">
        <v>48</v>
      </c>
      <c r="C213" t="str">
        <f t="shared" si="13"/>
        <v>N.A.</v>
      </c>
      <c r="D213" s="2" t="s">
        <v>6</v>
      </c>
      <c r="H213" s="106">
        <v>0.85314207650273222</v>
      </c>
      <c r="I213" s="106">
        <v>0.83263598326359833</v>
      </c>
      <c r="J213" s="106">
        <v>0.89219330855018586</v>
      </c>
      <c r="K213" s="106">
        <v>0.873269435569755</v>
      </c>
      <c r="L213" s="106">
        <v>0.87610619469026552</v>
      </c>
      <c r="M213" s="106">
        <v>0.90651307044749663</v>
      </c>
      <c r="N213" s="106">
        <v>0.88559518295507178</v>
      </c>
      <c r="O213" s="106">
        <v>0.89358528095474887</v>
      </c>
      <c r="P213" s="106">
        <v>0.93761301989150092</v>
      </c>
      <c r="Q213" s="106">
        <v>0.94734151329243355</v>
      </c>
      <c r="R213" s="106">
        <v>0.94099378881987583</v>
      </c>
      <c r="S213" s="106">
        <v>0.93754818812644569</v>
      </c>
      <c r="T213" s="106">
        <v>0.93887530562347188</v>
      </c>
    </row>
    <row r="214" spans="1:23" x14ac:dyDescent="0.25">
      <c r="A214" s="166" t="s">
        <v>115</v>
      </c>
      <c r="B214" s="71" t="s">
        <v>48</v>
      </c>
      <c r="C214" t="str">
        <f t="shared" si="13"/>
        <v>N.A.</v>
      </c>
      <c r="D214" s="2" t="s">
        <v>6</v>
      </c>
      <c r="H214" s="106">
        <v>0.72421179463150154</v>
      </c>
      <c r="I214" s="106">
        <v>0.74295261239368171</v>
      </c>
      <c r="J214" s="106">
        <v>0.75441127224955573</v>
      </c>
      <c r="K214" s="106">
        <v>0.76850747270232711</v>
      </c>
      <c r="L214" s="106">
        <v>0.76313932399588613</v>
      </c>
      <c r="M214" s="106">
        <v>0.81120008641523145</v>
      </c>
      <c r="N214" s="106">
        <v>0.81736360284413834</v>
      </c>
      <c r="O214" s="106">
        <v>0.82369956980646253</v>
      </c>
      <c r="P214" s="106">
        <v>0.83941445019082661</v>
      </c>
      <c r="Q214" s="106">
        <v>0.87059440009749156</v>
      </c>
      <c r="R214" s="106">
        <v>0.88368562949790774</v>
      </c>
      <c r="S214" s="106">
        <v>0.89042121466047164</v>
      </c>
      <c r="T214" s="106">
        <v>0.89233197402238951</v>
      </c>
    </row>
    <row r="215" spans="1:23" x14ac:dyDescent="0.25">
      <c r="A215" s="166" t="s">
        <v>117</v>
      </c>
      <c r="B215" s="71" t="s">
        <v>48</v>
      </c>
      <c r="C215" t="str">
        <f t="shared" si="13"/>
        <v>N.A.</v>
      </c>
      <c r="D215" s="2" t="s">
        <v>6</v>
      </c>
      <c r="H215" s="106">
        <v>0.62666666666666659</v>
      </c>
      <c r="I215" s="106">
        <v>0.65952890792291208</v>
      </c>
      <c r="J215" s="106">
        <v>0.69531250000000011</v>
      </c>
      <c r="K215" s="106">
        <v>0.66</v>
      </c>
      <c r="L215" s="106">
        <v>0.67997098718148585</v>
      </c>
      <c r="M215" s="106">
        <v>0.73061564869581486</v>
      </c>
      <c r="N215" s="106">
        <v>0.69669415894621212</v>
      </c>
      <c r="O215" s="106">
        <v>0.72554870627036794</v>
      </c>
      <c r="P215" s="106">
        <v>0.73314310383437098</v>
      </c>
      <c r="Q215" s="106">
        <v>0.76062737997332364</v>
      </c>
      <c r="R215" s="106">
        <v>0.73594458758491521</v>
      </c>
      <c r="S215" s="106">
        <v>0.7235599778025279</v>
      </c>
      <c r="T215" s="106">
        <v>0.78871192206587293</v>
      </c>
    </row>
    <row r="216" spans="1:23" x14ac:dyDescent="0.25">
      <c r="A216" s="166" t="s">
        <v>119</v>
      </c>
      <c r="B216" s="71" t="s">
        <v>48</v>
      </c>
      <c r="C216" t="str">
        <f t="shared" si="13"/>
        <v>N.A.</v>
      </c>
      <c r="D216" s="2" t="s">
        <v>6</v>
      </c>
      <c r="H216" s="106">
        <v>0.72419357296361586</v>
      </c>
      <c r="I216" s="106">
        <v>0.74292521105595766</v>
      </c>
      <c r="J216" s="106">
        <v>0.75440303995861979</v>
      </c>
      <c r="K216" s="106">
        <v>0.76836350816045251</v>
      </c>
      <c r="L216" s="106">
        <v>0.75982423581627967</v>
      </c>
      <c r="M216" s="106">
        <v>0.78878984775300964</v>
      </c>
      <c r="N216" s="106">
        <v>0.78917336691740736</v>
      </c>
      <c r="O216" s="106">
        <v>0.79504524336435856</v>
      </c>
      <c r="P216" s="106">
        <v>0.80837059964261437</v>
      </c>
      <c r="Q216" s="106">
        <v>0.82161975483086058</v>
      </c>
      <c r="R216" s="106">
        <v>0.84111640809153621</v>
      </c>
      <c r="S216" s="106">
        <v>0.85684661068530654</v>
      </c>
      <c r="T216" s="106">
        <v>0.85642224443745063</v>
      </c>
    </row>
    <row r="217" spans="1:23" x14ac:dyDescent="0.25">
      <c r="A217" s="166" t="s">
        <v>121</v>
      </c>
      <c r="B217" s="71" t="s">
        <v>48</v>
      </c>
      <c r="C217" t="str">
        <f t="shared" si="13"/>
        <v>N.A.</v>
      </c>
      <c r="D217" s="2" t="s">
        <v>6</v>
      </c>
      <c r="H217" s="106">
        <v>0.62666666666666671</v>
      </c>
      <c r="I217" s="106">
        <v>0.65952890792291208</v>
      </c>
      <c r="J217" s="106">
        <v>0.6953125</v>
      </c>
      <c r="K217" s="106">
        <v>0.66000000000000014</v>
      </c>
      <c r="L217" s="106">
        <v>0.66054848548454392</v>
      </c>
      <c r="M217" s="106">
        <v>0.70566344071715192</v>
      </c>
      <c r="N217" s="106">
        <v>0.69205385325298785</v>
      </c>
      <c r="O217" s="106">
        <v>0.74366116755687717</v>
      </c>
      <c r="P217" s="106">
        <v>0.74516682149476132</v>
      </c>
      <c r="Q217" s="106">
        <v>0.69956836600533523</v>
      </c>
      <c r="R217" s="106">
        <v>0.71486299292628741</v>
      </c>
      <c r="S217" s="106">
        <v>0.6988538467300921</v>
      </c>
      <c r="T217" s="106">
        <v>0.70846704517403114</v>
      </c>
    </row>
    <row r="218" spans="1:23" x14ac:dyDescent="0.25">
      <c r="A218" s="166" t="s">
        <v>128</v>
      </c>
      <c r="B218" s="71" t="s">
        <v>48</v>
      </c>
      <c r="C218" t="str">
        <f t="shared" si="13"/>
        <v>N.A.</v>
      </c>
      <c r="D218" s="2" t="s">
        <v>6</v>
      </c>
      <c r="H218" s="106">
        <v>0.54211663066954641</v>
      </c>
      <c r="I218" s="106">
        <v>0.55391432791728212</v>
      </c>
      <c r="J218" s="106"/>
      <c r="K218" s="106"/>
      <c r="L218" s="106"/>
      <c r="M218" s="106">
        <v>0.71724951656779534</v>
      </c>
      <c r="N218" s="106"/>
      <c r="O218" s="106">
        <v>0.87209982452719825</v>
      </c>
      <c r="P218" s="106">
        <v>0.93607658916572534</v>
      </c>
      <c r="Q218" s="106">
        <v>0.92117478268208308</v>
      </c>
      <c r="R218" s="106"/>
      <c r="S218" s="106">
        <v>0.95197526785292863</v>
      </c>
      <c r="T218" s="106">
        <v>0.95205933930518016</v>
      </c>
    </row>
    <row r="219" spans="1:23" x14ac:dyDescent="0.25">
      <c r="A219" s="166" t="s">
        <v>132</v>
      </c>
      <c r="B219" s="71" t="s">
        <v>48</v>
      </c>
      <c r="C219" t="str">
        <f t="shared" si="13"/>
        <v>N.A.</v>
      </c>
      <c r="D219" s="2" t="s">
        <v>6</v>
      </c>
      <c r="H219" s="106">
        <v>0.54211663066954652</v>
      </c>
      <c r="I219" s="106">
        <v>0.55391432791728201</v>
      </c>
      <c r="J219" s="106"/>
      <c r="K219" s="106"/>
      <c r="L219" s="106"/>
      <c r="M219" s="106">
        <v>0.71572068078746287</v>
      </c>
      <c r="N219" s="106">
        <v>0.79472144558351454</v>
      </c>
      <c r="O219" s="106">
        <v>0.82275047266042423</v>
      </c>
      <c r="P219" s="106">
        <v>0.84013077386714397</v>
      </c>
      <c r="Q219" s="106">
        <v>0.85820257562805047</v>
      </c>
      <c r="R219" s="106"/>
      <c r="S219" s="106">
        <v>0.85324272513838928</v>
      </c>
      <c r="T219" s="106">
        <v>0.9064078282828284</v>
      </c>
    </row>
    <row r="220" spans="1:23" x14ac:dyDescent="0.25">
      <c r="A220" s="166" t="s">
        <v>124</v>
      </c>
      <c r="B220" s="71" t="s">
        <v>48</v>
      </c>
      <c r="C220" s="107">
        <v>0.83</v>
      </c>
      <c r="D220" s="2" t="s">
        <v>6</v>
      </c>
    </row>
    <row r="221" spans="1:23" x14ac:dyDescent="0.25">
      <c r="A221" s="166" t="s">
        <v>125</v>
      </c>
      <c r="B221" s="71" t="s">
        <v>48</v>
      </c>
      <c r="C221" s="107">
        <v>0.83</v>
      </c>
      <c r="D221" s="2" t="s">
        <v>6</v>
      </c>
    </row>
    <row r="222" spans="1:23" x14ac:dyDescent="0.25">
      <c r="A222" s="166" t="s">
        <v>130</v>
      </c>
      <c r="B222" s="71" t="s">
        <v>48</v>
      </c>
      <c r="C222" s="107">
        <v>0.83</v>
      </c>
      <c r="D222" s="2" t="s">
        <v>6</v>
      </c>
    </row>
    <row r="223" spans="1:23" x14ac:dyDescent="0.25">
      <c r="A223" s="166" t="s">
        <v>131</v>
      </c>
      <c r="B223" s="71" t="s">
        <v>48</v>
      </c>
      <c r="C223" s="107">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6" t="s">
        <v>111</v>
      </c>
      <c r="B226" s="71" t="s">
        <v>48</v>
      </c>
      <c r="C226" t="str">
        <f t="shared" ref="C226:C237" si="14">IF(SUMPRODUCT(--(E226:W226&lt;&gt;""))=0,0,"N.A.")</f>
        <v>N.A.</v>
      </c>
      <c r="D226" s="2" t="s">
        <v>6</v>
      </c>
      <c r="L226" s="108"/>
      <c r="M226" s="108">
        <v>0.83510363681623001</v>
      </c>
      <c r="N226" s="108">
        <v>0.88704947647767307</v>
      </c>
      <c r="O226" s="108">
        <v>0.89302372102225114</v>
      </c>
      <c r="P226" s="108"/>
      <c r="Q226" s="108">
        <v>0.87324685929371082</v>
      </c>
      <c r="R226" s="108"/>
      <c r="S226" s="108">
        <v>0.80017196367501175</v>
      </c>
      <c r="T226" s="108"/>
    </row>
    <row r="227" spans="1:23" x14ac:dyDescent="0.25">
      <c r="A227" s="166" t="s">
        <v>113</v>
      </c>
      <c r="B227" s="71" t="s">
        <v>48</v>
      </c>
      <c r="C227" t="str">
        <f t="shared" si="14"/>
        <v>N.A.</v>
      </c>
      <c r="D227" s="2" t="s">
        <v>6</v>
      </c>
      <c r="L227" s="108">
        <v>0.76328245967477981</v>
      </c>
      <c r="M227" s="108">
        <v>0.83510363681623001</v>
      </c>
      <c r="N227" s="108">
        <v>0.88704947647767274</v>
      </c>
      <c r="O227" s="108">
        <v>0.89302372102225103</v>
      </c>
      <c r="P227" s="108"/>
      <c r="Q227" s="108">
        <v>0.87324685929371071</v>
      </c>
      <c r="R227" s="108">
        <v>0.83536086843748891</v>
      </c>
      <c r="S227" s="108">
        <v>0.80077723747506868</v>
      </c>
      <c r="T227" s="108"/>
    </row>
    <row r="228" spans="1:23" x14ac:dyDescent="0.25">
      <c r="A228" s="166" t="s">
        <v>115</v>
      </c>
      <c r="B228" s="71" t="s">
        <v>48</v>
      </c>
      <c r="C228" t="str">
        <f t="shared" si="14"/>
        <v>N.A.</v>
      </c>
      <c r="D228" s="2" t="s">
        <v>6</v>
      </c>
      <c r="L228" s="108">
        <v>0.76328245967477992</v>
      </c>
      <c r="M228" s="108"/>
      <c r="N228" s="108">
        <v>0.88704947647767318</v>
      </c>
      <c r="O228" s="108"/>
      <c r="P228" s="108"/>
      <c r="Q228" s="108">
        <v>0.87324685929371049</v>
      </c>
      <c r="R228" s="108">
        <v>0.83536086843748902</v>
      </c>
      <c r="S228" s="108">
        <v>0.80017196367501198</v>
      </c>
      <c r="T228" s="108"/>
    </row>
    <row r="229" spans="1:23" x14ac:dyDescent="0.25">
      <c r="A229" s="166" t="s">
        <v>117</v>
      </c>
      <c r="B229" s="71" t="s">
        <v>48</v>
      </c>
      <c r="C229" t="str">
        <f t="shared" si="14"/>
        <v>N.A.</v>
      </c>
      <c r="D229" s="2" t="s">
        <v>6</v>
      </c>
      <c r="L229" s="108"/>
      <c r="M229" s="108">
        <v>0.83510363681623012</v>
      </c>
      <c r="N229" s="108">
        <v>0.88704947647767296</v>
      </c>
      <c r="O229" s="108"/>
      <c r="P229" s="108"/>
      <c r="Q229" s="108">
        <v>0.87324685929371082</v>
      </c>
      <c r="R229" s="108"/>
      <c r="S229" s="108">
        <v>0.80017196367501198</v>
      </c>
      <c r="T229" s="108"/>
    </row>
    <row r="230" spans="1:23" x14ac:dyDescent="0.25">
      <c r="A230" s="166" t="s">
        <v>119</v>
      </c>
      <c r="B230" s="71" t="s">
        <v>48</v>
      </c>
      <c r="C230" t="str">
        <f t="shared" si="14"/>
        <v>N.A.</v>
      </c>
      <c r="D230" s="2" t="s">
        <v>6</v>
      </c>
      <c r="L230" s="108">
        <v>0.7632824596747797</v>
      </c>
      <c r="M230" s="108"/>
      <c r="N230" s="108"/>
      <c r="O230" s="108">
        <v>0.89302372102225092</v>
      </c>
      <c r="P230" s="108"/>
      <c r="Q230" s="108">
        <v>0.87324685929371049</v>
      </c>
      <c r="R230" s="108">
        <v>0.83536086843748913</v>
      </c>
      <c r="S230" s="108">
        <v>0.80017196367501153</v>
      </c>
      <c r="T230" s="108"/>
    </row>
    <row r="231" spans="1:23" x14ac:dyDescent="0.25">
      <c r="A231" s="166" t="s">
        <v>121</v>
      </c>
      <c r="B231" s="71" t="s">
        <v>48</v>
      </c>
      <c r="C231" t="str">
        <f t="shared" si="14"/>
        <v>N.A.</v>
      </c>
      <c r="D231" s="2" t="s">
        <v>6</v>
      </c>
      <c r="L231" s="108"/>
      <c r="M231" s="108"/>
      <c r="N231" s="108"/>
      <c r="O231" s="108"/>
      <c r="P231" s="108"/>
      <c r="Q231" s="108">
        <v>0.87324685929371082</v>
      </c>
      <c r="R231" s="108"/>
      <c r="S231" s="108">
        <v>0.80017196367501198</v>
      </c>
      <c r="T231" s="108"/>
    </row>
    <row r="232" spans="1:23" x14ac:dyDescent="0.25">
      <c r="A232" s="166" t="s">
        <v>128</v>
      </c>
      <c r="B232" s="71" t="s">
        <v>48</v>
      </c>
      <c r="C232" s="109">
        <v>0.59</v>
      </c>
      <c r="D232" s="2" t="s">
        <v>6</v>
      </c>
      <c r="L232" s="108"/>
      <c r="M232" s="108"/>
      <c r="N232" s="108"/>
      <c r="O232" s="108"/>
      <c r="P232" s="108"/>
      <c r="Q232" s="108"/>
      <c r="R232" s="108"/>
      <c r="S232" s="108"/>
      <c r="T232" s="108"/>
    </row>
    <row r="233" spans="1:23" x14ac:dyDescent="0.25">
      <c r="A233" s="166" t="s">
        <v>132</v>
      </c>
      <c r="B233" s="71" t="s">
        <v>48</v>
      </c>
      <c r="C233" s="109">
        <v>0.59</v>
      </c>
      <c r="D233" s="2" t="s">
        <v>6</v>
      </c>
      <c r="L233" s="108"/>
      <c r="M233" s="108"/>
      <c r="N233" s="108"/>
      <c r="O233" s="108"/>
      <c r="P233" s="108"/>
      <c r="Q233" s="108"/>
      <c r="R233" s="108"/>
      <c r="S233" s="108"/>
      <c r="T233" s="108"/>
    </row>
    <row r="234" spans="1:23" x14ac:dyDescent="0.25">
      <c r="A234" s="166" t="s">
        <v>124</v>
      </c>
      <c r="B234" s="71" t="s">
        <v>48</v>
      </c>
      <c r="C234" s="109">
        <v>0.59</v>
      </c>
      <c r="D234" s="2" t="s">
        <v>6</v>
      </c>
      <c r="L234" s="108"/>
      <c r="M234" s="108"/>
      <c r="N234" s="108"/>
      <c r="O234" s="108"/>
      <c r="P234" s="108"/>
      <c r="Q234" s="108"/>
      <c r="R234" s="108"/>
      <c r="S234" s="108"/>
      <c r="T234" s="108"/>
    </row>
    <row r="235" spans="1:23" x14ac:dyDescent="0.25">
      <c r="A235" s="166" t="s">
        <v>125</v>
      </c>
      <c r="B235" s="71" t="s">
        <v>48</v>
      </c>
      <c r="C235" s="109">
        <v>0.59</v>
      </c>
      <c r="D235" s="2" t="s">
        <v>6</v>
      </c>
      <c r="L235" s="108"/>
      <c r="M235" s="108"/>
      <c r="N235" s="108"/>
      <c r="O235" s="108"/>
      <c r="P235" s="108"/>
      <c r="Q235" s="108"/>
      <c r="R235" s="108"/>
      <c r="S235" s="108"/>
      <c r="T235" s="108"/>
    </row>
    <row r="236" spans="1:23" x14ac:dyDescent="0.25">
      <c r="A236" s="166" t="s">
        <v>130</v>
      </c>
      <c r="B236" s="71" t="s">
        <v>48</v>
      </c>
      <c r="C236" t="str">
        <f t="shared" si="14"/>
        <v>N.A.</v>
      </c>
      <c r="D236" s="2" t="s">
        <v>6</v>
      </c>
      <c r="L236" s="108"/>
      <c r="M236" s="108"/>
      <c r="N236" s="108"/>
      <c r="O236" s="108"/>
      <c r="P236" s="108"/>
      <c r="Q236" s="108"/>
      <c r="R236" s="108"/>
      <c r="S236" s="108"/>
      <c r="T236" s="108">
        <v>0.8</v>
      </c>
    </row>
    <row r="237" spans="1:23" x14ac:dyDescent="0.25">
      <c r="A237" s="166" t="s">
        <v>131</v>
      </c>
      <c r="B237" s="71" t="s">
        <v>48</v>
      </c>
      <c r="C237" t="str">
        <f t="shared" si="14"/>
        <v>N.A.</v>
      </c>
      <c r="D237" s="2" t="s">
        <v>6</v>
      </c>
      <c r="L237" s="108"/>
      <c r="M237" s="108"/>
      <c r="N237" s="108"/>
      <c r="O237" s="108"/>
      <c r="P237" s="108"/>
      <c r="Q237" s="108"/>
      <c r="R237" s="108"/>
      <c r="S237" s="108"/>
      <c r="T237" s="108">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6" t="s">
        <v>111</v>
      </c>
      <c r="B240" s="71" t="s">
        <v>48</v>
      </c>
      <c r="C240" t="str">
        <f t="shared" ref="C240:C251" si="15">IF(SUMPRODUCT(--(E240:W240&lt;&gt;""))=0,0,"N.A.")</f>
        <v>N.A.</v>
      </c>
      <c r="D240" s="2" t="s">
        <v>6</v>
      </c>
      <c r="P240" s="110">
        <v>0.61699999999999999</v>
      </c>
      <c r="Q240" s="110">
        <v>0.55800000000000005</v>
      </c>
      <c r="R240" s="110">
        <v>0.57399999999999995</v>
      </c>
      <c r="S240" s="110"/>
      <c r="T240" s="110"/>
    </row>
    <row r="241" spans="1:23" x14ac:dyDescent="0.25">
      <c r="A241" s="166" t="s">
        <v>113</v>
      </c>
      <c r="B241" s="71" t="s">
        <v>48</v>
      </c>
      <c r="C241" t="str">
        <f t="shared" si="15"/>
        <v>N.A.</v>
      </c>
      <c r="D241" s="2" t="s">
        <v>6</v>
      </c>
      <c r="P241" s="110">
        <v>0.61699999999999999</v>
      </c>
      <c r="Q241" s="110">
        <v>0.55800000000000005</v>
      </c>
      <c r="R241" s="110">
        <v>0.57399999999999995</v>
      </c>
      <c r="S241" s="110"/>
      <c r="T241" s="110"/>
    </row>
    <row r="242" spans="1:23" x14ac:dyDescent="0.25">
      <c r="A242" s="166" t="s">
        <v>115</v>
      </c>
      <c r="B242" s="71" t="s">
        <v>48</v>
      </c>
      <c r="C242" t="str">
        <f t="shared" si="15"/>
        <v>N.A.</v>
      </c>
      <c r="D242" s="2" t="s">
        <v>6</v>
      </c>
      <c r="P242" s="110">
        <v>0.61699999999999999</v>
      </c>
      <c r="Q242" s="110">
        <v>0.55800000000000005</v>
      </c>
      <c r="R242" s="110">
        <v>0.57399999999999995</v>
      </c>
      <c r="S242" s="110"/>
      <c r="T242" s="110"/>
    </row>
    <row r="243" spans="1:23" x14ac:dyDescent="0.25">
      <c r="A243" s="166" t="s">
        <v>117</v>
      </c>
      <c r="B243" s="71" t="s">
        <v>48</v>
      </c>
      <c r="C243" t="str">
        <f t="shared" si="15"/>
        <v>N.A.</v>
      </c>
      <c r="D243" s="2" t="s">
        <v>6</v>
      </c>
      <c r="P243" s="110">
        <v>0.61699999999999999</v>
      </c>
      <c r="Q243" s="110">
        <v>0.55800000000000005</v>
      </c>
      <c r="R243" s="110">
        <v>0.57399999999999995</v>
      </c>
      <c r="S243" s="110"/>
      <c r="T243" s="110"/>
    </row>
    <row r="244" spans="1:23" x14ac:dyDescent="0.25">
      <c r="A244" s="166" t="s">
        <v>119</v>
      </c>
      <c r="B244" s="71" t="s">
        <v>48</v>
      </c>
      <c r="C244" t="str">
        <f t="shared" si="15"/>
        <v>N.A.</v>
      </c>
      <c r="D244" s="2" t="s">
        <v>6</v>
      </c>
      <c r="P244" s="110">
        <v>0.61699999999999999</v>
      </c>
      <c r="Q244" s="110">
        <v>0.55800000000000005</v>
      </c>
      <c r="R244" s="110">
        <v>0.57399999999999995</v>
      </c>
      <c r="S244" s="110"/>
      <c r="T244" s="110"/>
    </row>
    <row r="245" spans="1:23" x14ac:dyDescent="0.25">
      <c r="A245" s="166" t="s">
        <v>121</v>
      </c>
      <c r="B245" s="71" t="s">
        <v>48</v>
      </c>
      <c r="C245" t="str">
        <f t="shared" si="15"/>
        <v>N.A.</v>
      </c>
      <c r="D245" s="2" t="s">
        <v>6</v>
      </c>
      <c r="P245" s="110">
        <v>0.61699999999999999</v>
      </c>
      <c r="Q245" s="110">
        <v>0.55800000000000005</v>
      </c>
      <c r="R245" s="110">
        <v>0.57399999999999995</v>
      </c>
      <c r="S245" s="110"/>
      <c r="T245" s="110"/>
    </row>
    <row r="246" spans="1:23" x14ac:dyDescent="0.25">
      <c r="A246" s="166" t="s">
        <v>128</v>
      </c>
      <c r="B246" s="71" t="s">
        <v>48</v>
      </c>
      <c r="C246" s="112">
        <v>0.37</v>
      </c>
      <c r="D246" s="2" t="s">
        <v>6</v>
      </c>
      <c r="P246" s="110"/>
      <c r="Q246" s="110"/>
      <c r="R246" s="110"/>
      <c r="S246" s="110"/>
      <c r="T246" s="110"/>
    </row>
    <row r="247" spans="1:23" x14ac:dyDescent="0.25">
      <c r="A247" s="166" t="s">
        <v>132</v>
      </c>
      <c r="B247" s="71" t="s">
        <v>48</v>
      </c>
      <c r="C247" s="112">
        <v>0.37</v>
      </c>
      <c r="D247" s="2" t="s">
        <v>6</v>
      </c>
      <c r="P247" s="110"/>
      <c r="Q247" s="110"/>
      <c r="R247" s="110"/>
      <c r="S247" s="110"/>
      <c r="T247" s="110"/>
    </row>
    <row r="248" spans="1:23" x14ac:dyDescent="0.25">
      <c r="A248" s="166" t="s">
        <v>124</v>
      </c>
      <c r="B248" s="71" t="s">
        <v>48</v>
      </c>
      <c r="C248" s="112">
        <v>0.37</v>
      </c>
      <c r="D248" s="2" t="s">
        <v>6</v>
      </c>
      <c r="P248" s="110"/>
      <c r="Q248" s="110"/>
      <c r="R248" s="110"/>
      <c r="S248" s="110"/>
      <c r="T248" s="110"/>
    </row>
    <row r="249" spans="1:23" x14ac:dyDescent="0.25">
      <c r="A249" s="166" t="s">
        <v>125</v>
      </c>
      <c r="B249" s="71" t="s">
        <v>48</v>
      </c>
      <c r="C249" s="112">
        <v>0.37</v>
      </c>
      <c r="D249" s="2" t="s">
        <v>6</v>
      </c>
      <c r="P249" s="110"/>
      <c r="Q249" s="110"/>
      <c r="R249" s="110"/>
      <c r="S249" s="110"/>
      <c r="T249" s="110"/>
    </row>
    <row r="250" spans="1:23" x14ac:dyDescent="0.25">
      <c r="A250" s="166" t="s">
        <v>130</v>
      </c>
      <c r="B250" s="71" t="s">
        <v>48</v>
      </c>
      <c r="C250" t="str">
        <f t="shared" si="15"/>
        <v>N.A.</v>
      </c>
      <c r="D250" s="2" t="s">
        <v>6</v>
      </c>
      <c r="P250" s="110"/>
      <c r="Q250" s="110"/>
      <c r="R250" s="110"/>
      <c r="S250" s="110"/>
      <c r="T250" s="111">
        <v>1</v>
      </c>
    </row>
    <row r="251" spans="1:23" x14ac:dyDescent="0.25">
      <c r="A251" s="166" t="s">
        <v>131</v>
      </c>
      <c r="B251" s="71" t="s">
        <v>48</v>
      </c>
      <c r="C251" t="str">
        <f t="shared" si="15"/>
        <v>N.A.</v>
      </c>
      <c r="D251" s="2" t="s">
        <v>6</v>
      </c>
      <c r="P251" s="110"/>
      <c r="Q251" s="110"/>
      <c r="R251" s="110"/>
      <c r="S251" s="110"/>
      <c r="T251" s="110">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6" t="s">
        <v>111</v>
      </c>
      <c r="B254" s="71" t="s">
        <v>48</v>
      </c>
      <c r="C254" t="str">
        <f t="shared" ref="C254:C259" si="16">IF(SUMPRODUCT(--(E254:W254&lt;&gt;""))=0,0,"N.A.")</f>
        <v>N.A.</v>
      </c>
      <c r="D254" s="2" t="s">
        <v>6</v>
      </c>
      <c r="N254" s="113"/>
      <c r="O254" s="113">
        <v>0.14285714285714285</v>
      </c>
      <c r="P254" s="113">
        <v>0.30769230769230771</v>
      </c>
      <c r="Q254" s="113"/>
      <c r="R254" s="113">
        <v>0.1111111111111111</v>
      </c>
      <c r="S254" s="113"/>
    </row>
    <row r="255" spans="1:23" x14ac:dyDescent="0.25">
      <c r="A255" s="166" t="s">
        <v>113</v>
      </c>
      <c r="B255" s="71" t="s">
        <v>48</v>
      </c>
      <c r="C255" t="str">
        <f t="shared" si="16"/>
        <v>N.A.</v>
      </c>
      <c r="D255" s="2" t="s">
        <v>6</v>
      </c>
      <c r="N255" s="113">
        <v>0.26666666666666666</v>
      </c>
      <c r="O255" s="113"/>
      <c r="P255" s="113"/>
      <c r="Q255" s="113"/>
      <c r="R255" s="113"/>
      <c r="S255" s="113">
        <v>0.25</v>
      </c>
    </row>
    <row r="256" spans="1:23" x14ac:dyDescent="0.25">
      <c r="A256" s="166" t="s">
        <v>115</v>
      </c>
      <c r="B256" s="71" t="s">
        <v>48</v>
      </c>
      <c r="C256" t="str">
        <f t="shared" si="16"/>
        <v>N.A.</v>
      </c>
      <c r="D256" s="2" t="s">
        <v>6</v>
      </c>
      <c r="N256" s="113">
        <v>0.41949152542372881</v>
      </c>
      <c r="O256" s="113">
        <v>0.39067656765676573</v>
      </c>
      <c r="P256" s="113"/>
      <c r="Q256" s="113"/>
      <c r="R256" s="113"/>
      <c r="S256" s="113">
        <v>0.47606130476061304</v>
      </c>
    </row>
    <row r="257" spans="1:23" x14ac:dyDescent="0.25">
      <c r="A257" s="166" t="s">
        <v>117</v>
      </c>
      <c r="B257" s="71" t="s">
        <v>48</v>
      </c>
      <c r="C257" t="str">
        <f t="shared" si="16"/>
        <v>N.A.</v>
      </c>
      <c r="D257" s="2" t="s">
        <v>6</v>
      </c>
      <c r="N257" s="113">
        <v>0.85451197053407002</v>
      </c>
      <c r="O257" s="113"/>
      <c r="P257" s="113"/>
      <c r="Q257" s="113"/>
      <c r="R257" s="113">
        <v>0.35436893203883496</v>
      </c>
      <c r="S257" s="113">
        <v>0.56666666666666665</v>
      </c>
    </row>
    <row r="258" spans="1:23" x14ac:dyDescent="0.25">
      <c r="A258" s="166" t="s">
        <v>119</v>
      </c>
      <c r="B258" s="71" t="s">
        <v>48</v>
      </c>
      <c r="C258" t="str">
        <f t="shared" si="16"/>
        <v>N.A.</v>
      </c>
      <c r="D258" s="2" t="s">
        <v>6</v>
      </c>
      <c r="N258" s="113">
        <v>0.40434782608695652</v>
      </c>
      <c r="O258" s="113">
        <v>0.35303144925969948</v>
      </c>
      <c r="P258" s="113"/>
      <c r="Q258" s="113">
        <v>0.34559506076894847</v>
      </c>
      <c r="R258" s="113">
        <v>0.36291031419778325</v>
      </c>
      <c r="S258" s="113">
        <v>0.39774620483963036</v>
      </c>
    </row>
    <row r="259" spans="1:23" x14ac:dyDescent="0.25">
      <c r="A259" s="166" t="s">
        <v>121</v>
      </c>
      <c r="B259" s="71" t="s">
        <v>48</v>
      </c>
      <c r="C259" t="str">
        <f t="shared" si="16"/>
        <v>N.A.</v>
      </c>
      <c r="D259" s="2" t="s">
        <v>6</v>
      </c>
      <c r="N259" s="113">
        <v>0.66666666666666663</v>
      </c>
      <c r="O259" s="113"/>
      <c r="P259" s="113"/>
      <c r="Q259" s="113"/>
      <c r="R259" s="113"/>
      <c r="S259" s="113">
        <v>0.26666666666666666</v>
      </c>
    </row>
    <row r="260" spans="1:23" x14ac:dyDescent="0.25">
      <c r="A260" s="166" t="s">
        <v>128</v>
      </c>
      <c r="B260" s="71" t="s">
        <v>48</v>
      </c>
      <c r="C260" s="114">
        <v>0.24</v>
      </c>
      <c r="D260" s="2" t="s">
        <v>6</v>
      </c>
    </row>
    <row r="261" spans="1:23" x14ac:dyDescent="0.25">
      <c r="A261" s="166" t="s">
        <v>132</v>
      </c>
      <c r="B261" s="71" t="s">
        <v>48</v>
      </c>
      <c r="C261" s="114">
        <v>0.24</v>
      </c>
      <c r="D261" s="2" t="s">
        <v>6</v>
      </c>
    </row>
    <row r="262" spans="1:23" x14ac:dyDescent="0.25">
      <c r="A262" s="166" t="s">
        <v>124</v>
      </c>
      <c r="B262" s="71" t="s">
        <v>48</v>
      </c>
      <c r="C262" s="114">
        <v>0.24</v>
      </c>
      <c r="D262" s="2" t="s">
        <v>6</v>
      </c>
    </row>
    <row r="263" spans="1:23" x14ac:dyDescent="0.25">
      <c r="A263" s="166" t="s">
        <v>125</v>
      </c>
      <c r="B263" s="71" t="s">
        <v>48</v>
      </c>
      <c r="C263" s="114">
        <v>0.24</v>
      </c>
      <c r="D263" s="2" t="s">
        <v>6</v>
      </c>
    </row>
    <row r="264" spans="1:23" x14ac:dyDescent="0.25">
      <c r="A264" s="166" t="s">
        <v>130</v>
      </c>
      <c r="B264" s="71" t="s">
        <v>48</v>
      </c>
      <c r="C264" s="114">
        <v>0.24</v>
      </c>
      <c r="D264" s="2" t="s">
        <v>6</v>
      </c>
    </row>
    <row r="265" spans="1:23" x14ac:dyDescent="0.25">
      <c r="A265" s="166" t="s">
        <v>131</v>
      </c>
      <c r="B265" s="71" t="s">
        <v>48</v>
      </c>
      <c r="C265" s="114">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6" t="s">
        <v>111</v>
      </c>
      <c r="B268" s="71" t="s">
        <v>48</v>
      </c>
      <c r="C268" t="str">
        <f t="shared" ref="C268:C273" si="17">IF(SUMPRODUCT(--(E268:W268&lt;&gt;""))=0,0,"N.A.")</f>
        <v>N.A.</v>
      </c>
      <c r="D268" s="2" t="s">
        <v>6</v>
      </c>
      <c r="N268" s="115"/>
      <c r="O268" s="115">
        <v>0.7142857142857143</v>
      </c>
      <c r="P268" s="115"/>
      <c r="Q268" s="115"/>
      <c r="R268" s="115">
        <v>0.88888888888888884</v>
      </c>
      <c r="S268" s="115"/>
    </row>
    <row r="269" spans="1:23" x14ac:dyDescent="0.25">
      <c r="A269" s="166" t="s">
        <v>113</v>
      </c>
      <c r="B269" s="71" t="s">
        <v>48</v>
      </c>
      <c r="C269" t="str">
        <f t="shared" si="17"/>
        <v>N.A.</v>
      </c>
      <c r="D269" s="2" t="s">
        <v>6</v>
      </c>
      <c r="N269" s="115">
        <v>0.66666666666666663</v>
      </c>
      <c r="O269" s="115"/>
      <c r="P269" s="115"/>
      <c r="Q269" s="115">
        <v>0.7142857142857143</v>
      </c>
      <c r="R269" s="115"/>
      <c r="S269" s="115">
        <v>0.55000000000000004</v>
      </c>
    </row>
    <row r="270" spans="1:23" x14ac:dyDescent="0.25">
      <c r="A270" s="166" t="s">
        <v>115</v>
      </c>
      <c r="B270" s="71" t="s">
        <v>48</v>
      </c>
      <c r="C270" t="str">
        <f t="shared" si="17"/>
        <v>N.A.</v>
      </c>
      <c r="D270" s="2" t="s">
        <v>6</v>
      </c>
      <c r="N270" s="115"/>
      <c r="O270" s="115"/>
      <c r="P270" s="115">
        <v>0.5981219279583303</v>
      </c>
      <c r="Q270" s="115">
        <v>0.58178894164496853</v>
      </c>
      <c r="R270" s="115">
        <v>0.52494593276911738</v>
      </c>
      <c r="S270" s="115">
        <v>0.42567224759005584</v>
      </c>
    </row>
    <row r="271" spans="1:23" x14ac:dyDescent="0.25">
      <c r="A271" s="166" t="s">
        <v>117</v>
      </c>
      <c r="B271" s="71" t="s">
        <v>48</v>
      </c>
      <c r="C271" t="str">
        <f t="shared" si="17"/>
        <v>N.A.</v>
      </c>
      <c r="D271" s="2" t="s">
        <v>6</v>
      </c>
      <c r="N271" s="115">
        <v>0.14548802946593004</v>
      </c>
      <c r="O271" s="115"/>
      <c r="P271" s="115">
        <v>0.17025862068965519</v>
      </c>
      <c r="Q271" s="115"/>
      <c r="R271" s="115"/>
      <c r="S271" s="115">
        <v>0.2</v>
      </c>
    </row>
    <row r="272" spans="1:23" x14ac:dyDescent="0.25">
      <c r="A272" s="166" t="s">
        <v>119</v>
      </c>
      <c r="B272" s="71" t="s">
        <v>48</v>
      </c>
      <c r="C272" t="str">
        <f t="shared" si="17"/>
        <v>N.A.</v>
      </c>
      <c r="D272" s="2" t="s">
        <v>6</v>
      </c>
      <c r="N272" s="115">
        <v>0.3536231884057971</v>
      </c>
      <c r="O272" s="115">
        <v>0.42502972009078133</v>
      </c>
      <c r="P272" s="115"/>
      <c r="Q272" s="115">
        <v>0.46024652980161046</v>
      </c>
      <c r="R272" s="115">
        <v>0.38980797528137756</v>
      </c>
      <c r="S272" s="115">
        <v>0.40658313236167903</v>
      </c>
    </row>
    <row r="273" spans="1:23" x14ac:dyDescent="0.25">
      <c r="A273" s="166" t="s">
        <v>121</v>
      </c>
      <c r="B273" s="71" t="s">
        <v>48</v>
      </c>
      <c r="C273" t="str">
        <f t="shared" si="17"/>
        <v>N.A.</v>
      </c>
      <c r="D273" s="2" t="s">
        <v>6</v>
      </c>
      <c r="N273" s="115">
        <v>0.33333333333333331</v>
      </c>
      <c r="O273" s="115"/>
      <c r="P273" s="115"/>
      <c r="Q273" s="115"/>
      <c r="R273" s="115">
        <v>0.34693877551020408</v>
      </c>
      <c r="S273" s="115">
        <v>0.4</v>
      </c>
    </row>
    <row r="274" spans="1:23" x14ac:dyDescent="0.25">
      <c r="A274" s="166" t="s">
        <v>128</v>
      </c>
      <c r="B274" s="71" t="s">
        <v>48</v>
      </c>
      <c r="C274" s="116">
        <v>0.52</v>
      </c>
      <c r="D274" s="2" t="s">
        <v>6</v>
      </c>
    </row>
    <row r="275" spans="1:23" x14ac:dyDescent="0.25">
      <c r="A275" s="166" t="s">
        <v>132</v>
      </c>
      <c r="B275" s="71" t="s">
        <v>48</v>
      </c>
      <c r="C275" s="116">
        <v>0.52</v>
      </c>
      <c r="D275" s="2" t="s">
        <v>6</v>
      </c>
    </row>
    <row r="276" spans="1:23" x14ac:dyDescent="0.25">
      <c r="A276" s="166" t="s">
        <v>124</v>
      </c>
      <c r="B276" s="71" t="s">
        <v>48</v>
      </c>
      <c r="C276" s="116">
        <v>0.52</v>
      </c>
      <c r="D276" s="2" t="s">
        <v>6</v>
      </c>
    </row>
    <row r="277" spans="1:23" x14ac:dyDescent="0.25">
      <c r="A277" s="166" t="s">
        <v>125</v>
      </c>
      <c r="B277" s="71" t="s">
        <v>48</v>
      </c>
      <c r="C277" s="116">
        <v>0.52</v>
      </c>
      <c r="D277" s="2" t="s">
        <v>6</v>
      </c>
    </row>
    <row r="278" spans="1:23" x14ac:dyDescent="0.25">
      <c r="A278" s="166" t="s">
        <v>130</v>
      </c>
      <c r="B278" s="71" t="s">
        <v>48</v>
      </c>
      <c r="C278" s="116">
        <v>0.52</v>
      </c>
      <c r="D278" s="2" t="s">
        <v>6</v>
      </c>
    </row>
    <row r="279" spans="1:23" x14ac:dyDescent="0.25">
      <c r="A279" s="166" t="s">
        <v>131</v>
      </c>
      <c r="B279" s="71" t="s">
        <v>48</v>
      </c>
      <c r="C279" s="116">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6" t="s">
        <v>111</v>
      </c>
      <c r="B282" s="71" t="s">
        <v>48</v>
      </c>
      <c r="C282" s="118">
        <v>0.59</v>
      </c>
      <c r="D282" s="2" t="s">
        <v>6</v>
      </c>
    </row>
    <row r="283" spans="1:23" x14ac:dyDescent="0.25">
      <c r="A283" s="166" t="s">
        <v>113</v>
      </c>
      <c r="B283" s="71" t="s">
        <v>48</v>
      </c>
      <c r="C283" s="118">
        <v>0.59</v>
      </c>
      <c r="D283" s="2" t="s">
        <v>6</v>
      </c>
    </row>
    <row r="284" spans="1:23" x14ac:dyDescent="0.25">
      <c r="A284" s="166" t="s">
        <v>115</v>
      </c>
      <c r="B284" s="71" t="s">
        <v>48</v>
      </c>
      <c r="C284" s="118" t="s">
        <v>41</v>
      </c>
      <c r="D284" s="2" t="s">
        <v>6</v>
      </c>
      <c r="L284" s="117">
        <v>0.33098598364479603</v>
      </c>
      <c r="M284" s="117"/>
      <c r="N284" s="117"/>
      <c r="O284" s="117"/>
      <c r="P284" s="117"/>
      <c r="Q284" s="117">
        <v>0.59879784637283007</v>
      </c>
      <c r="R284" s="117"/>
      <c r="S284" s="117">
        <v>0.6687151410712604</v>
      </c>
      <c r="T284" s="117"/>
    </row>
    <row r="285" spans="1:23" x14ac:dyDescent="0.25">
      <c r="A285" s="166" t="s">
        <v>117</v>
      </c>
      <c r="B285" s="71" t="s">
        <v>48</v>
      </c>
      <c r="C285" s="118" t="s">
        <v>41</v>
      </c>
      <c r="D285" s="2" t="s">
        <v>6</v>
      </c>
      <c r="L285" s="117"/>
      <c r="M285" s="117"/>
      <c r="N285" s="117"/>
      <c r="O285" s="117">
        <v>0.89302372102225125</v>
      </c>
      <c r="P285" s="117"/>
      <c r="Q285" s="117"/>
      <c r="R285" s="117"/>
      <c r="S285" s="117"/>
      <c r="T285" s="117"/>
    </row>
    <row r="286" spans="1:23" x14ac:dyDescent="0.25">
      <c r="A286" s="166" t="s">
        <v>119</v>
      </c>
      <c r="B286" s="71" t="s">
        <v>48</v>
      </c>
      <c r="C286" s="118" t="s">
        <v>41</v>
      </c>
      <c r="D286" s="2" t="s">
        <v>6</v>
      </c>
      <c r="L286" s="117">
        <v>0.33098598364479542</v>
      </c>
      <c r="M286" s="117"/>
      <c r="N286" s="117"/>
      <c r="O286" s="117"/>
      <c r="P286" s="117">
        <v>0.65734297223736105</v>
      </c>
      <c r="Q286" s="117">
        <v>0.77117904457106845</v>
      </c>
      <c r="R286" s="117"/>
      <c r="S286" s="117"/>
      <c r="T286" s="117"/>
    </row>
    <row r="287" spans="1:23" x14ac:dyDescent="0.25">
      <c r="A287" s="166" t="s">
        <v>121</v>
      </c>
      <c r="B287" s="71" t="s">
        <v>48</v>
      </c>
      <c r="C287" s="118">
        <v>0.59</v>
      </c>
      <c r="D287" s="2" t="s">
        <v>6</v>
      </c>
      <c r="L287" s="117"/>
      <c r="M287" s="117"/>
      <c r="N287" s="117"/>
      <c r="O287" s="117"/>
      <c r="P287" s="117"/>
      <c r="Q287" s="117"/>
      <c r="R287" s="117"/>
      <c r="S287" s="117"/>
      <c r="T287" s="117"/>
    </row>
    <row r="288" spans="1:23" x14ac:dyDescent="0.25">
      <c r="A288" s="166" t="s">
        <v>128</v>
      </c>
      <c r="B288" s="71" t="s">
        <v>48</v>
      </c>
      <c r="C288" s="118">
        <v>0.59</v>
      </c>
      <c r="D288" s="2" t="s">
        <v>6</v>
      </c>
      <c r="L288" s="117"/>
      <c r="M288" s="117"/>
      <c r="N288" s="117"/>
      <c r="O288" s="117"/>
      <c r="P288" s="117"/>
      <c r="Q288" s="117"/>
      <c r="R288" s="117"/>
      <c r="S288" s="117"/>
      <c r="T288" s="117"/>
    </row>
    <row r="289" spans="1:23" x14ac:dyDescent="0.25">
      <c r="A289" s="166" t="s">
        <v>132</v>
      </c>
      <c r="B289" s="71" t="s">
        <v>48</v>
      </c>
      <c r="C289" s="118">
        <v>0.59</v>
      </c>
      <c r="D289" s="2" t="s">
        <v>6</v>
      </c>
      <c r="L289" s="117"/>
      <c r="M289" s="117"/>
      <c r="N289" s="117"/>
      <c r="O289" s="117"/>
      <c r="P289" s="117"/>
      <c r="Q289" s="117"/>
      <c r="R289" s="117"/>
      <c r="S289" s="117"/>
      <c r="T289" s="117"/>
    </row>
    <row r="290" spans="1:23" x14ac:dyDescent="0.25">
      <c r="A290" s="166" t="s">
        <v>124</v>
      </c>
      <c r="B290" s="71" t="s">
        <v>48</v>
      </c>
      <c r="C290" s="118">
        <v>0.59</v>
      </c>
      <c r="D290" s="2" t="s">
        <v>6</v>
      </c>
      <c r="L290" s="117"/>
      <c r="M290" s="117"/>
      <c r="N290" s="117"/>
      <c r="O290" s="117"/>
      <c r="P290" s="117"/>
      <c r="Q290" s="117"/>
      <c r="R290" s="117"/>
      <c r="S290" s="117"/>
      <c r="T290" s="117"/>
    </row>
    <row r="291" spans="1:23" x14ac:dyDescent="0.25">
      <c r="A291" s="166" t="s">
        <v>125</v>
      </c>
      <c r="B291" s="71" t="s">
        <v>48</v>
      </c>
      <c r="C291" s="118">
        <v>0.59</v>
      </c>
      <c r="D291" s="2" t="s">
        <v>6</v>
      </c>
      <c r="L291" s="117"/>
      <c r="M291" s="117"/>
      <c r="N291" s="117"/>
      <c r="O291" s="117"/>
      <c r="P291" s="117"/>
      <c r="Q291" s="117"/>
      <c r="R291" s="117"/>
      <c r="S291" s="117"/>
      <c r="T291" s="117"/>
    </row>
    <row r="292" spans="1:23" x14ac:dyDescent="0.25">
      <c r="A292" s="166" t="s">
        <v>130</v>
      </c>
      <c r="B292" s="71" t="s">
        <v>48</v>
      </c>
      <c r="C292" s="118" t="s">
        <v>41</v>
      </c>
      <c r="D292" s="2" t="s">
        <v>6</v>
      </c>
      <c r="L292" s="117"/>
      <c r="M292" s="117"/>
      <c r="N292" s="117"/>
      <c r="O292" s="117"/>
      <c r="P292" s="117"/>
      <c r="Q292" s="117"/>
      <c r="R292" s="117"/>
      <c r="S292" s="117"/>
      <c r="T292" s="117">
        <v>0.8</v>
      </c>
    </row>
    <row r="293" spans="1:23" x14ac:dyDescent="0.25">
      <c r="A293" s="166" t="s">
        <v>131</v>
      </c>
      <c r="B293" s="71" t="s">
        <v>48</v>
      </c>
      <c r="C293" s="118" t="s">
        <v>41</v>
      </c>
      <c r="D293" s="2" t="s">
        <v>6</v>
      </c>
      <c r="L293" s="117"/>
      <c r="M293" s="117"/>
      <c r="N293" s="117"/>
      <c r="O293" s="117"/>
      <c r="P293" s="117"/>
      <c r="Q293" s="117"/>
      <c r="R293" s="117"/>
      <c r="S293" s="117"/>
      <c r="T293" s="117">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6" t="s">
        <v>111</v>
      </c>
      <c r="B296" s="71" t="s">
        <v>48</v>
      </c>
      <c r="C296" t="str">
        <f t="shared" ref="C296:C307" si="18">IF(SUMPRODUCT(--(E296:W296&lt;&gt;""))=0,0,"N.A.")</f>
        <v>N.A.</v>
      </c>
      <c r="D296" s="2" t="s">
        <v>6</v>
      </c>
      <c r="Q296" s="119">
        <v>0.81</v>
      </c>
      <c r="R296" s="119">
        <v>1</v>
      </c>
      <c r="S296" s="119"/>
      <c r="T296" s="119"/>
    </row>
    <row r="297" spans="1:23" x14ac:dyDescent="0.25">
      <c r="A297" s="166" t="s">
        <v>113</v>
      </c>
      <c r="B297" s="71" t="s">
        <v>48</v>
      </c>
      <c r="C297" t="str">
        <f t="shared" si="18"/>
        <v>N.A.</v>
      </c>
      <c r="D297" s="2" t="s">
        <v>6</v>
      </c>
      <c r="Q297" s="119">
        <v>0.81</v>
      </c>
      <c r="R297" s="119">
        <v>1</v>
      </c>
      <c r="S297" s="119"/>
      <c r="T297" s="119"/>
    </row>
    <row r="298" spans="1:23" x14ac:dyDescent="0.25">
      <c r="A298" s="166" t="s">
        <v>115</v>
      </c>
      <c r="B298" s="71" t="s">
        <v>48</v>
      </c>
      <c r="C298" t="str">
        <f t="shared" si="18"/>
        <v>N.A.</v>
      </c>
      <c r="D298" s="2" t="s">
        <v>6</v>
      </c>
      <c r="Q298" s="119">
        <v>0.81</v>
      </c>
      <c r="R298" s="119">
        <v>1</v>
      </c>
      <c r="S298" s="119"/>
      <c r="T298" s="119"/>
    </row>
    <row r="299" spans="1:23" x14ac:dyDescent="0.25">
      <c r="A299" s="166" t="s">
        <v>117</v>
      </c>
      <c r="B299" s="71" t="s">
        <v>48</v>
      </c>
      <c r="C299" t="str">
        <f t="shared" si="18"/>
        <v>N.A.</v>
      </c>
      <c r="D299" s="2" t="s">
        <v>6</v>
      </c>
      <c r="Q299" s="119">
        <v>0.81</v>
      </c>
      <c r="R299" s="119">
        <v>1</v>
      </c>
      <c r="S299" s="119"/>
      <c r="T299" s="119"/>
    </row>
    <row r="300" spans="1:23" x14ac:dyDescent="0.25">
      <c r="A300" s="166" t="s">
        <v>119</v>
      </c>
      <c r="B300" s="71" t="s">
        <v>48</v>
      </c>
      <c r="C300" t="str">
        <f t="shared" si="18"/>
        <v>N.A.</v>
      </c>
      <c r="D300" s="2" t="s">
        <v>6</v>
      </c>
      <c r="Q300" s="119">
        <v>0.81</v>
      </c>
      <c r="R300" s="119">
        <v>1</v>
      </c>
      <c r="S300" s="119"/>
      <c r="T300" s="119"/>
    </row>
    <row r="301" spans="1:23" x14ac:dyDescent="0.25">
      <c r="A301" s="166" t="s">
        <v>121</v>
      </c>
      <c r="B301" s="71" t="s">
        <v>48</v>
      </c>
      <c r="C301" t="str">
        <f t="shared" si="18"/>
        <v>N.A.</v>
      </c>
      <c r="D301" s="2" t="s">
        <v>6</v>
      </c>
      <c r="Q301" s="119">
        <v>0.81</v>
      </c>
      <c r="R301" s="119">
        <v>1</v>
      </c>
      <c r="S301" s="119"/>
      <c r="T301" s="119"/>
    </row>
    <row r="302" spans="1:23" x14ac:dyDescent="0.25">
      <c r="A302" s="166" t="s">
        <v>128</v>
      </c>
      <c r="B302" s="71" t="s">
        <v>48</v>
      </c>
      <c r="C302" s="120">
        <v>0.37</v>
      </c>
      <c r="D302" s="2" t="s">
        <v>6</v>
      </c>
      <c r="Q302" s="119"/>
      <c r="R302" s="119"/>
      <c r="S302" s="119"/>
      <c r="T302" s="119"/>
    </row>
    <row r="303" spans="1:23" x14ac:dyDescent="0.25">
      <c r="A303" s="166" t="s">
        <v>132</v>
      </c>
      <c r="B303" s="71" t="s">
        <v>48</v>
      </c>
      <c r="C303" s="120">
        <v>0.37</v>
      </c>
      <c r="D303" s="2" t="s">
        <v>6</v>
      </c>
      <c r="Q303" s="119"/>
      <c r="R303" s="119"/>
      <c r="S303" s="119"/>
      <c r="T303" s="119"/>
    </row>
    <row r="304" spans="1:23" x14ac:dyDescent="0.25">
      <c r="A304" s="166" t="s">
        <v>124</v>
      </c>
      <c r="B304" s="71" t="s">
        <v>48</v>
      </c>
      <c r="C304" s="120">
        <v>0.37</v>
      </c>
      <c r="D304" s="2" t="s">
        <v>6</v>
      </c>
      <c r="Q304" s="119"/>
      <c r="R304" s="119"/>
      <c r="S304" s="119"/>
      <c r="T304" s="119"/>
    </row>
    <row r="305" spans="1:23" x14ac:dyDescent="0.25">
      <c r="A305" s="166" t="s">
        <v>125</v>
      </c>
      <c r="B305" s="71" t="s">
        <v>48</v>
      </c>
      <c r="C305" s="120">
        <v>0.37</v>
      </c>
      <c r="D305" s="2" t="s">
        <v>6</v>
      </c>
      <c r="Q305" s="119"/>
      <c r="R305" s="119"/>
      <c r="S305" s="119"/>
      <c r="T305" s="119"/>
    </row>
    <row r="306" spans="1:23" x14ac:dyDescent="0.25">
      <c r="A306" s="166" t="s">
        <v>130</v>
      </c>
      <c r="B306" s="71" t="s">
        <v>48</v>
      </c>
      <c r="C306" t="str">
        <f t="shared" si="18"/>
        <v>N.A.</v>
      </c>
      <c r="D306" s="2" t="s">
        <v>6</v>
      </c>
      <c r="Q306" s="119"/>
      <c r="R306" s="119"/>
      <c r="S306" s="119"/>
      <c r="T306" s="119">
        <v>0.75</v>
      </c>
    </row>
    <row r="307" spans="1:23" x14ac:dyDescent="0.25">
      <c r="A307" s="166" t="s">
        <v>131</v>
      </c>
      <c r="B307" s="71" t="s">
        <v>48</v>
      </c>
      <c r="C307" t="str">
        <f t="shared" si="18"/>
        <v>N.A.</v>
      </c>
      <c r="D307" s="2" t="s">
        <v>6</v>
      </c>
      <c r="Q307" s="119"/>
      <c r="R307" s="119"/>
      <c r="S307" s="119"/>
      <c r="T307" s="119">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6" t="s">
        <v>111</v>
      </c>
      <c r="B310" s="71" t="s">
        <v>48</v>
      </c>
      <c r="C310" s="123">
        <v>0.44</v>
      </c>
      <c r="D310" s="2" t="s">
        <v>6</v>
      </c>
    </row>
    <row r="311" spans="1:23" x14ac:dyDescent="0.25">
      <c r="A311" s="166" t="s">
        <v>113</v>
      </c>
      <c r="B311" s="71" t="s">
        <v>48</v>
      </c>
      <c r="C311" s="123">
        <v>0.44</v>
      </c>
      <c r="D311" s="2" t="s">
        <v>6</v>
      </c>
    </row>
    <row r="312" spans="1:23" x14ac:dyDescent="0.25">
      <c r="A312" s="166" t="s">
        <v>115</v>
      </c>
      <c r="B312" s="71" t="s">
        <v>48</v>
      </c>
      <c r="C312" s="123" t="s">
        <v>41</v>
      </c>
      <c r="D312" s="2" t="s">
        <v>6</v>
      </c>
      <c r="N312" s="121"/>
      <c r="O312" s="121">
        <v>0.79564495499999999</v>
      </c>
      <c r="P312" s="121">
        <v>0.79797633300000004</v>
      </c>
    </row>
    <row r="313" spans="1:23" x14ac:dyDescent="0.25">
      <c r="A313" s="166" t="s">
        <v>117</v>
      </c>
      <c r="B313" s="71" t="s">
        <v>48</v>
      </c>
      <c r="C313" s="123" t="s">
        <v>41</v>
      </c>
      <c r="D313" s="2" t="s">
        <v>6</v>
      </c>
      <c r="N313" s="121">
        <v>0.25816993500000002</v>
      </c>
      <c r="O313" s="121"/>
      <c r="P313" s="121"/>
    </row>
    <row r="314" spans="1:23" x14ac:dyDescent="0.25">
      <c r="A314" s="166" t="s">
        <v>119</v>
      </c>
      <c r="B314" s="71" t="s">
        <v>48</v>
      </c>
      <c r="C314" s="123" t="s">
        <v>41</v>
      </c>
      <c r="D314" s="2" t="s">
        <v>6</v>
      </c>
      <c r="N314" s="121"/>
      <c r="O314" s="121"/>
      <c r="P314" s="121">
        <v>0.83095587000000004</v>
      </c>
    </row>
    <row r="315" spans="1:23" x14ac:dyDescent="0.25">
      <c r="A315" s="166" t="s">
        <v>121</v>
      </c>
      <c r="B315" s="71" t="s">
        <v>48</v>
      </c>
      <c r="C315" s="123">
        <v>0.44</v>
      </c>
      <c r="D315" s="2" t="s">
        <v>6</v>
      </c>
    </row>
    <row r="316" spans="1:23" x14ac:dyDescent="0.25">
      <c r="A316" s="166" t="s">
        <v>128</v>
      </c>
      <c r="B316" s="71" t="s">
        <v>48</v>
      </c>
      <c r="C316" s="123">
        <v>0.44</v>
      </c>
      <c r="D316" s="2" t="s">
        <v>6</v>
      </c>
    </row>
    <row r="317" spans="1:23" x14ac:dyDescent="0.25">
      <c r="A317" s="166" t="s">
        <v>132</v>
      </c>
      <c r="B317" s="71" t="s">
        <v>48</v>
      </c>
      <c r="C317" s="123">
        <v>0.44</v>
      </c>
      <c r="D317" s="2" t="s">
        <v>6</v>
      </c>
    </row>
    <row r="318" spans="1:23" x14ac:dyDescent="0.25">
      <c r="A318" s="166" t="s">
        <v>124</v>
      </c>
      <c r="B318" s="71" t="s">
        <v>48</v>
      </c>
      <c r="C318" s="123">
        <v>0.44</v>
      </c>
      <c r="D318" s="2" t="s">
        <v>6</v>
      </c>
    </row>
    <row r="319" spans="1:23" x14ac:dyDescent="0.25">
      <c r="A319" s="166" t="s">
        <v>125</v>
      </c>
      <c r="B319" s="71" t="s">
        <v>48</v>
      </c>
      <c r="C319" s="123">
        <v>0.44</v>
      </c>
      <c r="D319" s="2" t="s">
        <v>6</v>
      </c>
    </row>
    <row r="320" spans="1:23" x14ac:dyDescent="0.25">
      <c r="A320" s="166" t="s">
        <v>130</v>
      </c>
      <c r="B320" s="71" t="s">
        <v>48</v>
      </c>
      <c r="C320" s="123">
        <v>0.44</v>
      </c>
      <c r="D320" s="2" t="s">
        <v>6</v>
      </c>
    </row>
    <row r="321" spans="1:23" x14ac:dyDescent="0.25">
      <c r="A321" s="166" t="s">
        <v>131</v>
      </c>
      <c r="B321" s="71" t="s">
        <v>48</v>
      </c>
      <c r="C321" s="123">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6" t="s">
        <v>111</v>
      </c>
      <c r="B324" s="71" t="s">
        <v>48</v>
      </c>
      <c r="C324" s="124">
        <v>0.28000000000000003</v>
      </c>
      <c r="D324" s="2" t="s">
        <v>6</v>
      </c>
    </row>
    <row r="325" spans="1:23" x14ac:dyDescent="0.25">
      <c r="A325" s="166" t="s">
        <v>113</v>
      </c>
      <c r="B325" s="71" t="s">
        <v>48</v>
      </c>
      <c r="C325" s="124">
        <v>0.28000000000000003</v>
      </c>
      <c r="D325" s="2" t="s">
        <v>6</v>
      </c>
    </row>
    <row r="326" spans="1:23" x14ac:dyDescent="0.25">
      <c r="A326" s="166" t="s">
        <v>115</v>
      </c>
      <c r="B326" s="71" t="s">
        <v>48</v>
      </c>
      <c r="C326" s="124" t="s">
        <v>41</v>
      </c>
      <c r="D326" s="2" t="s">
        <v>6</v>
      </c>
      <c r="O326" s="122">
        <v>0.13574660633484162</v>
      </c>
      <c r="P326" s="122"/>
      <c r="Q326" s="122">
        <v>0.5714285714285714</v>
      </c>
      <c r="R326" s="122">
        <v>0.68</v>
      </c>
      <c r="S326" s="122">
        <v>0.62727272727272732</v>
      </c>
    </row>
    <row r="327" spans="1:23" x14ac:dyDescent="0.25">
      <c r="A327" s="166" t="s">
        <v>117</v>
      </c>
      <c r="B327" s="71" t="s">
        <v>48</v>
      </c>
      <c r="C327" s="124">
        <v>0.28000000000000003</v>
      </c>
      <c r="D327" s="2" t="s">
        <v>6</v>
      </c>
      <c r="O327" s="122"/>
      <c r="P327" s="122"/>
      <c r="Q327" s="122"/>
      <c r="R327" s="122"/>
      <c r="S327" s="122"/>
    </row>
    <row r="328" spans="1:23" x14ac:dyDescent="0.25">
      <c r="A328" s="166" t="s">
        <v>119</v>
      </c>
      <c r="B328" s="71" t="s">
        <v>48</v>
      </c>
      <c r="C328" s="124" t="s">
        <v>41</v>
      </c>
      <c r="D328" s="2" t="s">
        <v>6</v>
      </c>
      <c r="O328" s="122"/>
      <c r="P328" s="122">
        <v>0.33333333333333331</v>
      </c>
      <c r="Q328" s="122"/>
      <c r="R328" s="122">
        <v>0.39130434782608697</v>
      </c>
      <c r="S328" s="122">
        <v>0.41417910447761191</v>
      </c>
    </row>
    <row r="329" spans="1:23" x14ac:dyDescent="0.25">
      <c r="A329" s="166" t="s">
        <v>121</v>
      </c>
      <c r="B329" s="71" t="s">
        <v>48</v>
      </c>
      <c r="C329" s="124">
        <v>0.28000000000000003</v>
      </c>
      <c r="D329" s="2" t="s">
        <v>6</v>
      </c>
    </row>
    <row r="330" spans="1:23" x14ac:dyDescent="0.25">
      <c r="A330" s="166" t="s">
        <v>128</v>
      </c>
      <c r="B330" s="71" t="s">
        <v>48</v>
      </c>
      <c r="C330" s="124">
        <v>0.28000000000000003</v>
      </c>
      <c r="D330" s="2" t="s">
        <v>6</v>
      </c>
    </row>
    <row r="331" spans="1:23" x14ac:dyDescent="0.25">
      <c r="A331" s="166" t="s">
        <v>132</v>
      </c>
      <c r="B331" s="71" t="s">
        <v>48</v>
      </c>
      <c r="C331" s="124">
        <v>0.28000000000000003</v>
      </c>
      <c r="D331" s="2" t="s">
        <v>6</v>
      </c>
    </row>
    <row r="332" spans="1:23" x14ac:dyDescent="0.25">
      <c r="A332" s="166" t="s">
        <v>124</v>
      </c>
      <c r="B332" s="71" t="s">
        <v>48</v>
      </c>
      <c r="C332" s="124">
        <v>0.28000000000000003</v>
      </c>
      <c r="D332" s="2" t="s">
        <v>6</v>
      </c>
    </row>
    <row r="333" spans="1:23" x14ac:dyDescent="0.25">
      <c r="A333" s="166" t="s">
        <v>125</v>
      </c>
      <c r="B333" s="71" t="s">
        <v>48</v>
      </c>
      <c r="C333" s="124">
        <v>0.28000000000000003</v>
      </c>
      <c r="D333" s="2" t="s">
        <v>6</v>
      </c>
    </row>
    <row r="334" spans="1:23" x14ac:dyDescent="0.25">
      <c r="A334" s="166" t="s">
        <v>130</v>
      </c>
      <c r="B334" s="71" t="s">
        <v>48</v>
      </c>
      <c r="C334" s="124">
        <v>0.28000000000000003</v>
      </c>
      <c r="D334" s="2" t="s">
        <v>6</v>
      </c>
    </row>
    <row r="335" spans="1:23" x14ac:dyDescent="0.25">
      <c r="A335" s="166" t="s">
        <v>131</v>
      </c>
      <c r="B335" s="71" t="s">
        <v>48</v>
      </c>
      <c r="C335" s="124">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94" workbookViewId="0">
      <selection activeCell="A128" sqref="A128:A139"/>
    </sheetView>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s="132" t="s">
        <v>48</v>
      </c>
      <c r="C2" s="125">
        <v>0.03</v>
      </c>
      <c r="D2" s="2" t="s">
        <v>6</v>
      </c>
    </row>
    <row r="3" spans="1:23" x14ac:dyDescent="0.25">
      <c r="A3" s="166" t="s">
        <v>113</v>
      </c>
      <c r="B3" s="132" t="s">
        <v>48</v>
      </c>
      <c r="C3" s="125">
        <v>0.03</v>
      </c>
      <c r="D3" s="2" t="s">
        <v>6</v>
      </c>
    </row>
    <row r="4" spans="1:23" x14ac:dyDescent="0.25">
      <c r="A4" s="166" t="s">
        <v>115</v>
      </c>
      <c r="B4" s="132" t="s">
        <v>48</v>
      </c>
      <c r="C4" s="125">
        <v>0.03</v>
      </c>
      <c r="D4" s="2" t="s">
        <v>6</v>
      </c>
    </row>
    <row r="5" spans="1:23" x14ac:dyDescent="0.25">
      <c r="A5" s="166" t="s">
        <v>117</v>
      </c>
      <c r="B5" s="132" t="s">
        <v>48</v>
      </c>
      <c r="C5" s="125">
        <v>0.03</v>
      </c>
      <c r="D5" s="2" t="s">
        <v>6</v>
      </c>
    </row>
    <row r="6" spans="1:23" x14ac:dyDescent="0.25">
      <c r="A6" s="166" t="s">
        <v>119</v>
      </c>
      <c r="B6" s="132" t="s">
        <v>48</v>
      </c>
      <c r="C6" s="125" t="s">
        <v>41</v>
      </c>
      <c r="D6" s="2" t="s">
        <v>6</v>
      </c>
      <c r="E6" s="126">
        <v>0</v>
      </c>
    </row>
    <row r="7" spans="1:23" x14ac:dyDescent="0.25">
      <c r="A7" s="166" t="s">
        <v>121</v>
      </c>
      <c r="B7" s="132" t="s">
        <v>48</v>
      </c>
      <c r="C7" s="125" t="s">
        <v>41</v>
      </c>
      <c r="D7" s="2" t="s">
        <v>6</v>
      </c>
      <c r="E7" s="126">
        <v>0</v>
      </c>
    </row>
    <row r="8" spans="1:23" x14ac:dyDescent="0.25">
      <c r="A8" s="166" t="s">
        <v>128</v>
      </c>
      <c r="B8" s="132" t="s">
        <v>48</v>
      </c>
      <c r="C8" s="125">
        <v>0.03</v>
      </c>
      <c r="D8" s="2" t="s">
        <v>6</v>
      </c>
      <c r="E8" s="126"/>
    </row>
    <row r="9" spans="1:23" x14ac:dyDescent="0.25">
      <c r="A9" s="166" t="s">
        <v>132</v>
      </c>
      <c r="B9" s="132" t="s">
        <v>48</v>
      </c>
      <c r="C9" s="125" t="s">
        <v>41</v>
      </c>
      <c r="D9" s="2" t="s">
        <v>6</v>
      </c>
      <c r="E9" s="126">
        <v>0</v>
      </c>
    </row>
    <row r="10" spans="1:23" x14ac:dyDescent="0.25">
      <c r="A10" s="166" t="s">
        <v>124</v>
      </c>
      <c r="B10" s="132" t="s">
        <v>48</v>
      </c>
      <c r="C10" s="125">
        <v>0.03</v>
      </c>
      <c r="D10" s="2" t="s">
        <v>6</v>
      </c>
      <c r="E10" s="126"/>
    </row>
    <row r="11" spans="1:23" x14ac:dyDescent="0.25">
      <c r="A11" s="166" t="s">
        <v>125</v>
      </c>
      <c r="B11" s="132" t="s">
        <v>48</v>
      </c>
      <c r="C11" s="125" t="s">
        <v>41</v>
      </c>
      <c r="D11" s="2" t="s">
        <v>6</v>
      </c>
      <c r="E11" s="126">
        <v>0</v>
      </c>
    </row>
    <row r="12" spans="1:23" x14ac:dyDescent="0.25">
      <c r="A12" s="166" t="s">
        <v>130</v>
      </c>
      <c r="B12" s="132" t="s">
        <v>48</v>
      </c>
      <c r="C12" s="125">
        <v>0.03</v>
      </c>
      <c r="D12" s="2" t="s">
        <v>6</v>
      </c>
      <c r="E12" s="126"/>
    </row>
    <row r="13" spans="1:23" x14ac:dyDescent="0.25">
      <c r="A13" s="166" t="s">
        <v>131</v>
      </c>
      <c r="B13" s="132" t="s">
        <v>48</v>
      </c>
      <c r="C13" s="125" t="s">
        <v>41</v>
      </c>
      <c r="D13" s="2" t="s">
        <v>6</v>
      </c>
      <c r="E13" s="126">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132" t="s">
        <v>48</v>
      </c>
      <c r="C16" s="128">
        <v>0.03</v>
      </c>
      <c r="D16" s="2" t="s">
        <v>6</v>
      </c>
    </row>
    <row r="17" spans="1:23" x14ac:dyDescent="0.25">
      <c r="A17" s="166" t="s">
        <v>113</v>
      </c>
      <c r="B17" s="132" t="s">
        <v>48</v>
      </c>
      <c r="C17" s="128">
        <v>0.03</v>
      </c>
      <c r="D17" s="2" t="s">
        <v>6</v>
      </c>
    </row>
    <row r="18" spans="1:23" x14ac:dyDescent="0.25">
      <c r="A18" s="166" t="s">
        <v>115</v>
      </c>
      <c r="B18" s="132" t="s">
        <v>48</v>
      </c>
      <c r="C18" s="128">
        <v>0.03</v>
      </c>
      <c r="D18" s="2" t="s">
        <v>6</v>
      </c>
    </row>
    <row r="19" spans="1:23" x14ac:dyDescent="0.25">
      <c r="A19" s="166" t="s">
        <v>117</v>
      </c>
      <c r="B19" s="132" t="s">
        <v>48</v>
      </c>
      <c r="C19" s="128">
        <v>0.03</v>
      </c>
      <c r="D19" s="2" t="s">
        <v>6</v>
      </c>
    </row>
    <row r="20" spans="1:23" x14ac:dyDescent="0.25">
      <c r="A20" s="166" t="s">
        <v>119</v>
      </c>
      <c r="B20" s="132" t="s">
        <v>48</v>
      </c>
      <c r="C20" s="128" t="s">
        <v>41</v>
      </c>
      <c r="D20" s="2" t="s">
        <v>6</v>
      </c>
      <c r="E20" s="127">
        <v>0</v>
      </c>
    </row>
    <row r="21" spans="1:23" x14ac:dyDescent="0.25">
      <c r="A21" s="166" t="s">
        <v>121</v>
      </c>
      <c r="B21" s="132" t="s">
        <v>48</v>
      </c>
      <c r="C21" s="128" t="s">
        <v>41</v>
      </c>
      <c r="D21" s="2" t="s">
        <v>6</v>
      </c>
      <c r="E21" s="127">
        <v>0</v>
      </c>
    </row>
    <row r="22" spans="1:23" x14ac:dyDescent="0.25">
      <c r="A22" s="166" t="s">
        <v>128</v>
      </c>
      <c r="B22" s="132" t="s">
        <v>48</v>
      </c>
      <c r="C22" s="128">
        <v>0.03</v>
      </c>
      <c r="D22" s="2" t="s">
        <v>6</v>
      </c>
      <c r="E22" s="127"/>
    </row>
    <row r="23" spans="1:23" x14ac:dyDescent="0.25">
      <c r="A23" s="166" t="s">
        <v>132</v>
      </c>
      <c r="B23" s="132" t="s">
        <v>48</v>
      </c>
      <c r="C23" s="128" t="s">
        <v>41</v>
      </c>
      <c r="D23" s="2" t="s">
        <v>6</v>
      </c>
      <c r="E23" s="127">
        <v>0</v>
      </c>
    </row>
    <row r="24" spans="1:23" x14ac:dyDescent="0.25">
      <c r="A24" s="166" t="s">
        <v>124</v>
      </c>
      <c r="B24" s="132" t="s">
        <v>48</v>
      </c>
      <c r="C24" s="128">
        <v>0.03</v>
      </c>
      <c r="D24" s="2" t="s">
        <v>6</v>
      </c>
      <c r="E24" s="127"/>
    </row>
    <row r="25" spans="1:23" x14ac:dyDescent="0.25">
      <c r="A25" s="166" t="s">
        <v>125</v>
      </c>
      <c r="B25" s="132" t="s">
        <v>48</v>
      </c>
      <c r="C25" s="128" t="s">
        <v>41</v>
      </c>
      <c r="D25" s="2" t="s">
        <v>6</v>
      </c>
      <c r="E25" s="127">
        <v>0</v>
      </c>
    </row>
    <row r="26" spans="1:23" x14ac:dyDescent="0.25">
      <c r="A26" s="166" t="s">
        <v>130</v>
      </c>
      <c r="B26" s="132" t="s">
        <v>48</v>
      </c>
      <c r="C26" s="128">
        <v>0.03</v>
      </c>
      <c r="D26" s="2" t="s">
        <v>6</v>
      </c>
      <c r="E26" s="127"/>
    </row>
    <row r="27" spans="1:23" x14ac:dyDescent="0.25">
      <c r="A27" s="166" t="s">
        <v>131</v>
      </c>
      <c r="B27" s="132" t="s">
        <v>48</v>
      </c>
      <c r="C27" s="128" t="s">
        <v>41</v>
      </c>
      <c r="D27" s="2" t="s">
        <v>6</v>
      </c>
      <c r="E27" s="127">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132" t="s">
        <v>48</v>
      </c>
      <c r="C30" s="128">
        <v>0.03</v>
      </c>
      <c r="D30" s="2" t="s">
        <v>6</v>
      </c>
    </row>
    <row r="31" spans="1:23" x14ac:dyDescent="0.25">
      <c r="A31" s="166" t="s">
        <v>113</v>
      </c>
      <c r="B31" s="132" t="s">
        <v>48</v>
      </c>
      <c r="C31" s="128">
        <v>0.03</v>
      </c>
      <c r="D31" s="2" t="s">
        <v>6</v>
      </c>
    </row>
    <row r="32" spans="1:23" x14ac:dyDescent="0.25">
      <c r="A32" s="166" t="s">
        <v>115</v>
      </c>
      <c r="B32" s="132" t="s">
        <v>48</v>
      </c>
      <c r="C32" s="128">
        <v>0.03</v>
      </c>
      <c r="D32" s="2" t="s">
        <v>6</v>
      </c>
    </row>
    <row r="33" spans="1:23" x14ac:dyDescent="0.25">
      <c r="A33" s="166" t="s">
        <v>117</v>
      </c>
      <c r="B33" s="132" t="s">
        <v>48</v>
      </c>
      <c r="C33" s="128">
        <v>0.03</v>
      </c>
      <c r="D33" s="2" t="s">
        <v>6</v>
      </c>
    </row>
    <row r="34" spans="1:23" x14ac:dyDescent="0.25">
      <c r="A34" s="166" t="s">
        <v>119</v>
      </c>
      <c r="B34" s="132" t="s">
        <v>48</v>
      </c>
      <c r="C34" s="128" t="s">
        <v>41</v>
      </c>
      <c r="D34" s="2" t="s">
        <v>6</v>
      </c>
      <c r="E34" s="129">
        <v>0</v>
      </c>
    </row>
    <row r="35" spans="1:23" x14ac:dyDescent="0.25">
      <c r="A35" s="166" t="s">
        <v>121</v>
      </c>
      <c r="B35" s="132" t="s">
        <v>48</v>
      </c>
      <c r="C35" s="128" t="s">
        <v>41</v>
      </c>
      <c r="D35" s="2" t="s">
        <v>6</v>
      </c>
      <c r="E35" s="129">
        <v>0</v>
      </c>
    </row>
    <row r="36" spans="1:23" x14ac:dyDescent="0.25">
      <c r="A36" s="166" t="s">
        <v>128</v>
      </c>
      <c r="B36" s="132" t="s">
        <v>48</v>
      </c>
      <c r="C36" s="128">
        <v>0.03</v>
      </c>
      <c r="D36" s="2" t="s">
        <v>6</v>
      </c>
      <c r="E36" s="129"/>
    </row>
    <row r="37" spans="1:23" x14ac:dyDescent="0.25">
      <c r="A37" s="166" t="s">
        <v>132</v>
      </c>
      <c r="B37" s="132" t="s">
        <v>48</v>
      </c>
      <c r="C37" s="128" t="s">
        <v>41</v>
      </c>
      <c r="D37" s="2" t="s">
        <v>6</v>
      </c>
      <c r="E37" s="129">
        <v>0</v>
      </c>
    </row>
    <row r="38" spans="1:23" x14ac:dyDescent="0.25">
      <c r="A38" s="166" t="s">
        <v>124</v>
      </c>
      <c r="B38" s="132" t="s">
        <v>48</v>
      </c>
      <c r="C38" s="128">
        <v>0.03</v>
      </c>
      <c r="D38" s="2" t="s">
        <v>6</v>
      </c>
      <c r="E38" s="129"/>
    </row>
    <row r="39" spans="1:23" x14ac:dyDescent="0.25">
      <c r="A39" s="166" t="s">
        <v>125</v>
      </c>
      <c r="B39" s="132" t="s">
        <v>48</v>
      </c>
      <c r="C39" s="128" t="s">
        <v>41</v>
      </c>
      <c r="D39" s="2" t="s">
        <v>6</v>
      </c>
      <c r="E39" s="129">
        <v>0</v>
      </c>
    </row>
    <row r="40" spans="1:23" x14ac:dyDescent="0.25">
      <c r="A40" s="166" t="s">
        <v>130</v>
      </c>
      <c r="B40" s="132" t="s">
        <v>48</v>
      </c>
      <c r="C40" s="128">
        <v>0.03</v>
      </c>
      <c r="D40" s="2" t="s">
        <v>6</v>
      </c>
      <c r="E40" s="129"/>
    </row>
    <row r="41" spans="1:23" x14ac:dyDescent="0.25">
      <c r="A41" s="166" t="s">
        <v>131</v>
      </c>
      <c r="B41" s="132" t="s">
        <v>48</v>
      </c>
      <c r="C41" s="128" t="s">
        <v>41</v>
      </c>
      <c r="D41" s="2" t="s">
        <v>6</v>
      </c>
      <c r="E41" s="129">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132" t="s">
        <v>48</v>
      </c>
      <c r="C44" s="130">
        <v>0.16</v>
      </c>
      <c r="D44" s="2" t="s">
        <v>6</v>
      </c>
    </row>
    <row r="45" spans="1:23" x14ac:dyDescent="0.25">
      <c r="A45" s="166" t="s">
        <v>113</v>
      </c>
      <c r="B45" s="132" t="s">
        <v>48</v>
      </c>
      <c r="C45" s="130">
        <v>0.16</v>
      </c>
      <c r="D45" s="2" t="s">
        <v>6</v>
      </c>
    </row>
    <row r="46" spans="1:23" x14ac:dyDescent="0.25">
      <c r="A46" s="166" t="s">
        <v>115</v>
      </c>
      <c r="B46" s="132" t="s">
        <v>48</v>
      </c>
      <c r="C46" s="130">
        <v>0.16</v>
      </c>
      <c r="D46" s="2" t="s">
        <v>6</v>
      </c>
    </row>
    <row r="47" spans="1:23" x14ac:dyDescent="0.25">
      <c r="A47" s="166" t="s">
        <v>117</v>
      </c>
      <c r="B47" s="132" t="s">
        <v>48</v>
      </c>
      <c r="C47" s="130">
        <v>0.16</v>
      </c>
      <c r="D47" s="2" t="s">
        <v>6</v>
      </c>
    </row>
    <row r="48" spans="1:23" x14ac:dyDescent="0.25">
      <c r="A48" s="166" t="s">
        <v>119</v>
      </c>
      <c r="B48" s="132" t="s">
        <v>48</v>
      </c>
      <c r="C48" s="130" t="s">
        <v>41</v>
      </c>
      <c r="D48" s="2" t="s">
        <v>6</v>
      </c>
      <c r="E48" s="134">
        <v>0</v>
      </c>
    </row>
    <row r="49" spans="1:23" x14ac:dyDescent="0.25">
      <c r="A49" s="166" t="s">
        <v>121</v>
      </c>
      <c r="B49" s="132" t="s">
        <v>48</v>
      </c>
      <c r="C49" s="130" t="s">
        <v>41</v>
      </c>
      <c r="D49" s="2" t="s">
        <v>6</v>
      </c>
      <c r="E49" s="134">
        <v>0</v>
      </c>
    </row>
    <row r="50" spans="1:23" x14ac:dyDescent="0.25">
      <c r="A50" s="166" t="s">
        <v>128</v>
      </c>
      <c r="B50" s="132" t="s">
        <v>48</v>
      </c>
      <c r="C50" s="130">
        <v>0.16</v>
      </c>
      <c r="D50" s="2" t="s">
        <v>6</v>
      </c>
      <c r="E50" s="134"/>
    </row>
    <row r="51" spans="1:23" x14ac:dyDescent="0.25">
      <c r="A51" s="166" t="s">
        <v>132</v>
      </c>
      <c r="B51" s="132" t="s">
        <v>48</v>
      </c>
      <c r="C51" s="130" t="s">
        <v>41</v>
      </c>
      <c r="D51" s="2" t="s">
        <v>6</v>
      </c>
      <c r="E51" s="134">
        <v>0</v>
      </c>
    </row>
    <row r="52" spans="1:23" x14ac:dyDescent="0.25">
      <c r="A52" s="166" t="s">
        <v>124</v>
      </c>
      <c r="B52" s="132" t="s">
        <v>48</v>
      </c>
      <c r="C52" s="130">
        <v>0.16</v>
      </c>
      <c r="D52" s="2" t="s">
        <v>6</v>
      </c>
      <c r="E52" s="134"/>
    </row>
    <row r="53" spans="1:23" x14ac:dyDescent="0.25">
      <c r="A53" s="166" t="s">
        <v>125</v>
      </c>
      <c r="B53" s="132" t="s">
        <v>48</v>
      </c>
      <c r="C53" s="130" t="s">
        <v>41</v>
      </c>
      <c r="D53" s="2" t="s">
        <v>6</v>
      </c>
      <c r="E53" s="134">
        <v>0</v>
      </c>
    </row>
    <row r="54" spans="1:23" x14ac:dyDescent="0.25">
      <c r="A54" s="166" t="s">
        <v>130</v>
      </c>
      <c r="B54" s="132" t="s">
        <v>48</v>
      </c>
      <c r="C54" s="130">
        <v>0.16</v>
      </c>
      <c r="D54" s="2" t="s">
        <v>6</v>
      </c>
      <c r="E54" s="134"/>
    </row>
    <row r="55" spans="1:23" x14ac:dyDescent="0.25">
      <c r="A55" s="166" t="s">
        <v>131</v>
      </c>
      <c r="B55" s="132" t="s">
        <v>48</v>
      </c>
      <c r="C55" s="130" t="s">
        <v>41</v>
      </c>
      <c r="D55" s="2" t="s">
        <v>6</v>
      </c>
      <c r="E55" s="134">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132" t="s">
        <v>48</v>
      </c>
      <c r="C58" s="131">
        <v>0.16</v>
      </c>
      <c r="D58" s="2" t="s">
        <v>6</v>
      </c>
    </row>
    <row r="59" spans="1:23" x14ac:dyDescent="0.25">
      <c r="A59" s="166" t="s">
        <v>113</v>
      </c>
      <c r="B59" s="132" t="s">
        <v>48</v>
      </c>
      <c r="C59" s="131">
        <v>0.16</v>
      </c>
      <c r="D59" s="2" t="s">
        <v>6</v>
      </c>
    </row>
    <row r="60" spans="1:23" x14ac:dyDescent="0.25">
      <c r="A60" s="166" t="s">
        <v>115</v>
      </c>
      <c r="B60" s="132" t="s">
        <v>48</v>
      </c>
      <c r="C60" s="131">
        <v>0.16</v>
      </c>
      <c r="D60" s="2" t="s">
        <v>6</v>
      </c>
    </row>
    <row r="61" spans="1:23" x14ac:dyDescent="0.25">
      <c r="A61" s="166" t="s">
        <v>117</v>
      </c>
      <c r="B61" s="132" t="s">
        <v>48</v>
      </c>
      <c r="C61" s="131">
        <v>0.16</v>
      </c>
      <c r="D61" s="2" t="s">
        <v>6</v>
      </c>
    </row>
    <row r="62" spans="1:23" x14ac:dyDescent="0.25">
      <c r="A62" s="166" t="s">
        <v>119</v>
      </c>
      <c r="B62" s="132" t="s">
        <v>48</v>
      </c>
      <c r="C62" s="131" t="s">
        <v>41</v>
      </c>
      <c r="D62" s="2" t="s">
        <v>6</v>
      </c>
      <c r="E62" s="134">
        <v>0</v>
      </c>
    </row>
    <row r="63" spans="1:23" x14ac:dyDescent="0.25">
      <c r="A63" s="166" t="s">
        <v>121</v>
      </c>
      <c r="B63" s="132" t="s">
        <v>48</v>
      </c>
      <c r="C63" s="131" t="s">
        <v>41</v>
      </c>
      <c r="D63" s="2" t="s">
        <v>6</v>
      </c>
      <c r="E63" s="134">
        <v>0</v>
      </c>
    </row>
    <row r="64" spans="1:23" x14ac:dyDescent="0.25">
      <c r="A64" s="166" t="s">
        <v>128</v>
      </c>
      <c r="B64" s="132" t="s">
        <v>48</v>
      </c>
      <c r="C64" s="131">
        <v>0.16</v>
      </c>
      <c r="D64" s="2" t="s">
        <v>6</v>
      </c>
      <c r="E64" s="134"/>
    </row>
    <row r="65" spans="1:23" x14ac:dyDescent="0.25">
      <c r="A65" s="166" t="s">
        <v>132</v>
      </c>
      <c r="B65" s="132" t="s">
        <v>48</v>
      </c>
      <c r="C65" s="131" t="s">
        <v>41</v>
      </c>
      <c r="D65" s="2" t="s">
        <v>6</v>
      </c>
      <c r="E65" s="134">
        <v>0</v>
      </c>
    </row>
    <row r="66" spans="1:23" x14ac:dyDescent="0.25">
      <c r="A66" s="166" t="s">
        <v>124</v>
      </c>
      <c r="B66" s="132" t="s">
        <v>48</v>
      </c>
      <c r="C66" s="131">
        <v>0.16</v>
      </c>
      <c r="D66" s="2" t="s">
        <v>6</v>
      </c>
      <c r="E66" s="134"/>
    </row>
    <row r="67" spans="1:23" x14ac:dyDescent="0.25">
      <c r="A67" s="166" t="s">
        <v>125</v>
      </c>
      <c r="B67" s="132" t="s">
        <v>48</v>
      </c>
      <c r="C67" s="131" t="s">
        <v>41</v>
      </c>
      <c r="D67" s="2" t="s">
        <v>6</v>
      </c>
      <c r="E67" s="134">
        <v>0</v>
      </c>
    </row>
    <row r="68" spans="1:23" x14ac:dyDescent="0.25">
      <c r="A68" s="166" t="s">
        <v>130</v>
      </c>
      <c r="B68" s="132" t="s">
        <v>48</v>
      </c>
      <c r="C68" s="131">
        <v>0.16</v>
      </c>
      <c r="D68" s="2" t="s">
        <v>6</v>
      </c>
      <c r="E68" s="134"/>
    </row>
    <row r="69" spans="1:23" x14ac:dyDescent="0.25">
      <c r="A69" s="166" t="s">
        <v>131</v>
      </c>
      <c r="B69" s="132" t="s">
        <v>48</v>
      </c>
      <c r="C69" s="131" t="s">
        <v>41</v>
      </c>
      <c r="D69" s="2" t="s">
        <v>6</v>
      </c>
      <c r="E69" s="134">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132" t="s">
        <v>48</v>
      </c>
      <c r="C72" s="133">
        <v>0.16</v>
      </c>
      <c r="D72" s="2" t="s">
        <v>6</v>
      </c>
    </row>
    <row r="73" spans="1:23" x14ac:dyDescent="0.25">
      <c r="A73" s="166" t="s">
        <v>113</v>
      </c>
      <c r="B73" s="132" t="s">
        <v>48</v>
      </c>
      <c r="C73" s="133">
        <v>0.16</v>
      </c>
      <c r="D73" s="2" t="s">
        <v>6</v>
      </c>
    </row>
    <row r="74" spans="1:23" x14ac:dyDescent="0.25">
      <c r="A74" s="166" t="s">
        <v>115</v>
      </c>
      <c r="B74" s="132" t="s">
        <v>48</v>
      </c>
      <c r="C74" s="133">
        <v>0.16</v>
      </c>
      <c r="D74" s="2" t="s">
        <v>6</v>
      </c>
    </row>
    <row r="75" spans="1:23" x14ac:dyDescent="0.25">
      <c r="A75" s="166" t="s">
        <v>117</v>
      </c>
      <c r="B75" s="132" t="s">
        <v>48</v>
      </c>
      <c r="C75" s="133">
        <v>0.16</v>
      </c>
      <c r="D75" s="2" t="s">
        <v>6</v>
      </c>
    </row>
    <row r="76" spans="1:23" x14ac:dyDescent="0.25">
      <c r="A76" s="166" t="s">
        <v>119</v>
      </c>
      <c r="B76" s="132" t="s">
        <v>48</v>
      </c>
      <c r="C76" s="133" t="s">
        <v>41</v>
      </c>
      <c r="D76" s="2" t="s">
        <v>6</v>
      </c>
      <c r="E76" s="134">
        <v>0</v>
      </c>
    </row>
    <row r="77" spans="1:23" x14ac:dyDescent="0.25">
      <c r="A77" s="166" t="s">
        <v>121</v>
      </c>
      <c r="B77" s="132" t="s">
        <v>48</v>
      </c>
      <c r="C77" s="133" t="s">
        <v>41</v>
      </c>
      <c r="D77" s="2" t="s">
        <v>6</v>
      </c>
      <c r="E77" s="134">
        <v>0</v>
      </c>
    </row>
    <row r="78" spans="1:23" x14ac:dyDescent="0.25">
      <c r="A78" s="166" t="s">
        <v>128</v>
      </c>
      <c r="B78" s="132" t="s">
        <v>48</v>
      </c>
      <c r="C78" s="133">
        <v>0.16</v>
      </c>
      <c r="D78" s="2" t="s">
        <v>6</v>
      </c>
      <c r="E78" s="134"/>
    </row>
    <row r="79" spans="1:23" x14ac:dyDescent="0.25">
      <c r="A79" s="166" t="s">
        <v>132</v>
      </c>
      <c r="B79" s="132" t="s">
        <v>48</v>
      </c>
      <c r="C79" s="133" t="s">
        <v>41</v>
      </c>
      <c r="D79" s="2" t="s">
        <v>6</v>
      </c>
      <c r="E79" s="134">
        <v>0</v>
      </c>
    </row>
    <row r="80" spans="1:23" x14ac:dyDescent="0.25">
      <c r="A80" s="166" t="s">
        <v>124</v>
      </c>
      <c r="B80" s="132" t="s">
        <v>48</v>
      </c>
      <c r="C80" s="133">
        <v>0.16</v>
      </c>
      <c r="D80" s="2" t="s">
        <v>6</v>
      </c>
      <c r="E80" s="134"/>
    </row>
    <row r="81" spans="1:23" x14ac:dyDescent="0.25">
      <c r="A81" s="166" t="s">
        <v>125</v>
      </c>
      <c r="B81" s="132" t="s">
        <v>48</v>
      </c>
      <c r="C81" s="133" t="s">
        <v>41</v>
      </c>
      <c r="D81" s="2" t="s">
        <v>6</v>
      </c>
      <c r="E81" s="134">
        <v>0</v>
      </c>
    </row>
    <row r="82" spans="1:23" x14ac:dyDescent="0.25">
      <c r="A82" s="166" t="s">
        <v>130</v>
      </c>
      <c r="B82" s="132" t="s">
        <v>48</v>
      </c>
      <c r="C82" s="133">
        <v>0.16</v>
      </c>
      <c r="D82" s="2" t="s">
        <v>6</v>
      </c>
      <c r="E82" s="134"/>
    </row>
    <row r="83" spans="1:23" x14ac:dyDescent="0.25">
      <c r="A83" s="166" t="s">
        <v>131</v>
      </c>
      <c r="B83" s="132" t="s">
        <v>48</v>
      </c>
      <c r="C83" s="133" t="s">
        <v>41</v>
      </c>
      <c r="D83" s="2" t="s">
        <v>6</v>
      </c>
      <c r="E83" s="134">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132" t="s">
        <v>48</v>
      </c>
      <c r="C86">
        <f t="shared" ref="C86:C97" si="0">IF(SUMPRODUCT(--(E86:W86&lt;&gt;""))=0,0,"N.A.")</f>
        <v>0</v>
      </c>
      <c r="D86" s="2" t="s">
        <v>6</v>
      </c>
    </row>
    <row r="87" spans="1:23" x14ac:dyDescent="0.25">
      <c r="A87" s="166" t="s">
        <v>113</v>
      </c>
      <c r="B87" s="132" t="s">
        <v>48</v>
      </c>
      <c r="C87">
        <f t="shared" si="0"/>
        <v>0</v>
      </c>
      <c r="D87" s="2" t="s">
        <v>6</v>
      </c>
    </row>
    <row r="88" spans="1:23" x14ac:dyDescent="0.25">
      <c r="A88" s="166" t="s">
        <v>115</v>
      </c>
      <c r="B88" s="132" t="s">
        <v>48</v>
      </c>
      <c r="C88">
        <f t="shared" si="0"/>
        <v>0</v>
      </c>
      <c r="D88" s="2" t="s">
        <v>6</v>
      </c>
    </row>
    <row r="89" spans="1:23" x14ac:dyDescent="0.25">
      <c r="A89" s="166" t="s">
        <v>117</v>
      </c>
      <c r="B89" s="132" t="s">
        <v>48</v>
      </c>
      <c r="C89">
        <f t="shared" si="0"/>
        <v>0</v>
      </c>
      <c r="D89" s="2" t="s">
        <v>6</v>
      </c>
    </row>
    <row r="90" spans="1:23" x14ac:dyDescent="0.25">
      <c r="A90" s="166" t="s">
        <v>119</v>
      </c>
      <c r="B90" s="132" t="s">
        <v>48</v>
      </c>
      <c r="C90">
        <f t="shared" si="0"/>
        <v>0</v>
      </c>
      <c r="D90" s="2" t="s">
        <v>6</v>
      </c>
    </row>
    <row r="91" spans="1:23" x14ac:dyDescent="0.25">
      <c r="A91" s="166" t="s">
        <v>121</v>
      </c>
      <c r="B91" s="132" t="s">
        <v>48</v>
      </c>
      <c r="C91">
        <f t="shared" si="0"/>
        <v>0</v>
      </c>
      <c r="D91" s="2" t="s">
        <v>6</v>
      </c>
    </row>
    <row r="92" spans="1:23" x14ac:dyDescent="0.25">
      <c r="A92" s="166" t="s">
        <v>128</v>
      </c>
      <c r="B92" s="132" t="s">
        <v>48</v>
      </c>
      <c r="C92">
        <f t="shared" si="0"/>
        <v>0</v>
      </c>
      <c r="D92" s="2" t="s">
        <v>6</v>
      </c>
    </row>
    <row r="93" spans="1:23" x14ac:dyDescent="0.25">
      <c r="A93" s="166" t="s">
        <v>132</v>
      </c>
      <c r="B93" s="132" t="s">
        <v>48</v>
      </c>
      <c r="C93">
        <f t="shared" si="0"/>
        <v>0</v>
      </c>
      <c r="D93" s="2" t="s">
        <v>6</v>
      </c>
    </row>
    <row r="94" spans="1:23" x14ac:dyDescent="0.25">
      <c r="A94" s="166" t="s">
        <v>124</v>
      </c>
      <c r="B94" s="132" t="s">
        <v>48</v>
      </c>
      <c r="C94">
        <f t="shared" si="0"/>
        <v>0</v>
      </c>
      <c r="D94" s="2" t="s">
        <v>6</v>
      </c>
    </row>
    <row r="95" spans="1:23" x14ac:dyDescent="0.25">
      <c r="A95" s="166" t="s">
        <v>125</v>
      </c>
      <c r="B95" s="132" t="s">
        <v>48</v>
      </c>
      <c r="C95">
        <f t="shared" si="0"/>
        <v>0</v>
      </c>
      <c r="D95" s="2" t="s">
        <v>6</v>
      </c>
    </row>
    <row r="96" spans="1:23" x14ac:dyDescent="0.25">
      <c r="A96" s="166" t="s">
        <v>130</v>
      </c>
      <c r="B96" s="132" t="s">
        <v>48</v>
      </c>
      <c r="C96">
        <f t="shared" si="0"/>
        <v>0</v>
      </c>
      <c r="D96" s="2" t="s">
        <v>6</v>
      </c>
    </row>
    <row r="97" spans="1:23" x14ac:dyDescent="0.25">
      <c r="A97" s="166" t="s">
        <v>131</v>
      </c>
      <c r="B97" s="132"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132" t="s">
        <v>48</v>
      </c>
      <c r="C100">
        <f t="shared" ref="C100:C111" si="1">IF(SUMPRODUCT(--(E100:W100&lt;&gt;""))=0,0,"N.A.")</f>
        <v>0</v>
      </c>
      <c r="D100" s="2" t="s">
        <v>6</v>
      </c>
    </row>
    <row r="101" spans="1:23" x14ac:dyDescent="0.25">
      <c r="A101" s="166" t="s">
        <v>113</v>
      </c>
      <c r="B101" s="132" t="s">
        <v>48</v>
      </c>
      <c r="C101">
        <f t="shared" si="1"/>
        <v>0</v>
      </c>
      <c r="D101" s="2" t="s">
        <v>6</v>
      </c>
    </row>
    <row r="102" spans="1:23" x14ac:dyDescent="0.25">
      <c r="A102" s="166" t="s">
        <v>115</v>
      </c>
      <c r="B102" s="132" t="s">
        <v>48</v>
      </c>
      <c r="C102">
        <f t="shared" si="1"/>
        <v>0</v>
      </c>
      <c r="D102" s="2" t="s">
        <v>6</v>
      </c>
    </row>
    <row r="103" spans="1:23" x14ac:dyDescent="0.25">
      <c r="A103" s="166" t="s">
        <v>117</v>
      </c>
      <c r="B103" s="132" t="s">
        <v>48</v>
      </c>
      <c r="C103">
        <f t="shared" si="1"/>
        <v>0</v>
      </c>
      <c r="D103" s="2" t="s">
        <v>6</v>
      </c>
    </row>
    <row r="104" spans="1:23" x14ac:dyDescent="0.25">
      <c r="A104" s="166" t="s">
        <v>119</v>
      </c>
      <c r="B104" s="132" t="s">
        <v>48</v>
      </c>
      <c r="C104">
        <f t="shared" si="1"/>
        <v>0</v>
      </c>
      <c r="D104" s="2" t="s">
        <v>6</v>
      </c>
    </row>
    <row r="105" spans="1:23" x14ac:dyDescent="0.25">
      <c r="A105" s="166" t="s">
        <v>121</v>
      </c>
      <c r="B105" s="132" t="s">
        <v>48</v>
      </c>
      <c r="C105">
        <f t="shared" si="1"/>
        <v>0</v>
      </c>
      <c r="D105" s="2" t="s">
        <v>6</v>
      </c>
    </row>
    <row r="106" spans="1:23" x14ac:dyDescent="0.25">
      <c r="A106" s="166" t="s">
        <v>128</v>
      </c>
      <c r="B106" s="132" t="s">
        <v>48</v>
      </c>
      <c r="C106">
        <f t="shared" si="1"/>
        <v>0</v>
      </c>
      <c r="D106" s="2" t="s">
        <v>6</v>
      </c>
    </row>
    <row r="107" spans="1:23" x14ac:dyDescent="0.25">
      <c r="A107" s="166" t="s">
        <v>132</v>
      </c>
      <c r="B107" s="132" t="s">
        <v>48</v>
      </c>
      <c r="C107">
        <f t="shared" si="1"/>
        <v>0</v>
      </c>
      <c r="D107" s="2" t="s">
        <v>6</v>
      </c>
    </row>
    <row r="108" spans="1:23" x14ac:dyDescent="0.25">
      <c r="A108" s="166" t="s">
        <v>124</v>
      </c>
      <c r="B108" s="132" t="s">
        <v>48</v>
      </c>
      <c r="C108">
        <f t="shared" si="1"/>
        <v>0</v>
      </c>
      <c r="D108" s="2" t="s">
        <v>6</v>
      </c>
    </row>
    <row r="109" spans="1:23" x14ac:dyDescent="0.25">
      <c r="A109" s="166" t="s">
        <v>125</v>
      </c>
      <c r="B109" s="132" t="s">
        <v>48</v>
      </c>
      <c r="C109">
        <f t="shared" si="1"/>
        <v>0</v>
      </c>
      <c r="D109" s="2" t="s">
        <v>6</v>
      </c>
    </row>
    <row r="110" spans="1:23" x14ac:dyDescent="0.25">
      <c r="A110" s="166" t="s">
        <v>130</v>
      </c>
      <c r="B110" s="132" t="s">
        <v>48</v>
      </c>
      <c r="C110">
        <f t="shared" si="1"/>
        <v>0</v>
      </c>
      <c r="D110" s="2" t="s">
        <v>6</v>
      </c>
    </row>
    <row r="111" spans="1:23" x14ac:dyDescent="0.25">
      <c r="A111" s="166" t="s">
        <v>131</v>
      </c>
      <c r="B111" s="132"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s="132" t="s">
        <v>48</v>
      </c>
      <c r="C114">
        <f t="shared" ref="C114:C125" si="2">IF(SUMPRODUCT(--(E114:W114&lt;&gt;""))=0,0,"N.A.")</f>
        <v>0</v>
      </c>
      <c r="D114" s="2" t="s">
        <v>6</v>
      </c>
    </row>
    <row r="115" spans="1:23" x14ac:dyDescent="0.25">
      <c r="A115" s="166" t="s">
        <v>113</v>
      </c>
      <c r="B115" s="132" t="s">
        <v>48</v>
      </c>
      <c r="C115">
        <f t="shared" si="2"/>
        <v>0</v>
      </c>
      <c r="D115" s="2" t="s">
        <v>6</v>
      </c>
    </row>
    <row r="116" spans="1:23" x14ac:dyDescent="0.25">
      <c r="A116" s="166" t="s">
        <v>115</v>
      </c>
      <c r="B116" s="132" t="s">
        <v>48</v>
      </c>
      <c r="C116">
        <f t="shared" si="2"/>
        <v>0</v>
      </c>
      <c r="D116" s="2" t="s">
        <v>6</v>
      </c>
    </row>
    <row r="117" spans="1:23" x14ac:dyDescent="0.25">
      <c r="A117" s="166" t="s">
        <v>117</v>
      </c>
      <c r="B117" s="132" t="s">
        <v>48</v>
      </c>
      <c r="C117">
        <f t="shared" si="2"/>
        <v>0</v>
      </c>
      <c r="D117" s="2" t="s">
        <v>6</v>
      </c>
    </row>
    <row r="118" spans="1:23" x14ac:dyDescent="0.25">
      <c r="A118" s="166" t="s">
        <v>119</v>
      </c>
      <c r="B118" s="132" t="s">
        <v>48</v>
      </c>
      <c r="C118">
        <f t="shared" si="2"/>
        <v>0</v>
      </c>
      <c r="D118" s="2" t="s">
        <v>6</v>
      </c>
    </row>
    <row r="119" spans="1:23" x14ac:dyDescent="0.25">
      <c r="A119" s="166" t="s">
        <v>121</v>
      </c>
      <c r="B119" s="132" t="s">
        <v>48</v>
      </c>
      <c r="C119">
        <f t="shared" si="2"/>
        <v>0</v>
      </c>
      <c r="D119" s="2" t="s">
        <v>6</v>
      </c>
    </row>
    <row r="120" spans="1:23" x14ac:dyDescent="0.25">
      <c r="A120" s="166" t="s">
        <v>128</v>
      </c>
      <c r="B120" s="132" t="s">
        <v>48</v>
      </c>
      <c r="C120">
        <f t="shared" si="2"/>
        <v>0</v>
      </c>
      <c r="D120" s="2" t="s">
        <v>6</v>
      </c>
    </row>
    <row r="121" spans="1:23" x14ac:dyDescent="0.25">
      <c r="A121" s="166" t="s">
        <v>132</v>
      </c>
      <c r="B121" s="132" t="s">
        <v>48</v>
      </c>
      <c r="C121">
        <f t="shared" si="2"/>
        <v>0</v>
      </c>
      <c r="D121" s="2" t="s">
        <v>6</v>
      </c>
    </row>
    <row r="122" spans="1:23" x14ac:dyDescent="0.25">
      <c r="A122" s="166" t="s">
        <v>124</v>
      </c>
      <c r="B122" s="132" t="s">
        <v>48</v>
      </c>
      <c r="C122">
        <f t="shared" si="2"/>
        <v>0</v>
      </c>
      <c r="D122" s="2" t="s">
        <v>6</v>
      </c>
    </row>
    <row r="123" spans="1:23" x14ac:dyDescent="0.25">
      <c r="A123" s="166" t="s">
        <v>125</v>
      </c>
      <c r="B123" s="132" t="s">
        <v>48</v>
      </c>
      <c r="C123">
        <f t="shared" si="2"/>
        <v>0</v>
      </c>
      <c r="D123" s="2" t="s">
        <v>6</v>
      </c>
    </row>
    <row r="124" spans="1:23" x14ac:dyDescent="0.25">
      <c r="A124" s="166" t="s">
        <v>130</v>
      </c>
      <c r="B124" s="132" t="s">
        <v>48</v>
      </c>
      <c r="C124">
        <f t="shared" si="2"/>
        <v>0</v>
      </c>
      <c r="D124" s="2" t="s">
        <v>6</v>
      </c>
    </row>
    <row r="125" spans="1:23" x14ac:dyDescent="0.25">
      <c r="A125" s="166" t="s">
        <v>131</v>
      </c>
      <c r="B125" s="132"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s="132" t="s">
        <v>48</v>
      </c>
      <c r="C128">
        <f t="shared" ref="C128:C139" si="3">IF(SUMPRODUCT(--(E128:W128&lt;&gt;""))=0,0,"N.A.")</f>
        <v>0</v>
      </c>
      <c r="D128" s="2" t="s">
        <v>6</v>
      </c>
    </row>
    <row r="129" spans="1:4" x14ac:dyDescent="0.25">
      <c r="A129" s="166" t="s">
        <v>113</v>
      </c>
      <c r="B129" s="132" t="s">
        <v>48</v>
      </c>
      <c r="C129">
        <f t="shared" si="3"/>
        <v>0</v>
      </c>
      <c r="D129" s="2" t="s">
        <v>6</v>
      </c>
    </row>
    <row r="130" spans="1:4" x14ac:dyDescent="0.25">
      <c r="A130" s="166" t="s">
        <v>115</v>
      </c>
      <c r="B130" s="132" t="s">
        <v>48</v>
      </c>
      <c r="C130">
        <f t="shared" si="3"/>
        <v>0</v>
      </c>
      <c r="D130" s="2" t="s">
        <v>6</v>
      </c>
    </row>
    <row r="131" spans="1:4" x14ac:dyDescent="0.25">
      <c r="A131" s="166" t="s">
        <v>117</v>
      </c>
      <c r="B131" s="132" t="s">
        <v>48</v>
      </c>
      <c r="C131">
        <f t="shared" si="3"/>
        <v>0</v>
      </c>
      <c r="D131" s="2" t="s">
        <v>6</v>
      </c>
    </row>
    <row r="132" spans="1:4" x14ac:dyDescent="0.25">
      <c r="A132" s="166" t="s">
        <v>119</v>
      </c>
      <c r="B132" s="132" t="s">
        <v>48</v>
      </c>
      <c r="C132">
        <f t="shared" si="3"/>
        <v>0</v>
      </c>
      <c r="D132" s="2" t="s">
        <v>6</v>
      </c>
    </row>
    <row r="133" spans="1:4" x14ac:dyDescent="0.25">
      <c r="A133" s="166" t="s">
        <v>121</v>
      </c>
      <c r="B133" s="132" t="s">
        <v>48</v>
      </c>
      <c r="C133">
        <f t="shared" si="3"/>
        <v>0</v>
      </c>
      <c r="D133" s="2" t="s">
        <v>6</v>
      </c>
    </row>
    <row r="134" spans="1:4" x14ac:dyDescent="0.25">
      <c r="A134" s="166" t="s">
        <v>128</v>
      </c>
      <c r="B134" s="132" t="s">
        <v>48</v>
      </c>
      <c r="C134">
        <f t="shared" si="3"/>
        <v>0</v>
      </c>
      <c r="D134" s="2" t="s">
        <v>6</v>
      </c>
    </row>
    <row r="135" spans="1:4" x14ac:dyDescent="0.25">
      <c r="A135" s="166" t="s">
        <v>132</v>
      </c>
      <c r="B135" s="132" t="s">
        <v>48</v>
      </c>
      <c r="C135">
        <f t="shared" si="3"/>
        <v>0</v>
      </c>
      <c r="D135" s="2" t="s">
        <v>6</v>
      </c>
    </row>
    <row r="136" spans="1:4" x14ac:dyDescent="0.25">
      <c r="A136" s="166" t="s">
        <v>124</v>
      </c>
      <c r="B136" s="132" t="s">
        <v>48</v>
      </c>
      <c r="C136">
        <f t="shared" si="3"/>
        <v>0</v>
      </c>
      <c r="D136" s="2" t="s">
        <v>6</v>
      </c>
    </row>
    <row r="137" spans="1:4" x14ac:dyDescent="0.25">
      <c r="A137" s="166" t="s">
        <v>125</v>
      </c>
      <c r="B137" s="132" t="s">
        <v>48</v>
      </c>
      <c r="C137">
        <f t="shared" si="3"/>
        <v>0</v>
      </c>
      <c r="D137" s="2" t="s">
        <v>6</v>
      </c>
    </row>
    <row r="138" spans="1:4" x14ac:dyDescent="0.25">
      <c r="A138" s="166" t="s">
        <v>130</v>
      </c>
      <c r="B138" s="132" t="s">
        <v>48</v>
      </c>
      <c r="C138">
        <f t="shared" si="3"/>
        <v>0</v>
      </c>
      <c r="D138" s="2" t="s">
        <v>6</v>
      </c>
    </row>
    <row r="139" spans="1:4" x14ac:dyDescent="0.25">
      <c r="A139" s="166" t="s">
        <v>131</v>
      </c>
      <c r="B139" s="132"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zoomScale="70" zoomScaleNormal="70" workbookViewId="0">
      <selection activeCell="A2" sqref="A2:A13"/>
    </sheetView>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s="132" t="s">
        <v>48</v>
      </c>
      <c r="C2" t="str">
        <f t="shared" ref="C2:C13" si="0">IF(SUMPRODUCT(--(E2:W2&lt;&gt;""))=0,0,"N.A.")</f>
        <v>N.A.</v>
      </c>
      <c r="D2" s="2" t="s">
        <v>6</v>
      </c>
      <c r="E2" s="151">
        <f>0.00725373961218837+(0.12)</f>
        <v>0.12725373961218836</v>
      </c>
      <c r="F2" s="151">
        <f>0.00754172015404365+(0.12)</f>
        <v>0.12754172015404364</v>
      </c>
      <c r="G2" s="151">
        <f>0.00859907578558225+(0.12)</f>
        <v>0.12859907578558225</v>
      </c>
      <c r="H2" s="151">
        <f>0.00977512231840422+(0.12)</f>
        <v>0.12977512231840421</v>
      </c>
      <c r="I2" s="151">
        <f>0.0109975129137172+(0.12)</f>
        <v>0.1309975129137172</v>
      </c>
      <c r="J2" s="151">
        <f>0.0119463255098115+(0.12)</f>
        <v>0.1319463255098115</v>
      </c>
      <c r="K2" s="151">
        <f>0.0124815962805114+(0.12)</f>
        <v>0.1324815962805114</v>
      </c>
      <c r="L2" s="151">
        <f>0.011825405921681+(0.12)</f>
        <v>0.13182540592168099</v>
      </c>
      <c r="M2" s="151">
        <f>0.011405505952381+(0.12)</f>
        <v>0.13140550595238099</v>
      </c>
      <c r="N2" s="151">
        <f>0.00944434356273833+(0.12)</f>
        <v>0.12944434356273832</v>
      </c>
      <c r="O2" s="151">
        <f>0.00861112107623318+(0.12)</f>
        <v>0.12861112107623318</v>
      </c>
      <c r="P2" s="151">
        <f>0.00679263157894737+(0.12)</f>
        <v>0.12679263157894738</v>
      </c>
      <c r="Q2" s="151">
        <f>0.00661699507389163+(0.12)</f>
        <v>0.12661699507389163</v>
      </c>
      <c r="R2" s="151">
        <f>0.00629827709978464+(0.12)</f>
        <v>0.12629827709978464</v>
      </c>
      <c r="S2" s="151"/>
      <c r="T2" s="151"/>
      <c r="U2" s="151"/>
    </row>
    <row r="3" spans="1:23" x14ac:dyDescent="0.25">
      <c r="A3" s="166" t="s">
        <v>113</v>
      </c>
      <c r="B3" s="132" t="s">
        <v>48</v>
      </c>
      <c r="C3" t="str">
        <f t="shared" si="0"/>
        <v>N.A.</v>
      </c>
      <c r="D3" s="2" t="s">
        <v>6</v>
      </c>
      <c r="E3" s="151">
        <f>0.000656411758960836+(0.12)</f>
        <v>0.12065641175896083</v>
      </c>
      <c r="F3" s="151">
        <f>0.000688524590163934+(0.12)</f>
        <v>0.12068852459016392</v>
      </c>
      <c r="G3" s="151">
        <f>0.000747687861271676+(0.12)</f>
        <v>0.12074768786127167</v>
      </c>
      <c r="H3" s="151">
        <f>0.000829968424074251+(0.12)</f>
        <v>0.12082996842407424</v>
      </c>
      <c r="I3" s="151">
        <f>0.000945745288406625+(0.12)</f>
        <v>0.12094574528840663</v>
      </c>
      <c r="J3" s="151">
        <f>0.000969420702754036+(0.12)</f>
        <v>0.12096942070275403</v>
      </c>
      <c r="K3" s="151">
        <f>0.000939376716870323+(0.12)</f>
        <v>0.12093937671687031</v>
      </c>
      <c r="L3" s="151">
        <f>0.000905073494547179+(0.12)</f>
        <v>0.12090507349454717</v>
      </c>
      <c r="M3" s="151">
        <f>0.000873928775471339+(0.12)</f>
        <v>0.12087392877547133</v>
      </c>
      <c r="N3" s="151">
        <f>0.000847994639609457+(0.12)</f>
        <v>0.12084799463960945</v>
      </c>
      <c r="O3" s="151">
        <f>0.000888033859176606+(0.12)</f>
        <v>0.1208880338591766</v>
      </c>
      <c r="P3" s="151">
        <f>0.000801447876447876+(0.12)</f>
        <v>0.12080144787644786</v>
      </c>
      <c r="Q3" s="151">
        <f>0.000869464544138929+(0.12)</f>
        <v>0.12086946454413892</v>
      </c>
      <c r="R3" s="151">
        <f>0.000637952559300874+(0.12)</f>
        <v>0.12063795255930088</v>
      </c>
      <c r="S3" s="151"/>
      <c r="T3" s="151"/>
      <c r="U3" s="151"/>
    </row>
    <row r="4" spans="1:23" x14ac:dyDescent="0.25">
      <c r="A4" s="166" t="s">
        <v>115</v>
      </c>
      <c r="B4" s="132" t="s">
        <v>48</v>
      </c>
      <c r="C4" t="str">
        <f t="shared" si="0"/>
        <v>N.A.</v>
      </c>
      <c r="D4" s="2" t="s">
        <v>6</v>
      </c>
      <c r="E4" s="151">
        <f>0.00915683846293936+(0.12)</f>
        <v>0.12915683846293935</v>
      </c>
      <c r="F4" s="151">
        <f>0.0100593014100637+(0.12)</f>
        <v>0.13005930141006369</v>
      </c>
      <c r="G4" s="151">
        <f>0.0111691973208963+(0.12)</f>
        <v>0.1311691973208963</v>
      </c>
      <c r="H4" s="151">
        <f>0.0122864004391382+(0.12)</f>
        <v>0.1322864004391382</v>
      </c>
      <c r="I4" s="151">
        <f>0.0126735043308937+(0.12)</f>
        <v>0.1326735043308937</v>
      </c>
      <c r="J4" s="151">
        <f>0.0127732043562662+(0.12)</f>
        <v>0.13277320435626619</v>
      </c>
      <c r="K4" s="151">
        <f>0.0127023240800516+(0.12)</f>
        <v>0.13270232408005159</v>
      </c>
      <c r="L4" s="151">
        <f>0.012266814791303+(0.12)</f>
        <v>0.13226681479130301</v>
      </c>
      <c r="M4" s="151">
        <f>0.0118325987058051+(0.12)</f>
        <v>0.1318325987058051</v>
      </c>
      <c r="N4" s="151">
        <f>0.0112209946451653+(0.12)</f>
        <v>0.13122099464516529</v>
      </c>
      <c r="O4" s="151">
        <f>0.0103361982870805+(0.12)</f>
        <v>0.13033619828708048</v>
      </c>
      <c r="P4" s="151">
        <f>0.00930902912331952+(0.12)</f>
        <v>0.12930902912331951</v>
      </c>
      <c r="Q4" s="151">
        <f>0.00853499545894003+(0.12)</f>
        <v>0.12853499545894004</v>
      </c>
      <c r="R4" s="151">
        <f>0.00774277656267987+(0.12)</f>
        <v>0.12774277656267988</v>
      </c>
      <c r="S4" s="151"/>
      <c r="T4" s="151"/>
      <c r="U4" s="151"/>
    </row>
    <row r="5" spans="1:23" x14ac:dyDescent="0.25">
      <c r="A5" s="166" t="s">
        <v>117</v>
      </c>
      <c r="B5" s="132" t="s">
        <v>48</v>
      </c>
      <c r="C5" t="str">
        <f t="shared" si="0"/>
        <v>N.A.</v>
      </c>
      <c r="D5" s="2" t="s">
        <v>6</v>
      </c>
      <c r="E5" s="151">
        <f>0.0667880313199105+(0.12)</f>
        <v>0.18678803131991051</v>
      </c>
      <c r="F5" s="151">
        <f>0.0673539445628998+(0.12)</f>
        <v>0.18735394456289978</v>
      </c>
      <c r="G5" s="151">
        <f>0.0661256358087487+(0.12)</f>
        <v>0.18612563580874869</v>
      </c>
      <c r="H5" s="151">
        <f>0.0675651117589893+(0.12)</f>
        <v>0.18756511175898929</v>
      </c>
      <c r="I5" s="151">
        <f>0.0618761638733706+(0.12)</f>
        <v>0.18187616387337061</v>
      </c>
      <c r="J5" s="151">
        <f>0.0619413345275414+(0.12)</f>
        <v>0.18194133452754141</v>
      </c>
      <c r="K5" s="151">
        <f>0.0626938950988822+(0.12)</f>
        <v>0.18269389509888218</v>
      </c>
      <c r="L5" s="151">
        <f>0.0612165975103734+(0.12)</f>
        <v>0.18121659751037339</v>
      </c>
      <c r="M5" s="151">
        <f>0.0597051230334812+(0.12)</f>
        <v>0.17970512303348118</v>
      </c>
      <c r="N5" s="151">
        <f>0.0615330188679245+(0.12)</f>
        <v>0.1815330188679245</v>
      </c>
      <c r="O5" s="151">
        <f>0.0579773686229382+(0.12)</f>
        <v>0.1779773686229382</v>
      </c>
      <c r="P5" s="151">
        <f>0.0590019011406844+(0.12)</f>
        <v>0.1790019011406844</v>
      </c>
      <c r="Q5" s="151">
        <f>0.0576626506024096+(0.12)</f>
        <v>0.1776626506024096</v>
      </c>
      <c r="R5" s="151">
        <f>0.0551974664679583+(0.12)</f>
        <v>0.17519746646795831</v>
      </c>
      <c r="S5" s="151"/>
      <c r="T5" s="151"/>
      <c r="U5" s="151"/>
    </row>
    <row r="6" spans="1:23" x14ac:dyDescent="0.25">
      <c r="A6" s="166" t="s">
        <v>119</v>
      </c>
      <c r="B6" s="132" t="s">
        <v>48</v>
      </c>
      <c r="C6" t="str">
        <f t="shared" si="0"/>
        <v>N.A.</v>
      </c>
      <c r="D6" s="2" t="s">
        <v>6</v>
      </c>
      <c r="E6" s="151">
        <f>0.22+(0.12)</f>
        <v>0.33999999999999997</v>
      </c>
      <c r="F6" s="151"/>
      <c r="G6" s="151"/>
      <c r="H6" s="151"/>
      <c r="I6" s="151">
        <f>0.22+(0.12)</f>
        <v>0.33999999999999997</v>
      </c>
      <c r="J6" s="151">
        <f>0.1+(0.12)</f>
        <v>0.22</v>
      </c>
      <c r="K6" s="151"/>
      <c r="L6" s="151"/>
      <c r="M6" s="151"/>
      <c r="N6" s="151">
        <f>0.095+(0.12)</f>
        <v>0.215</v>
      </c>
      <c r="O6" s="151"/>
      <c r="P6" s="151"/>
      <c r="Q6" s="151"/>
      <c r="R6" s="151"/>
      <c r="S6" s="151"/>
      <c r="T6" s="151"/>
      <c r="U6" s="151">
        <f>0.0517+(0.12)</f>
        <v>0.17169999999999999</v>
      </c>
    </row>
    <row r="7" spans="1:23" x14ac:dyDescent="0.25">
      <c r="A7" s="166" t="s">
        <v>121</v>
      </c>
      <c r="B7" s="132" t="s">
        <v>48</v>
      </c>
      <c r="C7" t="str">
        <f t="shared" si="0"/>
        <v>N.A.</v>
      </c>
      <c r="D7" s="2" t="s">
        <v>6</v>
      </c>
      <c r="E7" s="151">
        <f>0.130788031319911+(0.12)</f>
        <v>0.25078803131991101</v>
      </c>
      <c r="F7" s="151">
        <f>0.131302596000888+(0.12)</f>
        <v>0.251302596000888</v>
      </c>
      <c r="G7" s="151">
        <f>0.130024453435642+(0.12)</f>
        <v>0.250024453435642</v>
      </c>
      <c r="H7" s="151">
        <f>0.131410138213842+(0.12)</f>
        <v>0.251410138213842</v>
      </c>
      <c r="I7" s="151">
        <f>0.125580043951237+(0.12)</f>
        <v>0.245580043951237</v>
      </c>
      <c r="J7" s="151">
        <f>0.125296306523879+(0.12)</f>
        <v>0.24529630652387899</v>
      </c>
      <c r="K7" s="151">
        <f>0.125556781547203+(0.12)</f>
        <v>0.24555678154720301</v>
      </c>
      <c r="L7" s="151">
        <f>0.123378641752142+(0.12)</f>
        <v>0.24337864175214199</v>
      </c>
      <c r="M7" s="151">
        <f>0.121075936957955+(0.12)</f>
        <v>0.24107593695795498</v>
      </c>
      <c r="N7" s="151">
        <f>0.121968827232853+(0.12)</f>
        <v>0.24196882723285301</v>
      </c>
      <c r="O7" s="151">
        <f>0.117169094894402+(0.12)</f>
        <v>0.23716909489440199</v>
      </c>
      <c r="P7" s="151">
        <f>0.116501750335665+(0.12)</f>
        <v>0.23650175033566501</v>
      </c>
      <c r="Q7" s="151">
        <f>0.113597812069496+(0.12)</f>
        <v>0.23359781206949598</v>
      </c>
      <c r="R7" s="151">
        <f>0.109683597639683+(0.12)</f>
        <v>0.22968359763968299</v>
      </c>
      <c r="S7" s="151"/>
      <c r="T7" s="151"/>
      <c r="U7" s="151">
        <f>(5.17*2%)+(0.12)</f>
        <v>0.22339999999999999</v>
      </c>
    </row>
    <row r="8" spans="1:23" x14ac:dyDescent="0.25">
      <c r="A8" s="166" t="s">
        <v>128</v>
      </c>
      <c r="B8" s="132" t="s">
        <v>48</v>
      </c>
      <c r="C8" t="str">
        <f t="shared" si="0"/>
        <v>N.A.</v>
      </c>
      <c r="D8" s="2" t="s">
        <v>6</v>
      </c>
      <c r="E8" s="151">
        <f>0.00915683846293936+(0.12)</f>
        <v>0.12915683846293935</v>
      </c>
      <c r="F8" s="151">
        <f>0.0100593014100637+(0.12)</f>
        <v>0.13005930141006369</v>
      </c>
      <c r="G8" s="151">
        <f>0.0111691973208963+(0.12)</f>
        <v>0.1311691973208963</v>
      </c>
      <c r="H8" s="151">
        <f>0.0122864004391382+(0.12)</f>
        <v>0.1322864004391382</v>
      </c>
      <c r="I8" s="151">
        <f>0.0126735043308937+(0.12)</f>
        <v>0.1326735043308937</v>
      </c>
      <c r="J8" s="151">
        <f>0.0127732043562662+(0.12)</f>
        <v>0.13277320435626619</v>
      </c>
      <c r="K8" s="151">
        <f>0.0127023240800516+(0.12)</f>
        <v>0.13270232408005159</v>
      </c>
      <c r="L8" s="151">
        <f>0.012266814791303+(0.12)</f>
        <v>0.13226681479130301</v>
      </c>
      <c r="M8" s="151">
        <f>0.0118325987058051+(0.12)</f>
        <v>0.1318325987058051</v>
      </c>
      <c r="N8" s="151">
        <f>0.0112209946451653+(0.12)</f>
        <v>0.13122099464516529</v>
      </c>
      <c r="O8" s="151">
        <f>0.0103361982870805+(0.12)</f>
        <v>0.13033619828708048</v>
      </c>
      <c r="P8" s="151">
        <f>0.00930902912331952+(0.12)</f>
        <v>0.12930902912331951</v>
      </c>
      <c r="Q8" s="151">
        <f>0.00853499545894003+(0.12)</f>
        <v>0.12853499545894004</v>
      </c>
      <c r="R8" s="151">
        <f>0.00774277656267987+(0.12)</f>
        <v>0.12774277656267988</v>
      </c>
      <c r="S8" s="151"/>
      <c r="T8" s="151"/>
      <c r="U8" s="151"/>
    </row>
    <row r="9" spans="1:23" x14ac:dyDescent="0.25">
      <c r="A9" s="166" t="s">
        <v>132</v>
      </c>
      <c r="B9" s="132" t="s">
        <v>48</v>
      </c>
      <c r="C9" t="str">
        <f t="shared" si="0"/>
        <v>N.A.</v>
      </c>
      <c r="D9" s="2" t="s">
        <v>6</v>
      </c>
      <c r="E9" s="151">
        <f>0.064+(0.12)</f>
        <v>0.184</v>
      </c>
      <c r="F9" s="151">
        <f>0.063948651437988+(0.12)</f>
        <v>0.183948651437988</v>
      </c>
      <c r="G9" s="151">
        <f>0.0638988176268937+(0.12)</f>
        <v>0.1838988176268937</v>
      </c>
      <c r="H9" s="151">
        <f>0.0638450264548522+(0.12)</f>
        <v>0.18384502645485218</v>
      </c>
      <c r="I9" s="151">
        <f>0.0637038800778667+(0.12)</f>
        <v>0.1837038800778667</v>
      </c>
      <c r="J9" s="151">
        <f>0.063354971996338+(0.12)</f>
        <v>0.18335497199633799</v>
      </c>
      <c r="K9" s="151">
        <f>0.0628628864483211+(0.12)</f>
        <v>0.1828628864483211</v>
      </c>
      <c r="L9" s="151">
        <f>0.0621620442417684+(0.12)</f>
        <v>0.18216204424176841</v>
      </c>
      <c r="M9" s="151">
        <f>0.0613708139244735+(0.12)</f>
        <v>0.18137081392447349</v>
      </c>
      <c r="N9" s="151">
        <f>0.0604358083649289+(0.12)</f>
        <v>0.1804358083649289</v>
      </c>
      <c r="O9" s="151">
        <f>0.0591917262714635+(0.12)</f>
        <v>0.17919172627146349</v>
      </c>
      <c r="P9" s="151">
        <f>0.0574998491949804+(0.12)</f>
        <v>0.17749984919498041</v>
      </c>
      <c r="Q9" s="151">
        <f>0.0559351614670864+(0.12)</f>
        <v>0.1759351614670864</v>
      </c>
      <c r="R9" s="151">
        <f>0.0544861311717248+(0.12)</f>
        <v>0.17448613117172479</v>
      </c>
      <c r="S9" s="151">
        <f>0.0535351493099285+(0.12)</f>
        <v>0.1735351493099285</v>
      </c>
      <c r="T9" s="151">
        <f>0.0529028826750741+(0.12)</f>
        <v>0.17290288267507409</v>
      </c>
      <c r="U9" s="151">
        <f>0.0516887916470763+(0.12)</f>
        <v>0.17168879164707629</v>
      </c>
    </row>
    <row r="10" spans="1:23" x14ac:dyDescent="0.25">
      <c r="A10" s="166" t="s">
        <v>124</v>
      </c>
      <c r="B10" s="132" t="s">
        <v>48</v>
      </c>
      <c r="C10" t="str">
        <f t="shared" si="0"/>
        <v>N.A.</v>
      </c>
      <c r="D10" s="2" t="s">
        <v>6</v>
      </c>
      <c r="E10" s="151">
        <f>0.00915683846293936+(0.12)</f>
        <v>0.12915683846293935</v>
      </c>
      <c r="F10" s="151">
        <f>0.0100593014100637+(0.12)</f>
        <v>0.13005930141006369</v>
      </c>
      <c r="G10" s="151">
        <f>0.0111691973208963+(0.12)</f>
        <v>0.1311691973208963</v>
      </c>
      <c r="H10" s="151">
        <f>0.0122864004391382+(0.12)</f>
        <v>0.1322864004391382</v>
      </c>
      <c r="I10" s="151">
        <f>0.0126735043308937+(0.12)</f>
        <v>0.1326735043308937</v>
      </c>
      <c r="J10" s="151">
        <f>0.0127732043562662+(0.12)</f>
        <v>0.13277320435626619</v>
      </c>
      <c r="K10" s="151">
        <f>0.0127023240800516+(0.12)</f>
        <v>0.13270232408005159</v>
      </c>
      <c r="L10" s="151">
        <f>0.012266814791303+(0.12)</f>
        <v>0.13226681479130301</v>
      </c>
      <c r="M10" s="151">
        <f>0.0118325987058051+(0.12)</f>
        <v>0.1318325987058051</v>
      </c>
      <c r="N10" s="151">
        <f>0.0112209946451653+(0.12)</f>
        <v>0.13122099464516529</v>
      </c>
      <c r="O10" s="151">
        <f>0.0103361982870805+(0.12)</f>
        <v>0.13033619828708048</v>
      </c>
      <c r="P10" s="151">
        <f>0.00930902912331952+(0.12)</f>
        <v>0.12930902912331951</v>
      </c>
      <c r="Q10" s="151">
        <f>0.00853499545894003+(0.12)</f>
        <v>0.12853499545894004</v>
      </c>
      <c r="R10" s="151">
        <f>0.00774277656267987+(0.12)</f>
        <v>0.12774277656267988</v>
      </c>
      <c r="S10" s="151"/>
      <c r="T10" s="151"/>
      <c r="U10" s="151"/>
    </row>
    <row r="11" spans="1:23" x14ac:dyDescent="0.25">
      <c r="A11" s="166" t="s">
        <v>125</v>
      </c>
      <c r="B11" s="132" t="s">
        <v>48</v>
      </c>
      <c r="C11" t="str">
        <f t="shared" si="0"/>
        <v>N.A.</v>
      </c>
      <c r="D11" s="2" t="s">
        <v>6</v>
      </c>
      <c r="E11" s="151">
        <f>0.064+(0.12)</f>
        <v>0.184</v>
      </c>
      <c r="F11" s="151">
        <f>0.063948651437988+(0.12)</f>
        <v>0.183948651437988</v>
      </c>
      <c r="G11" s="151">
        <f>0.0638988176268937+(0.12)</f>
        <v>0.1838988176268937</v>
      </c>
      <c r="H11" s="151">
        <f>0.0638450264548522+(0.12)</f>
        <v>0.18384502645485218</v>
      </c>
      <c r="I11" s="151">
        <f>0.0637038800778667+(0.12)</f>
        <v>0.1837038800778667</v>
      </c>
      <c r="J11" s="151">
        <f>0.063354971996338+(0.12)</f>
        <v>0.18335497199633799</v>
      </c>
      <c r="K11" s="151">
        <f>0.0628628864483211+(0.12)</f>
        <v>0.1828628864483211</v>
      </c>
      <c r="L11" s="151">
        <f>0.0621620442417684+(0.12)</f>
        <v>0.18216204424176841</v>
      </c>
      <c r="M11" s="151">
        <f>0.0613708139244735+(0.12)</f>
        <v>0.18137081392447349</v>
      </c>
      <c r="N11" s="151">
        <f>0.0604358083649289+(0.12)</f>
        <v>0.1804358083649289</v>
      </c>
      <c r="O11" s="151">
        <f>0.0591917262714635+(0.12)</f>
        <v>0.17919172627146349</v>
      </c>
      <c r="P11" s="151">
        <f>0.0574998491949804+(0.12)</f>
        <v>0.17749984919498041</v>
      </c>
      <c r="Q11" s="151">
        <f>0.0559351614670864+(0.12)</f>
        <v>0.1759351614670864</v>
      </c>
      <c r="R11" s="151">
        <f>0.0544861311717248+(0.12)</f>
        <v>0.17448613117172479</v>
      </c>
      <c r="S11" s="151">
        <f>0.0535351493099285+(0.12)</f>
        <v>0.1735351493099285</v>
      </c>
      <c r="T11" s="151">
        <f>0.0529028826750741+(0.12)</f>
        <v>0.17290288267507409</v>
      </c>
      <c r="U11" s="151">
        <f>0.0516887916470763+(0.12)</f>
        <v>0.17168879164707629</v>
      </c>
    </row>
    <row r="12" spans="1:23" x14ac:dyDescent="0.25">
      <c r="A12" s="166" t="s">
        <v>130</v>
      </c>
      <c r="B12" s="132" t="s">
        <v>48</v>
      </c>
      <c r="C12" t="str">
        <f t="shared" si="0"/>
        <v>N.A.</v>
      </c>
      <c r="D12" s="2" t="s">
        <v>6</v>
      </c>
      <c r="E12" s="151">
        <f>0.00915683846293936+(0.12)</f>
        <v>0.12915683846293935</v>
      </c>
      <c r="F12" s="151">
        <f>0.0100593014100637+(0.12)</f>
        <v>0.13005930141006369</v>
      </c>
      <c r="G12" s="151">
        <f>0.0111691973208963+(0.12)</f>
        <v>0.1311691973208963</v>
      </c>
      <c r="H12" s="151">
        <f>0.0122864004391382+(0.12)</f>
        <v>0.1322864004391382</v>
      </c>
      <c r="I12" s="151">
        <f>0.0126735043308937+(0.12)</f>
        <v>0.1326735043308937</v>
      </c>
      <c r="J12" s="151">
        <f>0.0127732043562662+(0.12)</f>
        <v>0.13277320435626619</v>
      </c>
      <c r="K12" s="151">
        <f>0.0127023240800516+(0.12)</f>
        <v>0.13270232408005159</v>
      </c>
      <c r="L12" s="151">
        <f>0.012266814791303+(0.12)</f>
        <v>0.13226681479130301</v>
      </c>
      <c r="M12" s="151">
        <f>0.0118325987058051+(0.12)</f>
        <v>0.1318325987058051</v>
      </c>
      <c r="N12" s="151">
        <f>0.0112209946451653+(0.12)</f>
        <v>0.13122099464516529</v>
      </c>
      <c r="O12" s="151">
        <f>0.0103361982870805+(0.12)</f>
        <v>0.13033619828708048</v>
      </c>
      <c r="P12" s="151">
        <f>0.00930902912331952+(0.12)</f>
        <v>0.12930902912331951</v>
      </c>
      <c r="Q12" s="151">
        <f>0.00853499545894003+(0.12)</f>
        <v>0.12853499545894004</v>
      </c>
      <c r="R12" s="151">
        <f>0.00774277656267987+(0.12)</f>
        <v>0.12774277656267988</v>
      </c>
      <c r="S12" s="151"/>
      <c r="T12" s="151"/>
      <c r="U12" s="151"/>
    </row>
    <row r="13" spans="1:23" x14ac:dyDescent="0.25">
      <c r="A13" s="166" t="s">
        <v>131</v>
      </c>
      <c r="B13" s="132" t="s">
        <v>48</v>
      </c>
      <c r="C13" t="str">
        <f t="shared" si="0"/>
        <v>N.A.</v>
      </c>
      <c r="D13" s="2" t="s">
        <v>6</v>
      </c>
      <c r="E13" s="151">
        <f>0.064+(0.12)</f>
        <v>0.184</v>
      </c>
      <c r="F13" s="151">
        <f>0.063948651437988+(0.12)</f>
        <v>0.183948651437988</v>
      </c>
      <c r="G13" s="151">
        <f>0.0638988176268937+(0.12)</f>
        <v>0.1838988176268937</v>
      </c>
      <c r="H13" s="151">
        <f>0.0638450264548522+(0.12)</f>
        <v>0.18384502645485218</v>
      </c>
      <c r="I13" s="151">
        <f>0.0637038800778667+(0.12)</f>
        <v>0.1837038800778667</v>
      </c>
      <c r="J13" s="151">
        <f>0.063354971996338+(0.12)</f>
        <v>0.18335497199633799</v>
      </c>
      <c r="K13" s="151">
        <f>0.0628628864483211+(0.12)</f>
        <v>0.1828628864483211</v>
      </c>
      <c r="L13" s="151">
        <f>0.0621620442417684+(0.12)</f>
        <v>0.18216204424176841</v>
      </c>
      <c r="M13" s="151">
        <f>0.0613708139244735+(0.12)</f>
        <v>0.18137081392447349</v>
      </c>
      <c r="N13" s="151">
        <f>0.0604358083649289+(0.12)</f>
        <v>0.1804358083649289</v>
      </c>
      <c r="O13" s="151">
        <f>0.0591917262714635+(0.12)</f>
        <v>0.17919172627146349</v>
      </c>
      <c r="P13" s="151">
        <f>0.0574998491949804+(0.12)</f>
        <v>0.17749984919498041</v>
      </c>
      <c r="Q13" s="151">
        <f>0.0559351614670864+(0.12)</f>
        <v>0.1759351614670864</v>
      </c>
      <c r="R13" s="151">
        <f>0.0544861311717248+(0.12)</f>
        <v>0.17448613117172479</v>
      </c>
      <c r="S13" s="151">
        <f>0.0535351493099285+(0.12)</f>
        <v>0.1735351493099285</v>
      </c>
      <c r="T13" s="151">
        <f>0.0529028826750741+(0.12)</f>
        <v>0.17290288267507409</v>
      </c>
      <c r="U13" s="151">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132" t="s">
        <v>48</v>
      </c>
      <c r="C16" t="str">
        <f t="shared" ref="C16:C27" si="1">IF(SUMPRODUCT(--(E16:W16&lt;&gt;""))=0,0,"N.A.")</f>
        <v>N.A.</v>
      </c>
      <c r="D16" s="2" t="s">
        <v>6</v>
      </c>
      <c r="E16" s="135">
        <v>0.12725373961218836</v>
      </c>
      <c r="F16" s="135">
        <v>0.12754172015404364</v>
      </c>
      <c r="G16" s="135">
        <v>0.12859907578558225</v>
      </c>
      <c r="H16" s="135">
        <v>0.12977512231840421</v>
      </c>
      <c r="I16" s="135">
        <v>0.1309975129137172</v>
      </c>
      <c r="J16" s="135">
        <v>0.1319463255098115</v>
      </c>
      <c r="K16" s="135">
        <v>0.1324815962805114</v>
      </c>
      <c r="L16" s="135">
        <v>0.13182540592168099</v>
      </c>
      <c r="M16" s="135">
        <v>0.13140550595238099</v>
      </c>
      <c r="N16" s="135">
        <v>0.12944434356273832</v>
      </c>
      <c r="O16" s="135">
        <v>0.12861112107623318</v>
      </c>
      <c r="P16" s="135">
        <v>0.12679263157894738</v>
      </c>
      <c r="Q16" s="135">
        <v>0.12661699507389163</v>
      </c>
      <c r="R16" s="135">
        <v>0.12629827709978464</v>
      </c>
      <c r="S16" s="135"/>
      <c r="T16" s="135"/>
      <c r="U16" s="135"/>
    </row>
    <row r="17" spans="1:23" x14ac:dyDescent="0.25">
      <c r="A17" s="166" t="s">
        <v>113</v>
      </c>
      <c r="B17" s="132" t="s">
        <v>48</v>
      </c>
      <c r="C17" t="str">
        <f t="shared" si="1"/>
        <v>N.A.</v>
      </c>
      <c r="D17" s="2" t="s">
        <v>6</v>
      </c>
      <c r="E17" s="135">
        <v>0.12065641175896083</v>
      </c>
      <c r="F17" s="135">
        <v>0.12068852459016392</v>
      </c>
      <c r="G17" s="135">
        <v>0.12074768786127167</v>
      </c>
      <c r="H17" s="135">
        <v>0.12082996842407424</v>
      </c>
      <c r="I17" s="135">
        <v>0.12094574528840663</v>
      </c>
      <c r="J17" s="135">
        <v>0.12096942070275403</v>
      </c>
      <c r="K17" s="135">
        <v>0.12093937671687031</v>
      </c>
      <c r="L17" s="135">
        <v>0.12090507349454717</v>
      </c>
      <c r="M17" s="135">
        <v>0.12087392877547133</v>
      </c>
      <c r="N17" s="135">
        <v>0.12084799463960945</v>
      </c>
      <c r="O17" s="135">
        <v>0.1208880338591766</v>
      </c>
      <c r="P17" s="135">
        <v>0.12080144787644786</v>
      </c>
      <c r="Q17" s="135">
        <v>0.12086946454413892</v>
      </c>
      <c r="R17" s="135">
        <v>0.12063795255930088</v>
      </c>
      <c r="S17" s="135"/>
      <c r="T17" s="135"/>
      <c r="U17" s="135"/>
    </row>
    <row r="18" spans="1:23" x14ac:dyDescent="0.25">
      <c r="A18" s="166" t="s">
        <v>115</v>
      </c>
      <c r="B18" s="132" t="s">
        <v>48</v>
      </c>
      <c r="C18" t="str">
        <f t="shared" si="1"/>
        <v>N.A.</v>
      </c>
      <c r="D18" s="2" t="s">
        <v>6</v>
      </c>
      <c r="E18" s="135">
        <v>0.12915683846293935</v>
      </c>
      <c r="F18" s="135">
        <v>0.13005930141006369</v>
      </c>
      <c r="G18" s="135">
        <v>0.1311691973208963</v>
      </c>
      <c r="H18" s="135">
        <v>0.1322864004391382</v>
      </c>
      <c r="I18" s="135">
        <v>0.1326735043308937</v>
      </c>
      <c r="J18" s="135">
        <v>0.13277320435626619</v>
      </c>
      <c r="K18" s="135">
        <v>0.13270232408005159</v>
      </c>
      <c r="L18" s="135">
        <v>0.13226681479130301</v>
      </c>
      <c r="M18" s="135">
        <v>0.1318325987058051</v>
      </c>
      <c r="N18" s="135">
        <v>0.13122099464516529</v>
      </c>
      <c r="O18" s="135">
        <v>0.13033619828708048</v>
      </c>
      <c r="P18" s="135">
        <v>0.12930902912331951</v>
      </c>
      <c r="Q18" s="135">
        <v>0.12853499545894004</v>
      </c>
      <c r="R18" s="135">
        <v>0.12774277656267988</v>
      </c>
      <c r="S18" s="135"/>
      <c r="T18" s="135"/>
      <c r="U18" s="135"/>
    </row>
    <row r="19" spans="1:23" x14ac:dyDescent="0.25">
      <c r="A19" s="166" t="s">
        <v>117</v>
      </c>
      <c r="B19" s="132" t="s">
        <v>48</v>
      </c>
      <c r="C19" t="str">
        <f t="shared" si="1"/>
        <v>N.A.</v>
      </c>
      <c r="D19" s="2" t="s">
        <v>6</v>
      </c>
      <c r="E19" s="135">
        <v>0.18678803131991051</v>
      </c>
      <c r="F19" s="135">
        <v>0.18735394456289978</v>
      </c>
      <c r="G19" s="135">
        <v>0.18612563580874869</v>
      </c>
      <c r="H19" s="135">
        <v>0.18756511175898929</v>
      </c>
      <c r="I19" s="135">
        <v>0.18187616387337061</v>
      </c>
      <c r="J19" s="135">
        <v>0.18194133452754141</v>
      </c>
      <c r="K19" s="135">
        <v>0.18269389509888218</v>
      </c>
      <c r="L19" s="135">
        <v>0.18121659751037339</v>
      </c>
      <c r="M19" s="135">
        <v>0.17970512303348118</v>
      </c>
      <c r="N19" s="135">
        <v>0.1815330188679245</v>
      </c>
      <c r="O19" s="135">
        <v>0.1779773686229382</v>
      </c>
      <c r="P19" s="135">
        <v>0.1790019011406844</v>
      </c>
      <c r="Q19" s="135">
        <v>0.1776626506024096</v>
      </c>
      <c r="R19" s="135">
        <v>0.17519746646795831</v>
      </c>
      <c r="S19" s="135"/>
      <c r="T19" s="135"/>
      <c r="U19" s="135"/>
    </row>
    <row r="20" spans="1:23" x14ac:dyDescent="0.25">
      <c r="A20" s="166" t="s">
        <v>119</v>
      </c>
      <c r="B20" s="132" t="s">
        <v>48</v>
      </c>
      <c r="C20" t="str">
        <f t="shared" si="1"/>
        <v>N.A.</v>
      </c>
      <c r="D20" s="2" t="s">
        <v>6</v>
      </c>
      <c r="E20" s="135">
        <v>0.33999999999999997</v>
      </c>
      <c r="F20" s="135"/>
      <c r="G20" s="135"/>
      <c r="H20" s="135"/>
      <c r="I20" s="135">
        <v>0.33999999999999997</v>
      </c>
      <c r="J20" s="135">
        <v>0.22</v>
      </c>
      <c r="K20" s="135"/>
      <c r="L20" s="135"/>
      <c r="M20" s="135"/>
      <c r="N20" s="135">
        <v>0.215</v>
      </c>
      <c r="O20" s="135"/>
      <c r="P20" s="135"/>
      <c r="Q20" s="135"/>
      <c r="R20" s="135"/>
      <c r="S20" s="135"/>
      <c r="T20" s="135"/>
      <c r="U20" s="135">
        <v>0.17169999999999999</v>
      </c>
    </row>
    <row r="21" spans="1:23" x14ac:dyDescent="0.25">
      <c r="A21" s="166" t="s">
        <v>121</v>
      </c>
      <c r="B21" s="132" t="s">
        <v>48</v>
      </c>
      <c r="C21" t="str">
        <f t="shared" si="1"/>
        <v>N.A.</v>
      </c>
      <c r="D21" s="2" t="s">
        <v>6</v>
      </c>
      <c r="E21" s="135">
        <v>0.25078803131991101</v>
      </c>
      <c r="F21" s="135">
        <v>0.251302596000888</v>
      </c>
      <c r="G21" s="135">
        <v>0.250024453435642</v>
      </c>
      <c r="H21" s="135">
        <v>0.251410138213842</v>
      </c>
      <c r="I21" s="135">
        <v>0.245580043951237</v>
      </c>
      <c r="J21" s="135">
        <v>0.24529630652387899</v>
      </c>
      <c r="K21" s="135">
        <v>0.24555678154720301</v>
      </c>
      <c r="L21" s="135">
        <v>0.24337864175214199</v>
      </c>
      <c r="M21" s="135">
        <v>0.24107593695795498</v>
      </c>
      <c r="N21" s="135">
        <v>0.24196882723285301</v>
      </c>
      <c r="O21" s="135">
        <v>0.23716909489440199</v>
      </c>
      <c r="P21" s="135">
        <v>0.23650175033566501</v>
      </c>
      <c r="Q21" s="135">
        <v>0.23359781206949598</v>
      </c>
      <c r="R21" s="135">
        <v>0.22968359763968299</v>
      </c>
      <c r="S21" s="135"/>
      <c r="T21" s="135"/>
      <c r="U21" s="135">
        <v>0.22339999999999999</v>
      </c>
    </row>
    <row r="22" spans="1:23" x14ac:dyDescent="0.25">
      <c r="A22" s="166" t="s">
        <v>128</v>
      </c>
      <c r="B22" s="132" t="s">
        <v>48</v>
      </c>
      <c r="C22" t="str">
        <f t="shared" si="1"/>
        <v>N.A.</v>
      </c>
      <c r="D22" s="2" t="s">
        <v>6</v>
      </c>
      <c r="E22" s="135">
        <v>0.12915683846293935</v>
      </c>
      <c r="F22" s="135">
        <v>0.13005930141006369</v>
      </c>
      <c r="G22" s="135">
        <v>0.1311691973208963</v>
      </c>
      <c r="H22" s="135">
        <v>0.1322864004391382</v>
      </c>
      <c r="I22" s="135">
        <v>0.1326735043308937</v>
      </c>
      <c r="J22" s="135">
        <v>0.13277320435626619</v>
      </c>
      <c r="K22" s="135">
        <v>0.13270232408005159</v>
      </c>
      <c r="L22" s="135">
        <v>0.13226681479130301</v>
      </c>
      <c r="M22" s="135">
        <v>0.1318325987058051</v>
      </c>
      <c r="N22" s="135">
        <v>0.13122099464516529</v>
      </c>
      <c r="O22" s="135">
        <v>0.13033619828708048</v>
      </c>
      <c r="P22" s="135">
        <v>0.12930902912331951</v>
      </c>
      <c r="Q22" s="135">
        <v>0.12853499545894004</v>
      </c>
      <c r="R22" s="135">
        <v>0.12774277656267988</v>
      </c>
      <c r="S22" s="135"/>
      <c r="T22" s="135"/>
      <c r="U22" s="135"/>
    </row>
    <row r="23" spans="1:23" x14ac:dyDescent="0.25">
      <c r="A23" s="166" t="s">
        <v>132</v>
      </c>
      <c r="B23" s="132" t="s">
        <v>48</v>
      </c>
      <c r="C23" t="str">
        <f t="shared" si="1"/>
        <v>N.A.</v>
      </c>
      <c r="D23" s="2" t="s">
        <v>6</v>
      </c>
      <c r="E23" s="135">
        <v>0.184</v>
      </c>
      <c r="F23" s="135">
        <v>0.183948651437988</v>
      </c>
      <c r="G23" s="135">
        <v>0.1838988176268937</v>
      </c>
      <c r="H23" s="135">
        <v>0.18384502645485218</v>
      </c>
      <c r="I23" s="135">
        <v>0.1837038800778667</v>
      </c>
      <c r="J23" s="135">
        <v>0.18335497199633799</v>
      </c>
      <c r="K23" s="135">
        <v>0.1828628864483211</v>
      </c>
      <c r="L23" s="135">
        <v>0.18216204424176841</v>
      </c>
      <c r="M23" s="135">
        <v>0.18137081392447349</v>
      </c>
      <c r="N23" s="135">
        <v>0.1804358083649289</v>
      </c>
      <c r="O23" s="135">
        <v>0.17919172627146349</v>
      </c>
      <c r="P23" s="135">
        <v>0.17749984919498041</v>
      </c>
      <c r="Q23" s="135">
        <v>0.1759351614670864</v>
      </c>
      <c r="R23" s="135">
        <v>0.17448613117172479</v>
      </c>
      <c r="S23" s="135">
        <v>0.1735351493099285</v>
      </c>
      <c r="T23" s="135">
        <v>0.17290288267507409</v>
      </c>
      <c r="U23" s="135">
        <v>0.17168879164707629</v>
      </c>
    </row>
    <row r="24" spans="1:23" x14ac:dyDescent="0.25">
      <c r="A24" s="166" t="s">
        <v>124</v>
      </c>
      <c r="B24" s="132" t="s">
        <v>48</v>
      </c>
      <c r="C24" t="str">
        <f t="shared" si="1"/>
        <v>N.A.</v>
      </c>
      <c r="D24" s="2" t="s">
        <v>6</v>
      </c>
      <c r="E24" s="135">
        <v>0.12915683846293935</v>
      </c>
      <c r="F24" s="135">
        <v>0.13005930141006369</v>
      </c>
      <c r="G24" s="135">
        <v>0.1311691973208963</v>
      </c>
      <c r="H24" s="135">
        <v>0.1322864004391382</v>
      </c>
      <c r="I24" s="135">
        <v>0.1326735043308937</v>
      </c>
      <c r="J24" s="135">
        <v>0.13277320435626619</v>
      </c>
      <c r="K24" s="135">
        <v>0.13270232408005159</v>
      </c>
      <c r="L24" s="135">
        <v>0.13226681479130301</v>
      </c>
      <c r="M24" s="135">
        <v>0.1318325987058051</v>
      </c>
      <c r="N24" s="135">
        <v>0.13122099464516529</v>
      </c>
      <c r="O24" s="135">
        <v>0.13033619828708048</v>
      </c>
      <c r="P24" s="135">
        <v>0.12930902912331951</v>
      </c>
      <c r="Q24" s="135">
        <v>0.12853499545894004</v>
      </c>
      <c r="R24" s="135">
        <v>0.12774277656267988</v>
      </c>
      <c r="S24" s="135"/>
      <c r="T24" s="135"/>
      <c r="U24" s="135"/>
    </row>
    <row r="25" spans="1:23" x14ac:dyDescent="0.25">
      <c r="A25" s="166" t="s">
        <v>125</v>
      </c>
      <c r="B25" s="132" t="s">
        <v>48</v>
      </c>
      <c r="C25" t="str">
        <f t="shared" si="1"/>
        <v>N.A.</v>
      </c>
      <c r="D25" s="2" t="s">
        <v>6</v>
      </c>
      <c r="E25" s="135">
        <v>0.184</v>
      </c>
      <c r="F25" s="135">
        <v>0.183948651437988</v>
      </c>
      <c r="G25" s="135">
        <v>0.1838988176268937</v>
      </c>
      <c r="H25" s="135">
        <v>0.18384502645485218</v>
      </c>
      <c r="I25" s="135">
        <v>0.1837038800778667</v>
      </c>
      <c r="J25" s="135">
        <v>0.18335497199633799</v>
      </c>
      <c r="K25" s="135">
        <v>0.1828628864483211</v>
      </c>
      <c r="L25" s="135">
        <v>0.18216204424176841</v>
      </c>
      <c r="M25" s="135">
        <v>0.18137081392447349</v>
      </c>
      <c r="N25" s="135">
        <v>0.1804358083649289</v>
      </c>
      <c r="O25" s="135">
        <v>0.17919172627146349</v>
      </c>
      <c r="P25" s="135">
        <v>0.17749984919498041</v>
      </c>
      <c r="Q25" s="135">
        <v>0.1759351614670864</v>
      </c>
      <c r="R25" s="135">
        <v>0.17448613117172479</v>
      </c>
      <c r="S25" s="135">
        <v>0.1735351493099285</v>
      </c>
      <c r="T25" s="135">
        <v>0.17290288267507409</v>
      </c>
      <c r="U25" s="135">
        <v>0.17168879164707629</v>
      </c>
    </row>
    <row r="26" spans="1:23" x14ac:dyDescent="0.25">
      <c r="A26" s="166" t="s">
        <v>130</v>
      </c>
      <c r="B26" s="132" t="s">
        <v>48</v>
      </c>
      <c r="C26" t="str">
        <f t="shared" si="1"/>
        <v>N.A.</v>
      </c>
      <c r="D26" s="2" t="s">
        <v>6</v>
      </c>
      <c r="E26" s="135">
        <v>0.12915683846293935</v>
      </c>
      <c r="F26" s="135">
        <v>0.13005930141006369</v>
      </c>
      <c r="G26" s="135">
        <v>0.1311691973208963</v>
      </c>
      <c r="H26" s="135">
        <v>0.1322864004391382</v>
      </c>
      <c r="I26" s="135">
        <v>0.1326735043308937</v>
      </c>
      <c r="J26" s="135">
        <v>0.13277320435626619</v>
      </c>
      <c r="K26" s="135">
        <v>0.13270232408005159</v>
      </c>
      <c r="L26" s="135">
        <v>0.13226681479130301</v>
      </c>
      <c r="M26" s="135">
        <v>0.1318325987058051</v>
      </c>
      <c r="N26" s="135">
        <v>0.13122099464516529</v>
      </c>
      <c r="O26" s="135">
        <v>0.13033619828708048</v>
      </c>
      <c r="P26" s="135">
        <v>0.12930902912331951</v>
      </c>
      <c r="Q26" s="135">
        <v>0.12853499545894004</v>
      </c>
      <c r="R26" s="135">
        <v>0.12774277656267988</v>
      </c>
      <c r="S26" s="135"/>
      <c r="T26" s="135"/>
      <c r="U26" s="135"/>
    </row>
    <row r="27" spans="1:23" x14ac:dyDescent="0.25">
      <c r="A27" s="166" t="s">
        <v>131</v>
      </c>
      <c r="B27" s="132" t="s">
        <v>48</v>
      </c>
      <c r="C27" t="str">
        <f t="shared" si="1"/>
        <v>N.A.</v>
      </c>
      <c r="D27" s="2" t="s">
        <v>6</v>
      </c>
      <c r="E27" s="135">
        <v>0.184</v>
      </c>
      <c r="F27" s="135">
        <v>0.183948651437988</v>
      </c>
      <c r="G27" s="135">
        <v>0.1838988176268937</v>
      </c>
      <c r="H27" s="135">
        <v>0.18384502645485218</v>
      </c>
      <c r="I27" s="135">
        <v>0.1837038800778667</v>
      </c>
      <c r="J27" s="135">
        <v>0.18335497199633799</v>
      </c>
      <c r="K27" s="135">
        <v>0.1828628864483211</v>
      </c>
      <c r="L27" s="135">
        <v>0.18216204424176841</v>
      </c>
      <c r="M27" s="135">
        <v>0.18137081392447349</v>
      </c>
      <c r="N27" s="135">
        <v>0.1804358083649289</v>
      </c>
      <c r="O27" s="135">
        <v>0.17919172627146349</v>
      </c>
      <c r="P27" s="135">
        <v>0.17749984919498041</v>
      </c>
      <c r="Q27" s="135">
        <v>0.1759351614670864</v>
      </c>
      <c r="R27" s="135">
        <v>0.17448613117172479</v>
      </c>
      <c r="S27" s="135">
        <v>0.1735351493099285</v>
      </c>
      <c r="T27" s="135">
        <v>0.17290288267507409</v>
      </c>
      <c r="U27" s="135">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132" t="s">
        <v>48</v>
      </c>
      <c r="C30" t="str">
        <f t="shared" ref="C30:C41" si="2">IF(SUMPRODUCT(--(E30:W30&lt;&gt;""))=0,0,"N.A.")</f>
        <v>N.A.</v>
      </c>
      <c r="D30" s="2" t="s">
        <v>6</v>
      </c>
      <c r="E30" s="136">
        <v>0.12725373961218836</v>
      </c>
      <c r="F30" s="136">
        <v>0.12754172015404364</v>
      </c>
      <c r="G30" s="136">
        <v>0.12859907578558225</v>
      </c>
      <c r="H30" s="136">
        <v>0.12977512231840421</v>
      </c>
      <c r="I30" s="136">
        <v>0.1309975129137172</v>
      </c>
      <c r="J30" s="136">
        <v>0.1319463255098115</v>
      </c>
      <c r="K30" s="136">
        <v>0.1324815962805114</v>
      </c>
      <c r="L30" s="136">
        <v>0.13182540592168099</v>
      </c>
      <c r="M30" s="136">
        <v>0.13140550595238099</v>
      </c>
      <c r="N30" s="136">
        <v>0.12944434356273832</v>
      </c>
      <c r="O30" s="136">
        <v>0.12861112107623318</v>
      </c>
      <c r="P30" s="136">
        <v>0.12679263157894738</v>
      </c>
      <c r="Q30" s="136">
        <v>0.12661699507389163</v>
      </c>
      <c r="R30" s="136">
        <v>0.12629827709978464</v>
      </c>
      <c r="S30" s="136"/>
      <c r="T30" s="136"/>
      <c r="U30" s="136"/>
    </row>
    <row r="31" spans="1:23" x14ac:dyDescent="0.25">
      <c r="A31" s="166" t="s">
        <v>113</v>
      </c>
      <c r="B31" s="132" t="s">
        <v>48</v>
      </c>
      <c r="C31" t="str">
        <f t="shared" si="2"/>
        <v>N.A.</v>
      </c>
      <c r="D31" s="2" t="s">
        <v>6</v>
      </c>
      <c r="E31" s="136">
        <v>0.12065641175896083</v>
      </c>
      <c r="F31" s="136">
        <v>0.12068852459016392</v>
      </c>
      <c r="G31" s="136">
        <v>0.12074768786127167</v>
      </c>
      <c r="H31" s="136">
        <v>0.12082996842407424</v>
      </c>
      <c r="I31" s="136">
        <v>0.12094574528840663</v>
      </c>
      <c r="J31" s="136">
        <v>0.12096942070275403</v>
      </c>
      <c r="K31" s="136">
        <v>0.12093937671687031</v>
      </c>
      <c r="L31" s="136">
        <v>0.12090507349454717</v>
      </c>
      <c r="M31" s="136">
        <v>0.12087392877547133</v>
      </c>
      <c r="N31" s="136">
        <v>0.12084799463960945</v>
      </c>
      <c r="O31" s="136">
        <v>0.1208880338591766</v>
      </c>
      <c r="P31" s="136">
        <v>0.12080144787644786</v>
      </c>
      <c r="Q31" s="136">
        <v>0.12086946454413892</v>
      </c>
      <c r="R31" s="136">
        <v>0.12063795255930088</v>
      </c>
      <c r="S31" s="136"/>
      <c r="T31" s="136"/>
      <c r="U31" s="136"/>
    </row>
    <row r="32" spans="1:23" x14ac:dyDescent="0.25">
      <c r="A32" s="166" t="s">
        <v>115</v>
      </c>
      <c r="B32" s="132" t="s">
        <v>48</v>
      </c>
      <c r="C32" t="str">
        <f t="shared" si="2"/>
        <v>N.A.</v>
      </c>
      <c r="D32" s="2" t="s">
        <v>6</v>
      </c>
      <c r="E32" s="136">
        <v>0.12915683846293935</v>
      </c>
      <c r="F32" s="136">
        <v>0.13005930141006369</v>
      </c>
      <c r="G32" s="136">
        <v>0.1311691973208963</v>
      </c>
      <c r="H32" s="136">
        <v>0.1322864004391382</v>
      </c>
      <c r="I32" s="136">
        <v>0.1326735043308937</v>
      </c>
      <c r="J32" s="136">
        <v>0.13277320435626619</v>
      </c>
      <c r="K32" s="136">
        <v>0.13270232408005159</v>
      </c>
      <c r="L32" s="136">
        <v>0.13226681479130301</v>
      </c>
      <c r="M32" s="136">
        <v>0.1318325987058051</v>
      </c>
      <c r="N32" s="136">
        <v>0.13122099464516529</v>
      </c>
      <c r="O32" s="136">
        <v>0.13033619828708048</v>
      </c>
      <c r="P32" s="136">
        <v>0.12930902912331951</v>
      </c>
      <c r="Q32" s="136">
        <v>0.12853499545894004</v>
      </c>
      <c r="R32" s="136">
        <v>0.12774277656267988</v>
      </c>
      <c r="S32" s="136"/>
      <c r="T32" s="136"/>
      <c r="U32" s="136"/>
    </row>
    <row r="33" spans="1:23" x14ac:dyDescent="0.25">
      <c r="A33" s="166" t="s">
        <v>117</v>
      </c>
      <c r="B33" s="132" t="s">
        <v>48</v>
      </c>
      <c r="C33" t="str">
        <f t="shared" si="2"/>
        <v>N.A.</v>
      </c>
      <c r="D33" s="2" t="s">
        <v>6</v>
      </c>
      <c r="E33" s="136">
        <v>0.18678803131991051</v>
      </c>
      <c r="F33" s="136">
        <v>0.18735394456289978</v>
      </c>
      <c r="G33" s="136">
        <v>0.18612563580874869</v>
      </c>
      <c r="H33" s="136">
        <v>0.18756511175898929</v>
      </c>
      <c r="I33" s="136">
        <v>0.18187616387337061</v>
      </c>
      <c r="J33" s="136">
        <v>0.18194133452754141</v>
      </c>
      <c r="K33" s="136">
        <v>0.18269389509888218</v>
      </c>
      <c r="L33" s="136">
        <v>0.18121659751037339</v>
      </c>
      <c r="M33" s="136">
        <v>0.17970512303348118</v>
      </c>
      <c r="N33" s="136">
        <v>0.1815330188679245</v>
      </c>
      <c r="O33" s="136">
        <v>0.1779773686229382</v>
      </c>
      <c r="P33" s="136">
        <v>0.1790019011406844</v>
      </c>
      <c r="Q33" s="136">
        <v>0.1776626506024096</v>
      </c>
      <c r="R33" s="136">
        <v>0.17519746646795831</v>
      </c>
      <c r="S33" s="136"/>
      <c r="T33" s="136"/>
      <c r="U33" s="136"/>
    </row>
    <row r="34" spans="1:23" x14ac:dyDescent="0.25">
      <c r="A34" s="166" t="s">
        <v>119</v>
      </c>
      <c r="B34" s="132" t="s">
        <v>48</v>
      </c>
      <c r="C34" t="str">
        <f t="shared" si="2"/>
        <v>N.A.</v>
      </c>
      <c r="D34" s="2" t="s">
        <v>6</v>
      </c>
      <c r="E34" s="136">
        <v>0.33999999999999997</v>
      </c>
      <c r="F34" s="136"/>
      <c r="G34" s="136"/>
      <c r="H34" s="136"/>
      <c r="I34" s="136">
        <v>0.33999999999999997</v>
      </c>
      <c r="J34" s="136">
        <v>0.22</v>
      </c>
      <c r="K34" s="136"/>
      <c r="L34" s="136"/>
      <c r="M34" s="136"/>
      <c r="N34" s="136">
        <v>0.215</v>
      </c>
      <c r="O34" s="136"/>
      <c r="P34" s="136"/>
      <c r="Q34" s="136"/>
      <c r="R34" s="136"/>
      <c r="S34" s="136"/>
      <c r="T34" s="136"/>
      <c r="U34" s="136">
        <v>0.17169999999999999</v>
      </c>
    </row>
    <row r="35" spans="1:23" x14ac:dyDescent="0.25">
      <c r="A35" s="166" t="s">
        <v>121</v>
      </c>
      <c r="B35" s="132" t="s">
        <v>48</v>
      </c>
      <c r="C35" t="str">
        <f t="shared" si="2"/>
        <v>N.A.</v>
      </c>
      <c r="D35" s="2" t="s">
        <v>6</v>
      </c>
      <c r="E35" s="136">
        <v>0.25078803131991101</v>
      </c>
      <c r="F35" s="136">
        <v>0.251302596000888</v>
      </c>
      <c r="G35" s="136">
        <v>0.250024453435642</v>
      </c>
      <c r="H35" s="136">
        <v>0.251410138213842</v>
      </c>
      <c r="I35" s="136">
        <v>0.245580043951237</v>
      </c>
      <c r="J35" s="136">
        <v>0.24529630652387899</v>
      </c>
      <c r="K35" s="136">
        <v>0.24555678154720301</v>
      </c>
      <c r="L35" s="136">
        <v>0.24337864175214199</v>
      </c>
      <c r="M35" s="136">
        <v>0.24107593695795498</v>
      </c>
      <c r="N35" s="136">
        <v>0.24196882723285301</v>
      </c>
      <c r="O35" s="136">
        <v>0.23716909489440199</v>
      </c>
      <c r="P35" s="136">
        <v>0.23650175033566501</v>
      </c>
      <c r="Q35" s="136">
        <v>0.23359781206949598</v>
      </c>
      <c r="R35" s="136">
        <v>0.22968359763968299</v>
      </c>
      <c r="S35" s="136"/>
      <c r="T35" s="136"/>
      <c r="U35" s="136">
        <v>0.22339999999999999</v>
      </c>
    </row>
    <row r="36" spans="1:23" x14ac:dyDescent="0.25">
      <c r="A36" s="166" t="s">
        <v>128</v>
      </c>
      <c r="B36" s="132" t="s">
        <v>48</v>
      </c>
      <c r="C36" t="str">
        <f t="shared" si="2"/>
        <v>N.A.</v>
      </c>
      <c r="D36" s="2" t="s">
        <v>6</v>
      </c>
      <c r="E36" s="136">
        <v>0.12915683846293935</v>
      </c>
      <c r="F36" s="136">
        <v>0.13005930141006369</v>
      </c>
      <c r="G36" s="136">
        <v>0.1311691973208963</v>
      </c>
      <c r="H36" s="136">
        <v>0.1322864004391382</v>
      </c>
      <c r="I36" s="136">
        <v>0.1326735043308937</v>
      </c>
      <c r="J36" s="136">
        <v>0.13277320435626619</v>
      </c>
      <c r="K36" s="136">
        <v>0.13270232408005159</v>
      </c>
      <c r="L36" s="136">
        <v>0.13226681479130301</v>
      </c>
      <c r="M36" s="136">
        <v>0.1318325987058051</v>
      </c>
      <c r="N36" s="136">
        <v>0.13122099464516529</v>
      </c>
      <c r="O36" s="136">
        <v>0.13033619828708048</v>
      </c>
      <c r="P36" s="136">
        <v>0.12930902912331951</v>
      </c>
      <c r="Q36" s="136">
        <v>0.12853499545894004</v>
      </c>
      <c r="R36" s="136">
        <v>0.12774277656267988</v>
      </c>
      <c r="S36" s="136"/>
      <c r="T36" s="136"/>
      <c r="U36" s="136"/>
    </row>
    <row r="37" spans="1:23" x14ac:dyDescent="0.25">
      <c r="A37" s="166" t="s">
        <v>132</v>
      </c>
      <c r="B37" s="132" t="s">
        <v>48</v>
      </c>
      <c r="C37" t="str">
        <f t="shared" si="2"/>
        <v>N.A.</v>
      </c>
      <c r="D37" s="2" t="s">
        <v>6</v>
      </c>
      <c r="E37" s="136">
        <v>0.184</v>
      </c>
      <c r="F37" s="136">
        <v>0.183948651437988</v>
      </c>
      <c r="G37" s="136">
        <v>0.1838988176268937</v>
      </c>
      <c r="H37" s="136">
        <v>0.18384502645485218</v>
      </c>
      <c r="I37" s="136">
        <v>0.1837038800778667</v>
      </c>
      <c r="J37" s="136">
        <v>0.18335497199633799</v>
      </c>
      <c r="K37" s="136">
        <v>0.1828628864483211</v>
      </c>
      <c r="L37" s="136">
        <v>0.18216204424176841</v>
      </c>
      <c r="M37" s="136">
        <v>0.18137081392447349</v>
      </c>
      <c r="N37" s="136">
        <v>0.1804358083649289</v>
      </c>
      <c r="O37" s="136">
        <v>0.17919172627146349</v>
      </c>
      <c r="P37" s="136">
        <v>0.17749984919498041</v>
      </c>
      <c r="Q37" s="136">
        <v>0.1759351614670864</v>
      </c>
      <c r="R37" s="136">
        <v>0.17448613117172479</v>
      </c>
      <c r="S37" s="136">
        <v>0.1735351493099285</v>
      </c>
      <c r="T37" s="136">
        <v>0.17290288267507409</v>
      </c>
      <c r="U37" s="136">
        <v>0.17168879164707629</v>
      </c>
    </row>
    <row r="38" spans="1:23" x14ac:dyDescent="0.25">
      <c r="A38" s="166" t="s">
        <v>124</v>
      </c>
      <c r="B38" s="132" t="s">
        <v>48</v>
      </c>
      <c r="C38" t="str">
        <f t="shared" si="2"/>
        <v>N.A.</v>
      </c>
      <c r="D38" s="2" t="s">
        <v>6</v>
      </c>
      <c r="E38" s="136">
        <v>0.12915683846293935</v>
      </c>
      <c r="F38" s="136">
        <v>0.13005930141006369</v>
      </c>
      <c r="G38" s="136">
        <v>0.1311691973208963</v>
      </c>
      <c r="H38" s="136">
        <v>0.1322864004391382</v>
      </c>
      <c r="I38" s="136">
        <v>0.1326735043308937</v>
      </c>
      <c r="J38" s="136">
        <v>0.13277320435626619</v>
      </c>
      <c r="K38" s="136">
        <v>0.13270232408005159</v>
      </c>
      <c r="L38" s="136">
        <v>0.13226681479130301</v>
      </c>
      <c r="M38" s="136">
        <v>0.1318325987058051</v>
      </c>
      <c r="N38" s="136">
        <v>0.13122099464516529</v>
      </c>
      <c r="O38" s="136">
        <v>0.13033619828708048</v>
      </c>
      <c r="P38" s="136">
        <v>0.12930902912331951</v>
      </c>
      <c r="Q38" s="136">
        <v>0.12853499545894004</v>
      </c>
      <c r="R38" s="136">
        <v>0.12774277656267988</v>
      </c>
      <c r="S38" s="136"/>
      <c r="T38" s="136"/>
      <c r="U38" s="136"/>
    </row>
    <row r="39" spans="1:23" x14ac:dyDescent="0.25">
      <c r="A39" s="166" t="s">
        <v>125</v>
      </c>
      <c r="B39" s="132" t="s">
        <v>48</v>
      </c>
      <c r="C39" t="str">
        <f t="shared" si="2"/>
        <v>N.A.</v>
      </c>
      <c r="D39" s="2" t="s">
        <v>6</v>
      </c>
      <c r="E39" s="136">
        <v>0.184</v>
      </c>
      <c r="F39" s="136">
        <v>0.183948651437988</v>
      </c>
      <c r="G39" s="136">
        <v>0.1838988176268937</v>
      </c>
      <c r="H39" s="136">
        <v>0.18384502645485218</v>
      </c>
      <c r="I39" s="136">
        <v>0.1837038800778667</v>
      </c>
      <c r="J39" s="136">
        <v>0.18335497199633799</v>
      </c>
      <c r="K39" s="136">
        <v>0.1828628864483211</v>
      </c>
      <c r="L39" s="136">
        <v>0.18216204424176841</v>
      </c>
      <c r="M39" s="136">
        <v>0.18137081392447349</v>
      </c>
      <c r="N39" s="136">
        <v>0.1804358083649289</v>
      </c>
      <c r="O39" s="136">
        <v>0.17919172627146349</v>
      </c>
      <c r="P39" s="136">
        <v>0.17749984919498041</v>
      </c>
      <c r="Q39" s="136">
        <v>0.1759351614670864</v>
      </c>
      <c r="R39" s="136">
        <v>0.17448613117172479</v>
      </c>
      <c r="S39" s="136">
        <v>0.1735351493099285</v>
      </c>
      <c r="T39" s="136">
        <v>0.17290288267507409</v>
      </c>
      <c r="U39" s="136">
        <v>0.17168879164707629</v>
      </c>
    </row>
    <row r="40" spans="1:23" x14ac:dyDescent="0.25">
      <c r="A40" s="166" t="s">
        <v>130</v>
      </c>
      <c r="B40" s="132" t="s">
        <v>48</v>
      </c>
      <c r="C40" t="str">
        <f t="shared" si="2"/>
        <v>N.A.</v>
      </c>
      <c r="D40" s="2" t="s">
        <v>6</v>
      </c>
      <c r="E40" s="136">
        <v>0.12915683846293935</v>
      </c>
      <c r="F40" s="136">
        <v>0.13005930141006369</v>
      </c>
      <c r="G40" s="136">
        <v>0.1311691973208963</v>
      </c>
      <c r="H40" s="136">
        <v>0.1322864004391382</v>
      </c>
      <c r="I40" s="136">
        <v>0.1326735043308937</v>
      </c>
      <c r="J40" s="136">
        <v>0.13277320435626619</v>
      </c>
      <c r="K40" s="136">
        <v>0.13270232408005159</v>
      </c>
      <c r="L40" s="136">
        <v>0.13226681479130301</v>
      </c>
      <c r="M40" s="136">
        <v>0.1318325987058051</v>
      </c>
      <c r="N40" s="136">
        <v>0.13122099464516529</v>
      </c>
      <c r="O40" s="136">
        <v>0.13033619828708048</v>
      </c>
      <c r="P40" s="136">
        <v>0.12930902912331951</v>
      </c>
      <c r="Q40" s="136">
        <v>0.12853499545894004</v>
      </c>
      <c r="R40" s="136">
        <v>0.12774277656267988</v>
      </c>
      <c r="S40" s="136"/>
      <c r="T40" s="136"/>
      <c r="U40" s="136"/>
    </row>
    <row r="41" spans="1:23" x14ac:dyDescent="0.25">
      <c r="A41" s="166" t="s">
        <v>131</v>
      </c>
      <c r="B41" s="132" t="s">
        <v>48</v>
      </c>
      <c r="C41" t="str">
        <f t="shared" si="2"/>
        <v>N.A.</v>
      </c>
      <c r="D41" s="2" t="s">
        <v>6</v>
      </c>
      <c r="E41" s="136">
        <v>0.184</v>
      </c>
      <c r="F41" s="136">
        <v>0.183948651437988</v>
      </c>
      <c r="G41" s="136">
        <v>0.1838988176268937</v>
      </c>
      <c r="H41" s="136">
        <v>0.18384502645485218</v>
      </c>
      <c r="I41" s="136">
        <v>0.1837038800778667</v>
      </c>
      <c r="J41" s="136">
        <v>0.18335497199633799</v>
      </c>
      <c r="K41" s="136">
        <v>0.1828628864483211</v>
      </c>
      <c r="L41" s="136">
        <v>0.18216204424176841</v>
      </c>
      <c r="M41" s="136">
        <v>0.18137081392447349</v>
      </c>
      <c r="N41" s="136">
        <v>0.1804358083649289</v>
      </c>
      <c r="O41" s="136">
        <v>0.17919172627146349</v>
      </c>
      <c r="P41" s="136">
        <v>0.17749984919498041</v>
      </c>
      <c r="Q41" s="136">
        <v>0.1759351614670864</v>
      </c>
      <c r="R41" s="136">
        <v>0.17448613117172479</v>
      </c>
      <c r="S41" s="136">
        <v>0.1735351493099285</v>
      </c>
      <c r="T41" s="136">
        <v>0.17290288267507409</v>
      </c>
      <c r="U41" s="136">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132" t="s">
        <v>48</v>
      </c>
      <c r="C44" t="str">
        <f t="shared" ref="C44:C51" si="3">IF(SUMPRODUCT(--(E44:W44&lt;&gt;""))=0,0,"N.A.")</f>
        <v>N.A.</v>
      </c>
      <c r="D44" s="2" t="s">
        <v>6</v>
      </c>
      <c r="H44" s="137"/>
      <c r="I44" s="137">
        <v>5.0893158072126729E-2</v>
      </c>
      <c r="J44" s="137">
        <v>4.2280414620840152E-2</v>
      </c>
      <c r="K44" s="137">
        <v>3.4728829686013318E-2</v>
      </c>
      <c r="L44" s="137">
        <v>4.0057915057915061E-2</v>
      </c>
      <c r="M44" s="137">
        <v>3.1868882312770318E-2</v>
      </c>
      <c r="N44" s="137">
        <v>2.4430350011745362E-2</v>
      </c>
      <c r="O44" s="137">
        <v>1.7618927762396173E-2</v>
      </c>
      <c r="P44" s="137">
        <v>1.4056224899598393E-2</v>
      </c>
      <c r="Q44" s="137">
        <v>1.3333333333333334E-2</v>
      </c>
      <c r="R44" s="137">
        <v>1.2536676447052548E-2</v>
      </c>
      <c r="S44" s="137">
        <v>1.2337662337662338E-2</v>
      </c>
      <c r="T44" s="137">
        <v>1.2662559890485968E-2</v>
      </c>
    </row>
    <row r="45" spans="1:23" x14ac:dyDescent="0.25">
      <c r="A45" s="166" t="s">
        <v>113</v>
      </c>
      <c r="B45" s="132" t="s">
        <v>48</v>
      </c>
      <c r="C45" t="str">
        <f t="shared" si="3"/>
        <v>N.A.</v>
      </c>
      <c r="D45" s="2" t="s">
        <v>6</v>
      </c>
      <c r="H45" s="137"/>
      <c r="I45" s="137">
        <v>5.4991034070531977E-2</v>
      </c>
      <c r="J45" s="137">
        <v>4.6202867764206054E-2</v>
      </c>
      <c r="K45" s="137">
        <v>3.9403620873269436E-2</v>
      </c>
      <c r="L45" s="137">
        <v>3.5398230088495575E-2</v>
      </c>
      <c r="M45" s="137">
        <v>2.7470093043863535E-2</v>
      </c>
      <c r="N45" s="137">
        <v>2.6864289022695692E-2</v>
      </c>
      <c r="O45" s="137">
        <v>1.9890601690701143E-2</v>
      </c>
      <c r="P45" s="137">
        <v>2.0795660036166366E-2</v>
      </c>
      <c r="Q45" s="137">
        <v>1.4314928425357873E-2</v>
      </c>
      <c r="R45" s="137">
        <v>1.4906832298136646E-2</v>
      </c>
      <c r="S45" s="137">
        <v>2.313030069390902E-2</v>
      </c>
      <c r="T45" s="137">
        <v>2.526487367563162E-2</v>
      </c>
    </row>
    <row r="46" spans="1:23" x14ac:dyDescent="0.25">
      <c r="A46" s="166" t="s">
        <v>115</v>
      </c>
      <c r="B46" s="132" t="s">
        <v>48</v>
      </c>
      <c r="C46" t="str">
        <f t="shared" si="3"/>
        <v>N.A.</v>
      </c>
      <c r="D46" s="2" t="s">
        <v>6</v>
      </c>
      <c r="H46" s="137">
        <v>0.11797978445679094</v>
      </c>
      <c r="I46" s="137">
        <v>0.12582017010935603</v>
      </c>
      <c r="J46" s="137">
        <v>0.13173282501738751</v>
      </c>
      <c r="K46" s="137">
        <v>0.11613705078080136</v>
      </c>
      <c r="L46" s="137">
        <v>0.10884116180150458</v>
      </c>
      <c r="M46" s="137">
        <v>8.7771787665731987E-2</v>
      </c>
      <c r="N46" s="137">
        <v>6.569905197021389E-2</v>
      </c>
      <c r="O46" s="137">
        <v>4.9268606820485179E-2</v>
      </c>
      <c r="P46" s="137">
        <v>4.6772377289933401E-2</v>
      </c>
      <c r="Q46" s="137">
        <v>4.1917283793324454E-2</v>
      </c>
      <c r="R46" s="137">
        <v>3.942762321770623E-2</v>
      </c>
      <c r="S46" s="137">
        <v>3.9936829834587927E-2</v>
      </c>
      <c r="T46" s="137">
        <v>3.7857082510877042E-2</v>
      </c>
    </row>
    <row r="47" spans="1:23" x14ac:dyDescent="0.25">
      <c r="A47" s="166" t="s">
        <v>117</v>
      </c>
      <c r="B47" s="132" t="s">
        <v>48</v>
      </c>
      <c r="C47" t="str">
        <f t="shared" si="3"/>
        <v>N.A.</v>
      </c>
      <c r="D47" s="2" t="s">
        <v>6</v>
      </c>
      <c r="H47" s="137">
        <v>0.23999999999999996</v>
      </c>
      <c r="I47" s="137">
        <v>0.23126338329764451</v>
      </c>
      <c r="J47" s="137">
        <v>0.22187499999999999</v>
      </c>
      <c r="K47" s="137">
        <v>0.23538461538461539</v>
      </c>
      <c r="L47" s="137">
        <v>0.2142813565526264</v>
      </c>
      <c r="M47" s="137">
        <v>0.20334259180629913</v>
      </c>
      <c r="N47" s="137">
        <v>0.20307210172779691</v>
      </c>
      <c r="O47" s="137"/>
      <c r="P47" s="137">
        <v>0.18729063789214634</v>
      </c>
      <c r="Q47" s="137">
        <v>0.1754822145586985</v>
      </c>
      <c r="R47" s="137">
        <v>0.18639214701404841</v>
      </c>
      <c r="S47" s="137"/>
      <c r="T47" s="137">
        <v>0.16776970259264987</v>
      </c>
    </row>
    <row r="48" spans="1:23" x14ac:dyDescent="0.25">
      <c r="A48" s="166" t="s">
        <v>119</v>
      </c>
      <c r="B48" s="132" t="s">
        <v>48</v>
      </c>
      <c r="C48" t="str">
        <f t="shared" si="3"/>
        <v>N.A.</v>
      </c>
      <c r="D48" s="2" t="s">
        <v>6</v>
      </c>
      <c r="H48" s="137">
        <v>0.11797019625268639</v>
      </c>
      <c r="I48" s="137">
        <v>0.12581552965057555</v>
      </c>
      <c r="J48" s="137">
        <v>0.13172046570556253</v>
      </c>
      <c r="K48" s="137">
        <v>0.11625361982845815</v>
      </c>
      <c r="L48" s="137">
        <v>0.11263263117463254</v>
      </c>
      <c r="M48" s="137">
        <v>0.1073244204082599</v>
      </c>
      <c r="N48" s="137">
        <v>9.1866921120217784E-2</v>
      </c>
      <c r="O48" s="137">
        <v>8.150790147757532E-2</v>
      </c>
      <c r="P48" s="137">
        <v>8.2946386576295772E-2</v>
      </c>
      <c r="Q48" s="137">
        <v>8.2772908062547307E-2</v>
      </c>
      <c r="R48" s="137">
        <v>7.6743707431563085E-2</v>
      </c>
      <c r="S48" s="137">
        <v>7.1985984878794054E-2</v>
      </c>
      <c r="T48" s="137">
        <v>7.51569946659425E-2</v>
      </c>
    </row>
    <row r="49" spans="1:23" x14ac:dyDescent="0.25">
      <c r="A49" s="166" t="s">
        <v>121</v>
      </c>
      <c r="B49" s="132" t="s">
        <v>48</v>
      </c>
      <c r="C49" t="str">
        <f t="shared" si="3"/>
        <v>N.A.</v>
      </c>
      <c r="D49" s="2" t="s">
        <v>6</v>
      </c>
      <c r="H49" s="137">
        <v>0.24</v>
      </c>
      <c r="I49" s="137">
        <v>0.23126338329764454</v>
      </c>
      <c r="J49" s="137">
        <v>0.22187499999999999</v>
      </c>
      <c r="K49" s="137">
        <v>0.23538461538461541</v>
      </c>
      <c r="L49" s="137">
        <v>0.2306769387845006</v>
      </c>
      <c r="M49" s="137">
        <v>0.23536319409495049</v>
      </c>
      <c r="N49" s="137"/>
      <c r="O49" s="137"/>
      <c r="P49" s="137"/>
      <c r="Q49" s="137">
        <v>0.2242763472180534</v>
      </c>
      <c r="R49" s="137">
        <v>0.22657601167203545</v>
      </c>
      <c r="S49" s="137">
        <v>0.23530684778718342</v>
      </c>
      <c r="T49" s="137">
        <v>0.24341040620971505</v>
      </c>
    </row>
    <row r="50" spans="1:23" x14ac:dyDescent="0.25">
      <c r="A50" s="166" t="s">
        <v>128</v>
      </c>
      <c r="B50" s="132" t="s">
        <v>48</v>
      </c>
      <c r="C50" t="str">
        <f t="shared" si="3"/>
        <v>N.A.</v>
      </c>
      <c r="D50" s="2" t="s">
        <v>6</v>
      </c>
      <c r="H50" s="137"/>
      <c r="I50" s="137">
        <v>9.8966026587887737E-2</v>
      </c>
      <c r="J50" s="137"/>
      <c r="K50" s="137">
        <v>8.3155650319829411E-2</v>
      </c>
      <c r="L50" s="137"/>
      <c r="M50" s="137">
        <v>7.9971157943036941E-2</v>
      </c>
      <c r="N50" s="137">
        <v>4.5432414338749935E-2</v>
      </c>
      <c r="O50" s="137">
        <v>2.7149541821017743E-2</v>
      </c>
      <c r="P50" s="137">
        <v>2.3607064280192665E-2</v>
      </c>
      <c r="Q50" s="137">
        <v>2.8947590513967426E-2</v>
      </c>
      <c r="R50" s="137">
        <v>1.6541353383458648E-2</v>
      </c>
      <c r="S50" s="137"/>
      <c r="T50" s="137">
        <v>1.3673633821508126E-2</v>
      </c>
    </row>
    <row r="51" spans="1:23" x14ac:dyDescent="0.25">
      <c r="A51" s="166" t="s">
        <v>132</v>
      </c>
      <c r="B51" s="132" t="s">
        <v>48</v>
      </c>
      <c r="C51" t="str">
        <f t="shared" si="3"/>
        <v>N.A.</v>
      </c>
      <c r="D51" s="2" t="s">
        <v>6</v>
      </c>
      <c r="H51" s="137"/>
      <c r="I51" s="137">
        <v>9.8966026587887723E-2</v>
      </c>
      <c r="J51" s="137"/>
      <c r="K51" s="137"/>
      <c r="L51" s="137">
        <v>0.11024327784891166</v>
      </c>
      <c r="M51" s="137">
        <v>0.10692436753144943</v>
      </c>
      <c r="N51" s="137">
        <v>9.4096251423837637E-2</v>
      </c>
      <c r="O51" s="137">
        <v>7.5132457012188278E-2</v>
      </c>
      <c r="P51" s="137">
        <v>7.5596792752643791E-2</v>
      </c>
      <c r="Q51" s="137"/>
      <c r="R51" s="137">
        <v>5.8534588620548507E-2</v>
      </c>
      <c r="S51" s="137">
        <v>5.3481810153574429E-2</v>
      </c>
      <c r="T51" s="137">
        <v>4.7948232323232323E-2</v>
      </c>
    </row>
    <row r="52" spans="1:23" x14ac:dyDescent="0.25">
      <c r="A52" s="166" t="s">
        <v>124</v>
      </c>
      <c r="B52" s="132" t="s">
        <v>48</v>
      </c>
      <c r="C52" s="138">
        <v>0.03</v>
      </c>
      <c r="D52" s="2" t="s">
        <v>6</v>
      </c>
    </row>
    <row r="53" spans="1:23" x14ac:dyDescent="0.25">
      <c r="A53" s="166" t="s">
        <v>125</v>
      </c>
      <c r="B53" s="132" t="s">
        <v>48</v>
      </c>
      <c r="C53" s="138">
        <v>0.03</v>
      </c>
      <c r="D53" s="2" t="s">
        <v>6</v>
      </c>
    </row>
    <row r="54" spans="1:23" x14ac:dyDescent="0.25">
      <c r="A54" s="166" t="s">
        <v>130</v>
      </c>
      <c r="B54" s="132" t="s">
        <v>48</v>
      </c>
      <c r="C54" s="138">
        <v>0.03</v>
      </c>
      <c r="D54" s="2" t="s">
        <v>6</v>
      </c>
    </row>
    <row r="55" spans="1:23" x14ac:dyDescent="0.25">
      <c r="A55" s="166" t="s">
        <v>131</v>
      </c>
      <c r="B55" s="132" t="s">
        <v>48</v>
      </c>
      <c r="C55" s="138">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132" t="s">
        <v>48</v>
      </c>
      <c r="C58" t="str">
        <f t="shared" ref="C58:C63" si="4">IF(SUMPRODUCT(--(E58:W58&lt;&gt;""))=0,0,"N.A.")</f>
        <v>N.A.</v>
      </c>
      <c r="D58" s="2" t="s">
        <v>6</v>
      </c>
      <c r="N58" s="140"/>
      <c r="O58" s="140">
        <v>0.14285714285714285</v>
      </c>
      <c r="P58" s="140"/>
      <c r="Q58" s="140"/>
      <c r="R58" s="140"/>
      <c r="S58" s="140"/>
    </row>
    <row r="59" spans="1:23" x14ac:dyDescent="0.25">
      <c r="A59" s="166" t="s">
        <v>113</v>
      </c>
      <c r="B59" s="132" t="s">
        <v>48</v>
      </c>
      <c r="C59" t="str">
        <f t="shared" si="4"/>
        <v>N.A.</v>
      </c>
      <c r="D59" s="2" t="s">
        <v>6</v>
      </c>
      <c r="N59" s="140"/>
      <c r="O59" s="140">
        <v>0.25</v>
      </c>
      <c r="P59" s="140"/>
      <c r="Q59" s="140">
        <v>0.21428571428571427</v>
      </c>
      <c r="R59" s="140"/>
      <c r="S59" s="140">
        <v>0.2</v>
      </c>
    </row>
    <row r="60" spans="1:23" x14ac:dyDescent="0.25">
      <c r="A60" s="166" t="s">
        <v>115</v>
      </c>
      <c r="B60" s="132" t="s">
        <v>48</v>
      </c>
      <c r="C60" t="str">
        <f t="shared" si="4"/>
        <v>N.A.</v>
      </c>
      <c r="D60" s="2" t="s">
        <v>6</v>
      </c>
      <c r="N60" s="140">
        <v>0.23305084745762711</v>
      </c>
      <c r="O60" s="140">
        <v>0.18584983498349836</v>
      </c>
      <c r="P60" s="140">
        <v>0.13733401804709855</v>
      </c>
      <c r="Q60" s="140">
        <v>0.10407413080104151</v>
      </c>
      <c r="R60" s="140">
        <v>0.10439663470553674</v>
      </c>
      <c r="S60" s="140">
        <v>9.8266447649331151E-2</v>
      </c>
    </row>
    <row r="61" spans="1:23" x14ac:dyDescent="0.25">
      <c r="A61" s="166" t="s">
        <v>117</v>
      </c>
      <c r="B61" s="132" t="s">
        <v>48</v>
      </c>
      <c r="C61" t="str">
        <f t="shared" si="4"/>
        <v>N.A.</v>
      </c>
      <c r="D61" s="2" t="s">
        <v>6</v>
      </c>
      <c r="N61" s="140"/>
      <c r="O61" s="140">
        <v>0.40389610389610386</v>
      </c>
      <c r="P61" s="140"/>
      <c r="Q61" s="140"/>
      <c r="R61" s="140"/>
      <c r="S61" s="140">
        <v>0.23333333333333331</v>
      </c>
    </row>
    <row r="62" spans="1:23" x14ac:dyDescent="0.25">
      <c r="A62" s="166" t="s">
        <v>119</v>
      </c>
      <c r="B62" s="132" t="s">
        <v>48</v>
      </c>
      <c r="C62" t="str">
        <f t="shared" si="4"/>
        <v>N.A.</v>
      </c>
      <c r="D62" s="2" t="s">
        <v>6</v>
      </c>
      <c r="N62" s="140">
        <v>0.24202898550724639</v>
      </c>
      <c r="O62" s="140">
        <v>0.22193883064951903</v>
      </c>
      <c r="P62" s="140">
        <v>0.21117817052312896</v>
      </c>
      <c r="Q62" s="140">
        <v>0.1941584094294411</v>
      </c>
      <c r="R62" s="140">
        <v>0.24728171052083919</v>
      </c>
      <c r="S62" s="140">
        <v>0.19567066279869047</v>
      </c>
    </row>
    <row r="63" spans="1:23" x14ac:dyDescent="0.25">
      <c r="A63" s="166" t="s">
        <v>121</v>
      </c>
      <c r="B63" s="132" t="s">
        <v>48</v>
      </c>
      <c r="C63" t="str">
        <f t="shared" si="4"/>
        <v>N.A.</v>
      </c>
      <c r="D63" s="2" t="s">
        <v>6</v>
      </c>
      <c r="N63" s="140"/>
      <c r="O63" s="140">
        <v>0.74794069192751234</v>
      </c>
      <c r="P63" s="140">
        <v>0.5</v>
      </c>
      <c r="Q63" s="140"/>
      <c r="R63" s="140"/>
      <c r="S63" s="140">
        <v>0.33333333333333331</v>
      </c>
    </row>
    <row r="64" spans="1:23" x14ac:dyDescent="0.25">
      <c r="A64" s="166" t="s">
        <v>128</v>
      </c>
      <c r="B64" s="132" t="s">
        <v>48</v>
      </c>
      <c r="C64" s="139">
        <v>0.17</v>
      </c>
      <c r="D64" s="2" t="s">
        <v>6</v>
      </c>
    </row>
    <row r="65" spans="1:23" x14ac:dyDescent="0.25">
      <c r="A65" s="166" t="s">
        <v>132</v>
      </c>
      <c r="B65" s="132" t="s">
        <v>48</v>
      </c>
      <c r="C65" s="139">
        <v>0.17</v>
      </c>
      <c r="D65" s="2" t="s">
        <v>6</v>
      </c>
    </row>
    <row r="66" spans="1:23" x14ac:dyDescent="0.25">
      <c r="A66" s="166" t="s">
        <v>124</v>
      </c>
      <c r="B66" s="132" t="s">
        <v>48</v>
      </c>
      <c r="C66" s="139">
        <v>0.17</v>
      </c>
      <c r="D66" s="2" t="s">
        <v>6</v>
      </c>
    </row>
    <row r="67" spans="1:23" x14ac:dyDescent="0.25">
      <c r="A67" s="166" t="s">
        <v>125</v>
      </c>
      <c r="B67" s="132" t="s">
        <v>48</v>
      </c>
      <c r="C67" s="139">
        <v>0.17</v>
      </c>
      <c r="D67" s="2" t="s">
        <v>6</v>
      </c>
    </row>
    <row r="68" spans="1:23" x14ac:dyDescent="0.25">
      <c r="A68" s="166" t="s">
        <v>130</v>
      </c>
      <c r="B68" s="132" t="s">
        <v>48</v>
      </c>
      <c r="C68" s="139">
        <v>0.17</v>
      </c>
      <c r="D68" s="2" t="s">
        <v>6</v>
      </c>
    </row>
    <row r="69" spans="1:23" x14ac:dyDescent="0.25">
      <c r="A69" s="166" t="s">
        <v>131</v>
      </c>
      <c r="B69" s="132" t="s">
        <v>48</v>
      </c>
      <c r="C69" s="139">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132" t="s">
        <v>48</v>
      </c>
      <c r="C72" s="141">
        <v>0.27</v>
      </c>
      <c r="D72" s="2" t="s">
        <v>6</v>
      </c>
    </row>
    <row r="73" spans="1:23" x14ac:dyDescent="0.25">
      <c r="A73" s="166" t="s">
        <v>113</v>
      </c>
      <c r="B73" s="132" t="s">
        <v>48</v>
      </c>
      <c r="C73" s="141">
        <v>0.27</v>
      </c>
      <c r="D73" s="2" t="s">
        <v>6</v>
      </c>
    </row>
    <row r="74" spans="1:23" x14ac:dyDescent="0.25">
      <c r="A74" s="166" t="s">
        <v>115</v>
      </c>
      <c r="B74" s="132" t="s">
        <v>48</v>
      </c>
      <c r="C74" s="141" t="s">
        <v>41</v>
      </c>
      <c r="D74" s="2" t="s">
        <v>6</v>
      </c>
      <c r="N74" s="142">
        <v>0.41176470588235292</v>
      </c>
      <c r="O74" s="142">
        <v>0.31975867269984914</v>
      </c>
      <c r="P74" s="142"/>
      <c r="Q74" s="142"/>
      <c r="R74" s="142"/>
      <c r="S74" s="142">
        <v>0.20909090909090908</v>
      </c>
    </row>
    <row r="75" spans="1:23" x14ac:dyDescent="0.25">
      <c r="A75" s="166" t="s">
        <v>117</v>
      </c>
      <c r="B75" s="132" t="s">
        <v>48</v>
      </c>
      <c r="C75" s="141">
        <v>0.27</v>
      </c>
      <c r="D75" s="2" t="s">
        <v>6</v>
      </c>
      <c r="N75" s="142"/>
      <c r="O75" s="142"/>
      <c r="P75" s="142"/>
      <c r="Q75" s="142"/>
      <c r="R75" s="142"/>
      <c r="S75" s="142"/>
    </row>
    <row r="76" spans="1:23" x14ac:dyDescent="0.25">
      <c r="A76" s="166" t="s">
        <v>119</v>
      </c>
      <c r="B76" s="132" t="s">
        <v>48</v>
      </c>
      <c r="C76" s="141" t="s">
        <v>41</v>
      </c>
      <c r="D76" s="2" t="s">
        <v>6</v>
      </c>
      <c r="N76" s="142">
        <v>0.39233038348082594</v>
      </c>
      <c r="O76" s="142">
        <v>0.34262125902992774</v>
      </c>
      <c r="P76" s="142"/>
      <c r="Q76" s="142">
        <v>0.33333333333333331</v>
      </c>
      <c r="R76" s="142"/>
      <c r="S76" s="142">
        <v>0.25000000000000006</v>
      </c>
    </row>
    <row r="77" spans="1:23" x14ac:dyDescent="0.25">
      <c r="A77" s="166" t="s">
        <v>121</v>
      </c>
      <c r="B77" s="132" t="s">
        <v>48</v>
      </c>
      <c r="C77" s="141">
        <v>0.27</v>
      </c>
      <c r="D77" s="2" t="s">
        <v>6</v>
      </c>
    </row>
    <row r="78" spans="1:23" x14ac:dyDescent="0.25">
      <c r="A78" s="166" t="s">
        <v>128</v>
      </c>
      <c r="B78" s="132" t="s">
        <v>48</v>
      </c>
      <c r="C78" s="141">
        <v>0.27</v>
      </c>
      <c r="D78" s="2" t="s">
        <v>6</v>
      </c>
    </row>
    <row r="79" spans="1:23" x14ac:dyDescent="0.25">
      <c r="A79" s="166" t="s">
        <v>132</v>
      </c>
      <c r="B79" s="132" t="s">
        <v>48</v>
      </c>
      <c r="C79" s="141">
        <v>0.27</v>
      </c>
      <c r="D79" s="2" t="s">
        <v>6</v>
      </c>
    </row>
    <row r="80" spans="1:23" x14ac:dyDescent="0.25">
      <c r="A80" s="166" t="s">
        <v>124</v>
      </c>
      <c r="B80" s="132" t="s">
        <v>48</v>
      </c>
      <c r="C80" s="141">
        <v>0.27</v>
      </c>
      <c r="D80" s="2" t="s">
        <v>6</v>
      </c>
    </row>
    <row r="81" spans="1:23" x14ac:dyDescent="0.25">
      <c r="A81" s="166" t="s">
        <v>125</v>
      </c>
      <c r="B81" s="132" t="s">
        <v>48</v>
      </c>
      <c r="C81" s="141">
        <v>0.27</v>
      </c>
      <c r="D81" s="2" t="s">
        <v>6</v>
      </c>
    </row>
    <row r="82" spans="1:23" x14ac:dyDescent="0.25">
      <c r="A82" s="166" t="s">
        <v>130</v>
      </c>
      <c r="B82" s="132" t="s">
        <v>48</v>
      </c>
      <c r="C82" s="141">
        <v>0.27</v>
      </c>
      <c r="D82" s="2" t="s">
        <v>6</v>
      </c>
    </row>
    <row r="83" spans="1:23" x14ac:dyDescent="0.25">
      <c r="A83" s="166" t="s">
        <v>131</v>
      </c>
      <c r="B83" s="132" t="s">
        <v>48</v>
      </c>
      <c r="C83" s="141">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132" t="s">
        <v>48</v>
      </c>
      <c r="C86" t="str">
        <f t="shared" ref="C86:C97" si="5">IF(SUMPRODUCT(--(E86:W86&lt;&gt;""))=0,0,"N.A.")</f>
        <v>N.A.</v>
      </c>
      <c r="D86" s="2" t="s">
        <v>6</v>
      </c>
      <c r="E86" s="143">
        <v>2.7253739612188368E-2</v>
      </c>
      <c r="F86" s="143">
        <v>2.7541720154043652E-2</v>
      </c>
      <c r="G86" s="143">
        <v>2.859907578558225E-2</v>
      </c>
      <c r="H86" s="143">
        <v>2.9775122318404221E-2</v>
      </c>
      <c r="I86" s="143">
        <v>3.09975129137172E-2</v>
      </c>
      <c r="J86" s="143">
        <v>3.1946325509811496E-2</v>
      </c>
      <c r="K86" s="143">
        <v>3.24815962805114E-2</v>
      </c>
      <c r="L86" s="143">
        <v>3.1825405921680996E-2</v>
      </c>
      <c r="M86" s="143">
        <v>3.1405505952381001E-2</v>
      </c>
      <c r="N86" s="143">
        <v>2.9444343562738333E-2</v>
      </c>
      <c r="O86" s="143">
        <v>2.8611121076233183E-2</v>
      </c>
      <c r="P86" s="143">
        <v>2.679263157894737E-2</v>
      </c>
      <c r="Q86" s="143">
        <v>2.661699507389163E-2</v>
      </c>
      <c r="R86" s="143">
        <v>2.6298277099784641E-2</v>
      </c>
      <c r="S86" s="143"/>
      <c r="T86" s="143"/>
      <c r="U86" s="143"/>
    </row>
    <row r="87" spans="1:23" x14ac:dyDescent="0.25">
      <c r="A87" s="166" t="s">
        <v>113</v>
      </c>
      <c r="B87" s="132" t="s">
        <v>48</v>
      </c>
      <c r="C87" t="str">
        <f t="shared" si="5"/>
        <v>N.A.</v>
      </c>
      <c r="D87" s="2" t="s">
        <v>6</v>
      </c>
      <c r="E87" s="143">
        <v>2.0656411758960838E-2</v>
      </c>
      <c r="F87" s="143">
        <v>2.0688524590163935E-2</v>
      </c>
      <c r="G87" s="143">
        <v>2.0747687861271676E-2</v>
      </c>
      <c r="H87" s="143">
        <v>2.0829968424074252E-2</v>
      </c>
      <c r="I87" s="143">
        <v>2.0945745288406627E-2</v>
      </c>
      <c r="J87" s="143">
        <v>2.0969420702754038E-2</v>
      </c>
      <c r="K87" s="143">
        <v>2.0939376716870323E-2</v>
      </c>
      <c r="L87" s="143">
        <v>2.0905073494547181E-2</v>
      </c>
      <c r="M87" s="143">
        <v>2.087392877547134E-2</v>
      </c>
      <c r="N87" s="143">
        <v>2.0847994639609457E-2</v>
      </c>
      <c r="O87" s="143">
        <v>2.0888033859176605E-2</v>
      </c>
      <c r="P87" s="143">
        <v>2.0801447876447877E-2</v>
      </c>
      <c r="Q87" s="143">
        <v>2.0869464544138929E-2</v>
      </c>
      <c r="R87" s="143">
        <v>2.0637952559300874E-2</v>
      </c>
      <c r="S87" s="143"/>
      <c r="T87" s="143"/>
      <c r="U87" s="143"/>
    </row>
    <row r="88" spans="1:23" x14ac:dyDescent="0.25">
      <c r="A88" s="166" t="s">
        <v>115</v>
      </c>
      <c r="B88" s="132" t="s">
        <v>48</v>
      </c>
      <c r="C88" t="str">
        <f t="shared" si="5"/>
        <v>N.A.</v>
      </c>
      <c r="D88" s="2" t="s">
        <v>6</v>
      </c>
      <c r="E88" s="143">
        <v>2.9156838462939358E-2</v>
      </c>
      <c r="F88" s="143">
        <v>3.0059301410063702E-2</v>
      </c>
      <c r="G88" s="143">
        <v>3.1169197320896298E-2</v>
      </c>
      <c r="H88" s="143">
        <v>3.2286400439138198E-2</v>
      </c>
      <c r="I88" s="143">
        <v>3.26735043308937E-2</v>
      </c>
      <c r="J88" s="143">
        <v>3.2773204356266197E-2</v>
      </c>
      <c r="K88" s="143">
        <v>3.2702324080051602E-2</v>
      </c>
      <c r="L88" s="143">
        <v>3.2266814791303E-2</v>
      </c>
      <c r="M88" s="143">
        <v>3.1832598705805099E-2</v>
      </c>
      <c r="N88" s="143">
        <v>3.1220994645165298E-2</v>
      </c>
      <c r="O88" s="143">
        <v>3.03361982870805E-2</v>
      </c>
      <c r="P88" s="143">
        <v>2.9309029123319522E-2</v>
      </c>
      <c r="Q88" s="143">
        <v>2.8534995458940032E-2</v>
      </c>
      <c r="R88" s="143">
        <v>2.7742776562679872E-2</v>
      </c>
      <c r="S88" s="143"/>
      <c r="T88" s="143"/>
      <c r="U88" s="143"/>
    </row>
    <row r="89" spans="1:23" x14ac:dyDescent="0.25">
      <c r="A89" s="166" t="s">
        <v>117</v>
      </c>
      <c r="B89" s="132" t="s">
        <v>48</v>
      </c>
      <c r="C89" t="str">
        <f t="shared" si="5"/>
        <v>N.A.</v>
      </c>
      <c r="D89" s="2" t="s">
        <v>6</v>
      </c>
      <c r="E89" s="143">
        <v>8.6788031319910502E-2</v>
      </c>
      <c r="F89" s="143">
        <v>8.7353944562899799E-2</v>
      </c>
      <c r="G89" s="143">
        <v>8.6125635808748699E-2</v>
      </c>
      <c r="H89" s="143">
        <v>8.7565111758989303E-2</v>
      </c>
      <c r="I89" s="143">
        <v>8.18761638733706E-2</v>
      </c>
      <c r="J89" s="143">
        <v>8.1941334527541404E-2</v>
      </c>
      <c r="K89" s="143">
        <v>8.2693895098882197E-2</v>
      </c>
      <c r="L89" s="143">
        <v>8.1216597510373398E-2</v>
      </c>
      <c r="M89" s="143">
        <v>7.9705123033481207E-2</v>
      </c>
      <c r="N89" s="143">
        <v>8.1533018867924495E-2</v>
      </c>
      <c r="O89" s="143">
        <v>7.7977368622938206E-2</v>
      </c>
      <c r="P89" s="143">
        <v>7.9001901140684394E-2</v>
      </c>
      <c r="Q89" s="143">
        <v>7.7662650602409594E-2</v>
      </c>
      <c r="R89" s="143">
        <v>7.5197466467958302E-2</v>
      </c>
      <c r="S89" s="143"/>
      <c r="T89" s="143"/>
      <c r="U89" s="143"/>
    </row>
    <row r="90" spans="1:23" x14ac:dyDescent="0.25">
      <c r="A90" s="166" t="s">
        <v>119</v>
      </c>
      <c r="B90" s="132" t="s">
        <v>48</v>
      </c>
      <c r="C90" t="str">
        <f t="shared" si="5"/>
        <v>N.A.</v>
      </c>
      <c r="D90" s="2" t="s">
        <v>6</v>
      </c>
      <c r="E90" s="143">
        <v>0.24</v>
      </c>
      <c r="F90" s="143"/>
      <c r="G90" s="143"/>
      <c r="H90" s="143"/>
      <c r="I90" s="143">
        <v>0.24</v>
      </c>
      <c r="J90" s="143">
        <v>0.12000000000000001</v>
      </c>
      <c r="K90" s="143"/>
      <c r="L90" s="143"/>
      <c r="M90" s="143"/>
      <c r="N90" s="143">
        <v>0.115</v>
      </c>
      <c r="O90" s="143"/>
      <c r="P90" s="143"/>
      <c r="Q90" s="143"/>
      <c r="R90" s="143"/>
      <c r="S90" s="143"/>
      <c r="T90" s="143"/>
      <c r="U90" s="143">
        <v>7.17E-2</v>
      </c>
    </row>
    <row r="91" spans="1:23" x14ac:dyDescent="0.25">
      <c r="A91" s="166" t="s">
        <v>121</v>
      </c>
      <c r="B91" s="132" t="s">
        <v>48</v>
      </c>
      <c r="C91" t="str">
        <f t="shared" si="5"/>
        <v>N.A.</v>
      </c>
      <c r="D91" s="2" t="s">
        <v>6</v>
      </c>
      <c r="E91" s="143">
        <v>0.150788031319911</v>
      </c>
      <c r="F91" s="143">
        <v>0.151302596000888</v>
      </c>
      <c r="G91" s="143">
        <v>0.150024453435642</v>
      </c>
      <c r="H91" s="143">
        <v>0.151410138213842</v>
      </c>
      <c r="I91" s="143">
        <v>0.145580043951237</v>
      </c>
      <c r="J91" s="143">
        <v>0.14529630652387898</v>
      </c>
      <c r="K91" s="143">
        <v>0.145556781547203</v>
      </c>
      <c r="L91" s="143">
        <v>0.14337864175214199</v>
      </c>
      <c r="M91" s="143">
        <v>0.14107593695795501</v>
      </c>
      <c r="N91" s="143">
        <v>0.14196882723285301</v>
      </c>
      <c r="O91" s="143">
        <v>0.13716909489440199</v>
      </c>
      <c r="P91" s="143">
        <v>0.136501750335665</v>
      </c>
      <c r="Q91" s="143">
        <v>0.133597812069496</v>
      </c>
      <c r="R91" s="143">
        <v>0.12968359763968298</v>
      </c>
      <c r="S91" s="143"/>
      <c r="T91" s="143"/>
      <c r="U91" s="143">
        <v>0.12340000000000001</v>
      </c>
    </row>
    <row r="92" spans="1:23" x14ac:dyDescent="0.25">
      <c r="A92" s="166" t="s">
        <v>128</v>
      </c>
      <c r="B92" s="132" t="s">
        <v>48</v>
      </c>
      <c r="C92" t="str">
        <f t="shared" si="5"/>
        <v>N.A.</v>
      </c>
      <c r="D92" s="2" t="s">
        <v>6</v>
      </c>
      <c r="E92" s="143">
        <v>2.9156838462939358E-2</v>
      </c>
      <c r="F92" s="143">
        <v>3.0059301410063702E-2</v>
      </c>
      <c r="G92" s="143">
        <v>3.1169197320896298E-2</v>
      </c>
      <c r="H92" s="143">
        <v>3.2286400439138198E-2</v>
      </c>
      <c r="I92" s="143">
        <v>3.26735043308937E-2</v>
      </c>
      <c r="J92" s="143">
        <v>3.2773204356266197E-2</v>
      </c>
      <c r="K92" s="143">
        <v>3.2702324080051602E-2</v>
      </c>
      <c r="L92" s="143">
        <v>3.2266814791303E-2</v>
      </c>
      <c r="M92" s="143">
        <v>3.1832598705805099E-2</v>
      </c>
      <c r="N92" s="143">
        <v>3.1220994645165298E-2</v>
      </c>
      <c r="O92" s="143">
        <v>3.03361982870805E-2</v>
      </c>
      <c r="P92" s="143">
        <v>2.9309029123319522E-2</v>
      </c>
      <c r="Q92" s="143">
        <v>2.8534995458940032E-2</v>
      </c>
      <c r="R92" s="143">
        <v>2.7742776562679872E-2</v>
      </c>
      <c r="S92" s="143"/>
      <c r="T92" s="143"/>
      <c r="U92" s="143"/>
    </row>
    <row r="93" spans="1:23" x14ac:dyDescent="0.25">
      <c r="A93" s="166" t="s">
        <v>132</v>
      </c>
      <c r="B93" s="132" t="s">
        <v>48</v>
      </c>
      <c r="C93" t="str">
        <f t="shared" si="5"/>
        <v>N.A.</v>
      </c>
      <c r="D93" s="2" t="s">
        <v>6</v>
      </c>
      <c r="E93" s="143">
        <v>8.4000000000000005E-2</v>
      </c>
      <c r="F93" s="143">
        <v>8.3948651437988006E-2</v>
      </c>
      <c r="G93" s="143">
        <v>8.3898817626893704E-2</v>
      </c>
      <c r="H93" s="143">
        <v>8.3845026454852201E-2</v>
      </c>
      <c r="I93" s="143">
        <v>8.3703880077866707E-2</v>
      </c>
      <c r="J93" s="143">
        <v>8.3354971996337998E-2</v>
      </c>
      <c r="K93" s="143">
        <v>8.2862886448321099E-2</v>
      </c>
      <c r="L93" s="143">
        <v>8.21620442417684E-2</v>
      </c>
      <c r="M93" s="143">
        <v>8.1370813924473498E-2</v>
      </c>
      <c r="N93" s="143">
        <v>8.0435808364928904E-2</v>
      </c>
      <c r="O93" s="143">
        <v>7.9191726271463495E-2</v>
      </c>
      <c r="P93" s="143">
        <v>7.7499849194980402E-2</v>
      </c>
      <c r="Q93" s="143">
        <v>7.5935161467086398E-2</v>
      </c>
      <c r="R93" s="143">
        <v>7.4486131171724798E-2</v>
      </c>
      <c r="S93" s="143">
        <v>7.3535149309928494E-2</v>
      </c>
      <c r="T93" s="143">
        <v>7.2902882675074096E-2</v>
      </c>
      <c r="U93" s="143">
        <v>7.1688791647076297E-2</v>
      </c>
    </row>
    <row r="94" spans="1:23" x14ac:dyDescent="0.25">
      <c r="A94" s="166" t="s">
        <v>124</v>
      </c>
      <c r="B94" s="132" t="s">
        <v>48</v>
      </c>
      <c r="C94" t="str">
        <f t="shared" si="5"/>
        <v>N.A.</v>
      </c>
      <c r="D94" s="2" t="s">
        <v>6</v>
      </c>
      <c r="E94" s="143">
        <v>2.9156838462939358E-2</v>
      </c>
      <c r="F94" s="143">
        <v>3.0059301410063702E-2</v>
      </c>
      <c r="G94" s="143">
        <v>3.1169197320896298E-2</v>
      </c>
      <c r="H94" s="143">
        <v>3.2286400439138198E-2</v>
      </c>
      <c r="I94" s="143">
        <v>3.26735043308937E-2</v>
      </c>
      <c r="J94" s="143">
        <v>3.2773204356266197E-2</v>
      </c>
      <c r="K94" s="143">
        <v>3.2702324080051602E-2</v>
      </c>
      <c r="L94" s="143">
        <v>3.2266814791303E-2</v>
      </c>
      <c r="M94" s="143">
        <v>3.1832598705805099E-2</v>
      </c>
      <c r="N94" s="143">
        <v>3.1220994645165298E-2</v>
      </c>
      <c r="O94" s="143">
        <v>3.03361982870805E-2</v>
      </c>
      <c r="P94" s="143">
        <v>2.9309029123319522E-2</v>
      </c>
      <c r="Q94" s="143">
        <v>2.8534995458940032E-2</v>
      </c>
      <c r="R94" s="143">
        <v>2.7742776562679872E-2</v>
      </c>
      <c r="S94" s="143"/>
      <c r="T94" s="143"/>
      <c r="U94" s="143"/>
    </row>
    <row r="95" spans="1:23" x14ac:dyDescent="0.25">
      <c r="A95" s="166" t="s">
        <v>125</v>
      </c>
      <c r="B95" s="132" t="s">
        <v>48</v>
      </c>
      <c r="C95" t="str">
        <f t="shared" si="5"/>
        <v>N.A.</v>
      </c>
      <c r="D95" s="2" t="s">
        <v>6</v>
      </c>
      <c r="E95" s="143">
        <v>8.4000000000000005E-2</v>
      </c>
      <c r="F95" s="143">
        <v>8.3948651437988006E-2</v>
      </c>
      <c r="G95" s="143">
        <v>8.3898817626893704E-2</v>
      </c>
      <c r="H95" s="143">
        <v>8.3845026454852201E-2</v>
      </c>
      <c r="I95" s="143">
        <v>8.3703880077866707E-2</v>
      </c>
      <c r="J95" s="143">
        <v>8.3354971996337998E-2</v>
      </c>
      <c r="K95" s="143">
        <v>8.2862886448321099E-2</v>
      </c>
      <c r="L95" s="143">
        <v>8.21620442417684E-2</v>
      </c>
      <c r="M95" s="143">
        <v>8.1370813924473498E-2</v>
      </c>
      <c r="N95" s="143">
        <v>8.0435808364928904E-2</v>
      </c>
      <c r="O95" s="143">
        <v>7.9191726271463495E-2</v>
      </c>
      <c r="P95" s="143">
        <v>7.7499849194980402E-2</v>
      </c>
      <c r="Q95" s="143">
        <v>7.5935161467086398E-2</v>
      </c>
      <c r="R95" s="143">
        <v>7.4486131171724798E-2</v>
      </c>
      <c r="S95" s="143">
        <v>7.3535149309928494E-2</v>
      </c>
      <c r="T95" s="143">
        <v>7.2902882675074096E-2</v>
      </c>
      <c r="U95" s="143">
        <v>7.1688791647076297E-2</v>
      </c>
    </row>
    <row r="96" spans="1:23" x14ac:dyDescent="0.25">
      <c r="A96" s="166" t="s">
        <v>130</v>
      </c>
      <c r="B96" s="132" t="s">
        <v>48</v>
      </c>
      <c r="C96" t="str">
        <f t="shared" si="5"/>
        <v>N.A.</v>
      </c>
      <c r="D96" s="2" t="s">
        <v>6</v>
      </c>
      <c r="E96" s="143">
        <v>2.9156838462939358E-2</v>
      </c>
      <c r="F96" s="143">
        <v>3.0059301410063702E-2</v>
      </c>
      <c r="G96" s="143">
        <v>3.1169197320896298E-2</v>
      </c>
      <c r="H96" s="143">
        <v>3.2286400439138198E-2</v>
      </c>
      <c r="I96" s="143">
        <v>3.26735043308937E-2</v>
      </c>
      <c r="J96" s="143">
        <v>3.2773204356266197E-2</v>
      </c>
      <c r="K96" s="143">
        <v>3.2702324080051602E-2</v>
      </c>
      <c r="L96" s="143">
        <v>3.2266814791303E-2</v>
      </c>
      <c r="M96" s="143">
        <v>3.1832598705805099E-2</v>
      </c>
      <c r="N96" s="143">
        <v>3.1220994645165298E-2</v>
      </c>
      <c r="O96" s="143">
        <v>3.03361982870805E-2</v>
      </c>
      <c r="P96" s="143">
        <v>2.9309029123319522E-2</v>
      </c>
      <c r="Q96" s="143">
        <v>2.8534995458940032E-2</v>
      </c>
      <c r="R96" s="143">
        <v>2.7742776562679872E-2</v>
      </c>
      <c r="S96" s="143"/>
      <c r="T96" s="143"/>
      <c r="U96" s="143"/>
    </row>
    <row r="97" spans="1:23" x14ac:dyDescent="0.25">
      <c r="A97" s="166" t="s">
        <v>131</v>
      </c>
      <c r="B97" s="132" t="s">
        <v>48</v>
      </c>
      <c r="C97" t="str">
        <f t="shared" si="5"/>
        <v>N.A.</v>
      </c>
      <c r="D97" s="2" t="s">
        <v>6</v>
      </c>
      <c r="E97" s="143">
        <v>8.4000000000000005E-2</v>
      </c>
      <c r="F97" s="143">
        <v>8.3948651437988006E-2</v>
      </c>
      <c r="G97" s="143">
        <v>8.3898817626893704E-2</v>
      </c>
      <c r="H97" s="143">
        <v>8.3845026454852201E-2</v>
      </c>
      <c r="I97" s="143">
        <v>8.3703880077866707E-2</v>
      </c>
      <c r="J97" s="143">
        <v>8.3354971996337998E-2</v>
      </c>
      <c r="K97" s="143">
        <v>8.2862886448321099E-2</v>
      </c>
      <c r="L97" s="143">
        <v>8.21620442417684E-2</v>
      </c>
      <c r="M97" s="143">
        <v>8.1370813924473498E-2</v>
      </c>
      <c r="N97" s="143">
        <v>8.0435808364928904E-2</v>
      </c>
      <c r="O97" s="143">
        <v>7.9191726271463495E-2</v>
      </c>
      <c r="P97" s="143">
        <v>7.7499849194980402E-2</v>
      </c>
      <c r="Q97" s="143">
        <v>7.5935161467086398E-2</v>
      </c>
      <c r="R97" s="143">
        <v>7.4486131171724798E-2</v>
      </c>
      <c r="S97" s="143">
        <v>7.3535149309928494E-2</v>
      </c>
      <c r="T97" s="143">
        <v>7.2902882675074096E-2</v>
      </c>
      <c r="U97" s="143">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132" t="s">
        <v>48</v>
      </c>
      <c r="C100" t="str">
        <f t="shared" ref="C100:C111" si="6">IF(SUMPRODUCT(--(E100:W100&lt;&gt;""))=0,0,"N.A.")</f>
        <v>N.A.</v>
      </c>
      <c r="D100" s="2" t="s">
        <v>6</v>
      </c>
      <c r="E100" s="144">
        <v>2.7253739612188368E-2</v>
      </c>
      <c r="F100" s="144">
        <v>2.7541720154043652E-2</v>
      </c>
      <c r="G100" s="144">
        <v>2.859907578558225E-2</v>
      </c>
      <c r="H100" s="144">
        <v>2.9775122318404221E-2</v>
      </c>
      <c r="I100" s="144">
        <v>3.09975129137172E-2</v>
      </c>
      <c r="J100" s="144">
        <v>3.1946325509811496E-2</v>
      </c>
      <c r="K100" s="144">
        <v>3.24815962805114E-2</v>
      </c>
      <c r="L100" s="144">
        <v>3.1825405921680996E-2</v>
      </c>
      <c r="M100" s="144">
        <v>3.1405505952381001E-2</v>
      </c>
      <c r="N100" s="144">
        <v>2.9444343562738333E-2</v>
      </c>
      <c r="O100" s="144">
        <v>2.8611121076233183E-2</v>
      </c>
      <c r="P100" s="144">
        <v>2.679263157894737E-2</v>
      </c>
      <c r="Q100" s="144">
        <v>2.661699507389163E-2</v>
      </c>
      <c r="R100" s="144">
        <v>2.6298277099784641E-2</v>
      </c>
      <c r="S100" s="144"/>
      <c r="T100" s="144"/>
      <c r="U100" s="144"/>
    </row>
    <row r="101" spans="1:23" x14ac:dyDescent="0.25">
      <c r="A101" s="166" t="s">
        <v>113</v>
      </c>
      <c r="B101" s="132" t="s">
        <v>48</v>
      </c>
      <c r="C101" t="str">
        <f t="shared" si="6"/>
        <v>N.A.</v>
      </c>
      <c r="D101" s="2" t="s">
        <v>6</v>
      </c>
      <c r="E101" s="144">
        <v>2.0656411758960838E-2</v>
      </c>
      <c r="F101" s="144">
        <v>2.0688524590163935E-2</v>
      </c>
      <c r="G101" s="144">
        <v>2.0747687861271676E-2</v>
      </c>
      <c r="H101" s="144">
        <v>2.0829968424074252E-2</v>
      </c>
      <c r="I101" s="144">
        <v>2.0945745288406627E-2</v>
      </c>
      <c r="J101" s="144">
        <v>2.0969420702754038E-2</v>
      </c>
      <c r="K101" s="144">
        <v>2.0939376716870323E-2</v>
      </c>
      <c r="L101" s="144">
        <v>2.0905073494547181E-2</v>
      </c>
      <c r="M101" s="144">
        <v>2.087392877547134E-2</v>
      </c>
      <c r="N101" s="144">
        <v>2.0847994639609457E-2</v>
      </c>
      <c r="O101" s="144">
        <v>2.0888033859176605E-2</v>
      </c>
      <c r="P101" s="144">
        <v>2.0801447876447877E-2</v>
      </c>
      <c r="Q101" s="144">
        <v>2.0869464544138929E-2</v>
      </c>
      <c r="R101" s="144">
        <v>2.0637952559300874E-2</v>
      </c>
      <c r="S101" s="144"/>
      <c r="T101" s="144"/>
      <c r="U101" s="144"/>
    </row>
    <row r="102" spans="1:23" x14ac:dyDescent="0.25">
      <c r="A102" s="166" t="s">
        <v>115</v>
      </c>
      <c r="B102" s="132" t="s">
        <v>48</v>
      </c>
      <c r="C102" t="str">
        <f t="shared" si="6"/>
        <v>N.A.</v>
      </c>
      <c r="D102" s="2" t="s">
        <v>6</v>
      </c>
      <c r="E102" s="144">
        <v>2.9156838462939358E-2</v>
      </c>
      <c r="F102" s="144">
        <v>3.0059301410063702E-2</v>
      </c>
      <c r="G102" s="144">
        <v>3.1169197320896298E-2</v>
      </c>
      <c r="H102" s="144">
        <v>3.2286400439138198E-2</v>
      </c>
      <c r="I102" s="144">
        <v>3.26735043308937E-2</v>
      </c>
      <c r="J102" s="144">
        <v>3.2773204356266197E-2</v>
      </c>
      <c r="K102" s="144">
        <v>3.2702324080051602E-2</v>
      </c>
      <c r="L102" s="144">
        <v>3.2266814791303E-2</v>
      </c>
      <c r="M102" s="144">
        <v>3.1832598705805099E-2</v>
      </c>
      <c r="N102" s="144">
        <v>3.1220994645165298E-2</v>
      </c>
      <c r="O102" s="144">
        <v>3.03361982870805E-2</v>
      </c>
      <c r="P102" s="144">
        <v>2.9309029123319522E-2</v>
      </c>
      <c r="Q102" s="144">
        <v>2.8534995458940032E-2</v>
      </c>
      <c r="R102" s="144">
        <v>2.7742776562679872E-2</v>
      </c>
      <c r="S102" s="144"/>
      <c r="T102" s="144"/>
      <c r="U102" s="144"/>
    </row>
    <row r="103" spans="1:23" x14ac:dyDescent="0.25">
      <c r="A103" s="166" t="s">
        <v>117</v>
      </c>
      <c r="B103" s="132" t="s">
        <v>48</v>
      </c>
      <c r="C103" t="str">
        <f t="shared" si="6"/>
        <v>N.A.</v>
      </c>
      <c r="D103" s="2" t="s">
        <v>6</v>
      </c>
      <c r="E103" s="144">
        <v>8.6788031319910502E-2</v>
      </c>
      <c r="F103" s="144">
        <v>8.7353944562899799E-2</v>
      </c>
      <c r="G103" s="144">
        <v>8.6125635808748699E-2</v>
      </c>
      <c r="H103" s="144">
        <v>8.7565111758989303E-2</v>
      </c>
      <c r="I103" s="144">
        <v>8.18761638733706E-2</v>
      </c>
      <c r="J103" s="144">
        <v>8.1941334527541404E-2</v>
      </c>
      <c r="K103" s="144">
        <v>8.2693895098882197E-2</v>
      </c>
      <c r="L103" s="144">
        <v>8.1216597510373398E-2</v>
      </c>
      <c r="M103" s="144">
        <v>7.9705123033481207E-2</v>
      </c>
      <c r="N103" s="144">
        <v>8.1533018867924495E-2</v>
      </c>
      <c r="O103" s="144">
        <v>7.7977368622938206E-2</v>
      </c>
      <c r="P103" s="144">
        <v>7.9001901140684394E-2</v>
      </c>
      <c r="Q103" s="144">
        <v>7.7662650602409594E-2</v>
      </c>
      <c r="R103" s="144">
        <v>7.5197466467958302E-2</v>
      </c>
      <c r="S103" s="144"/>
      <c r="T103" s="144"/>
      <c r="U103" s="144"/>
    </row>
    <row r="104" spans="1:23" x14ac:dyDescent="0.25">
      <c r="A104" s="166" t="s">
        <v>119</v>
      </c>
      <c r="B104" s="132" t="s">
        <v>48</v>
      </c>
      <c r="C104" t="str">
        <f t="shared" si="6"/>
        <v>N.A.</v>
      </c>
      <c r="D104" s="2" t="s">
        <v>6</v>
      </c>
      <c r="E104" s="144">
        <v>0.24</v>
      </c>
      <c r="F104" s="144"/>
      <c r="G104" s="144"/>
      <c r="H104" s="144"/>
      <c r="I104" s="144">
        <v>0.24</v>
      </c>
      <c r="J104" s="144">
        <v>0.12000000000000001</v>
      </c>
      <c r="K104" s="144"/>
      <c r="L104" s="144"/>
      <c r="M104" s="144"/>
      <c r="N104" s="144">
        <v>0.115</v>
      </c>
      <c r="O104" s="144"/>
      <c r="P104" s="144"/>
      <c r="Q104" s="144"/>
      <c r="R104" s="144"/>
      <c r="S104" s="144"/>
      <c r="T104" s="144"/>
      <c r="U104" s="144">
        <v>7.17E-2</v>
      </c>
    </row>
    <row r="105" spans="1:23" x14ac:dyDescent="0.25">
      <c r="A105" s="166" t="s">
        <v>121</v>
      </c>
      <c r="B105" s="132" t="s">
        <v>48</v>
      </c>
      <c r="C105" t="str">
        <f t="shared" si="6"/>
        <v>N.A.</v>
      </c>
      <c r="D105" s="2" t="s">
        <v>6</v>
      </c>
      <c r="E105" s="144">
        <v>0.150788031319911</v>
      </c>
      <c r="F105" s="144">
        <v>0.151302596000888</v>
      </c>
      <c r="G105" s="144">
        <v>0.150024453435642</v>
      </c>
      <c r="H105" s="144">
        <v>0.151410138213842</v>
      </c>
      <c r="I105" s="144">
        <v>0.145580043951237</v>
      </c>
      <c r="J105" s="144">
        <v>0.14529630652387898</v>
      </c>
      <c r="K105" s="144">
        <v>0.145556781547203</v>
      </c>
      <c r="L105" s="144">
        <v>0.14337864175214199</v>
      </c>
      <c r="M105" s="144">
        <v>0.14107593695795501</v>
      </c>
      <c r="N105" s="144">
        <v>0.14196882723285301</v>
      </c>
      <c r="O105" s="144">
        <v>0.13716909489440199</v>
      </c>
      <c r="P105" s="144">
        <v>0.136501750335665</v>
      </c>
      <c r="Q105" s="144">
        <v>0.133597812069496</v>
      </c>
      <c r="R105" s="144">
        <v>0.12968359763968298</v>
      </c>
      <c r="S105" s="144"/>
      <c r="T105" s="144"/>
      <c r="U105" s="144">
        <v>0.12340000000000001</v>
      </c>
    </row>
    <row r="106" spans="1:23" x14ac:dyDescent="0.25">
      <c r="A106" s="166" t="s">
        <v>128</v>
      </c>
      <c r="B106" s="132" t="s">
        <v>48</v>
      </c>
      <c r="C106" t="str">
        <f t="shared" si="6"/>
        <v>N.A.</v>
      </c>
      <c r="D106" s="2" t="s">
        <v>6</v>
      </c>
      <c r="E106" s="144">
        <v>2.9156838462939358E-2</v>
      </c>
      <c r="F106" s="144">
        <v>3.0059301410063702E-2</v>
      </c>
      <c r="G106" s="144">
        <v>3.1169197320896298E-2</v>
      </c>
      <c r="H106" s="144">
        <v>3.2286400439138198E-2</v>
      </c>
      <c r="I106" s="144">
        <v>3.26735043308937E-2</v>
      </c>
      <c r="J106" s="144">
        <v>3.2773204356266197E-2</v>
      </c>
      <c r="K106" s="144">
        <v>3.2702324080051602E-2</v>
      </c>
      <c r="L106" s="144">
        <v>3.2266814791303E-2</v>
      </c>
      <c r="M106" s="144">
        <v>3.1832598705805099E-2</v>
      </c>
      <c r="N106" s="144">
        <v>3.1220994645165298E-2</v>
      </c>
      <c r="O106" s="144">
        <v>3.03361982870805E-2</v>
      </c>
      <c r="P106" s="144">
        <v>2.9309029123319522E-2</v>
      </c>
      <c r="Q106" s="144">
        <v>2.8534995458940032E-2</v>
      </c>
      <c r="R106" s="144">
        <v>2.7742776562679872E-2</v>
      </c>
      <c r="S106" s="144"/>
      <c r="T106" s="144"/>
      <c r="U106" s="144"/>
    </row>
    <row r="107" spans="1:23" x14ac:dyDescent="0.25">
      <c r="A107" s="166" t="s">
        <v>132</v>
      </c>
      <c r="B107" s="132" t="s">
        <v>48</v>
      </c>
      <c r="C107" t="str">
        <f t="shared" si="6"/>
        <v>N.A.</v>
      </c>
      <c r="D107" s="2" t="s">
        <v>6</v>
      </c>
      <c r="E107" s="144">
        <v>8.4000000000000005E-2</v>
      </c>
      <c r="F107" s="144">
        <v>8.3948651437988006E-2</v>
      </c>
      <c r="G107" s="144">
        <v>8.3898817626893704E-2</v>
      </c>
      <c r="H107" s="144">
        <v>8.3845026454852201E-2</v>
      </c>
      <c r="I107" s="144">
        <v>8.3703880077866707E-2</v>
      </c>
      <c r="J107" s="144">
        <v>8.3354971996337998E-2</v>
      </c>
      <c r="K107" s="144">
        <v>8.2862886448321099E-2</v>
      </c>
      <c r="L107" s="144">
        <v>8.21620442417684E-2</v>
      </c>
      <c r="M107" s="144">
        <v>8.1370813924473498E-2</v>
      </c>
      <c r="N107" s="144">
        <v>8.0435808364928904E-2</v>
      </c>
      <c r="O107" s="144">
        <v>7.9191726271463495E-2</v>
      </c>
      <c r="P107" s="144">
        <v>7.7499849194980402E-2</v>
      </c>
      <c r="Q107" s="144">
        <v>7.5935161467086398E-2</v>
      </c>
      <c r="R107" s="144">
        <v>7.4486131171724798E-2</v>
      </c>
      <c r="S107" s="144">
        <v>7.3535149309928494E-2</v>
      </c>
      <c r="T107" s="144">
        <v>7.2902882675074096E-2</v>
      </c>
      <c r="U107" s="144">
        <v>7.1688791647076297E-2</v>
      </c>
    </row>
    <row r="108" spans="1:23" x14ac:dyDescent="0.25">
      <c r="A108" s="166" t="s">
        <v>124</v>
      </c>
      <c r="B108" s="132" t="s">
        <v>48</v>
      </c>
      <c r="C108" t="str">
        <f t="shared" si="6"/>
        <v>N.A.</v>
      </c>
      <c r="D108" s="2" t="s">
        <v>6</v>
      </c>
      <c r="E108" s="144">
        <v>2.9156838462939358E-2</v>
      </c>
      <c r="F108" s="144">
        <v>3.0059301410063702E-2</v>
      </c>
      <c r="G108" s="144">
        <v>3.1169197320896298E-2</v>
      </c>
      <c r="H108" s="144">
        <v>3.2286400439138198E-2</v>
      </c>
      <c r="I108" s="144">
        <v>3.26735043308937E-2</v>
      </c>
      <c r="J108" s="144">
        <v>3.2773204356266197E-2</v>
      </c>
      <c r="K108" s="144">
        <v>3.2702324080051602E-2</v>
      </c>
      <c r="L108" s="144">
        <v>3.2266814791303E-2</v>
      </c>
      <c r="M108" s="144">
        <v>3.1832598705805099E-2</v>
      </c>
      <c r="N108" s="144">
        <v>3.1220994645165298E-2</v>
      </c>
      <c r="O108" s="144">
        <v>3.03361982870805E-2</v>
      </c>
      <c r="P108" s="144">
        <v>2.9309029123319522E-2</v>
      </c>
      <c r="Q108" s="144">
        <v>2.8534995458940032E-2</v>
      </c>
      <c r="R108" s="144">
        <v>2.7742776562679872E-2</v>
      </c>
      <c r="S108" s="144"/>
      <c r="T108" s="144"/>
      <c r="U108" s="144"/>
    </row>
    <row r="109" spans="1:23" x14ac:dyDescent="0.25">
      <c r="A109" s="166" t="s">
        <v>125</v>
      </c>
      <c r="B109" s="132" t="s">
        <v>48</v>
      </c>
      <c r="C109" t="str">
        <f t="shared" si="6"/>
        <v>N.A.</v>
      </c>
      <c r="D109" s="2" t="s">
        <v>6</v>
      </c>
      <c r="E109" s="144">
        <v>8.4000000000000005E-2</v>
      </c>
      <c r="F109" s="144">
        <v>8.3948651437988006E-2</v>
      </c>
      <c r="G109" s="144">
        <v>8.3898817626893704E-2</v>
      </c>
      <c r="H109" s="144">
        <v>8.3845026454852201E-2</v>
      </c>
      <c r="I109" s="144">
        <v>8.3703880077866707E-2</v>
      </c>
      <c r="J109" s="144">
        <v>8.3354971996337998E-2</v>
      </c>
      <c r="K109" s="144">
        <v>8.2862886448321099E-2</v>
      </c>
      <c r="L109" s="144">
        <v>8.21620442417684E-2</v>
      </c>
      <c r="M109" s="144">
        <v>8.1370813924473498E-2</v>
      </c>
      <c r="N109" s="144">
        <v>8.0435808364928904E-2</v>
      </c>
      <c r="O109" s="144">
        <v>7.9191726271463495E-2</v>
      </c>
      <c r="P109" s="144">
        <v>7.7499849194980402E-2</v>
      </c>
      <c r="Q109" s="144">
        <v>7.5935161467086398E-2</v>
      </c>
      <c r="R109" s="144">
        <v>7.4486131171724798E-2</v>
      </c>
      <c r="S109" s="144">
        <v>7.3535149309928494E-2</v>
      </c>
      <c r="T109" s="144">
        <v>7.2902882675074096E-2</v>
      </c>
      <c r="U109" s="144">
        <v>7.1688791647076297E-2</v>
      </c>
    </row>
    <row r="110" spans="1:23" x14ac:dyDescent="0.25">
      <c r="A110" s="166" t="s">
        <v>130</v>
      </c>
      <c r="B110" s="132" t="s">
        <v>48</v>
      </c>
      <c r="C110" t="str">
        <f t="shared" si="6"/>
        <v>N.A.</v>
      </c>
      <c r="D110" s="2" t="s">
        <v>6</v>
      </c>
      <c r="E110" s="144">
        <v>2.9156838462939358E-2</v>
      </c>
      <c r="F110" s="144">
        <v>3.0059301410063702E-2</v>
      </c>
      <c r="G110" s="144">
        <v>3.1169197320896298E-2</v>
      </c>
      <c r="H110" s="144">
        <v>3.2286400439138198E-2</v>
      </c>
      <c r="I110" s="144">
        <v>3.26735043308937E-2</v>
      </c>
      <c r="J110" s="144">
        <v>3.2773204356266197E-2</v>
      </c>
      <c r="K110" s="144">
        <v>3.2702324080051602E-2</v>
      </c>
      <c r="L110" s="144">
        <v>3.2266814791303E-2</v>
      </c>
      <c r="M110" s="144">
        <v>3.1832598705805099E-2</v>
      </c>
      <c r="N110" s="144">
        <v>3.1220994645165298E-2</v>
      </c>
      <c r="O110" s="144">
        <v>3.03361982870805E-2</v>
      </c>
      <c r="P110" s="144">
        <v>2.9309029123319522E-2</v>
      </c>
      <c r="Q110" s="144">
        <v>2.8534995458940032E-2</v>
      </c>
      <c r="R110" s="144">
        <v>2.7742776562679872E-2</v>
      </c>
      <c r="S110" s="144"/>
      <c r="T110" s="144"/>
      <c r="U110" s="144"/>
    </row>
    <row r="111" spans="1:23" x14ac:dyDescent="0.25">
      <c r="A111" s="166" t="s">
        <v>131</v>
      </c>
      <c r="B111" s="132" t="s">
        <v>48</v>
      </c>
      <c r="C111" t="str">
        <f t="shared" si="6"/>
        <v>N.A.</v>
      </c>
      <c r="D111" s="2" t="s">
        <v>6</v>
      </c>
      <c r="E111" s="144">
        <v>8.4000000000000005E-2</v>
      </c>
      <c r="F111" s="144">
        <v>8.3948651437988006E-2</v>
      </c>
      <c r="G111" s="144">
        <v>8.3898817626893704E-2</v>
      </c>
      <c r="H111" s="144">
        <v>8.3845026454852201E-2</v>
      </c>
      <c r="I111" s="144">
        <v>8.3703880077866707E-2</v>
      </c>
      <c r="J111" s="144">
        <v>8.3354971996337998E-2</v>
      </c>
      <c r="K111" s="144">
        <v>8.2862886448321099E-2</v>
      </c>
      <c r="L111" s="144">
        <v>8.21620442417684E-2</v>
      </c>
      <c r="M111" s="144">
        <v>8.1370813924473498E-2</v>
      </c>
      <c r="N111" s="144">
        <v>8.0435808364928904E-2</v>
      </c>
      <c r="O111" s="144">
        <v>7.9191726271463495E-2</v>
      </c>
      <c r="P111" s="144">
        <v>7.7499849194980402E-2</v>
      </c>
      <c r="Q111" s="144">
        <v>7.5935161467086398E-2</v>
      </c>
      <c r="R111" s="144">
        <v>7.4486131171724798E-2</v>
      </c>
      <c r="S111" s="144">
        <v>7.3535149309928494E-2</v>
      </c>
      <c r="T111" s="144">
        <v>7.2902882675074096E-2</v>
      </c>
      <c r="U111" s="144">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s="132" t="s">
        <v>48</v>
      </c>
      <c r="C114" t="str">
        <f t="shared" ref="C114:C125" si="7">IF(SUMPRODUCT(--(E114:W114&lt;&gt;""))=0,0,"N.A.")</f>
        <v>N.A.</v>
      </c>
      <c r="D114" s="2" t="s">
        <v>6</v>
      </c>
      <c r="E114" s="145">
        <v>2.7253739612188368E-2</v>
      </c>
      <c r="F114" s="145">
        <v>2.7541720154043652E-2</v>
      </c>
      <c r="G114" s="145">
        <v>2.859907578558225E-2</v>
      </c>
      <c r="H114" s="145">
        <v>2.9775122318404221E-2</v>
      </c>
      <c r="I114" s="145">
        <v>3.09975129137172E-2</v>
      </c>
      <c r="J114" s="145">
        <v>3.1946325509811496E-2</v>
      </c>
      <c r="K114" s="145">
        <v>3.24815962805114E-2</v>
      </c>
      <c r="L114" s="145">
        <v>3.1825405921680996E-2</v>
      </c>
      <c r="M114" s="145">
        <v>3.1405505952381001E-2</v>
      </c>
      <c r="N114" s="145">
        <v>2.9444343562738333E-2</v>
      </c>
      <c r="O114" s="145">
        <v>2.8611121076233183E-2</v>
      </c>
      <c r="P114" s="145">
        <v>2.679263157894737E-2</v>
      </c>
      <c r="Q114" s="145">
        <v>2.661699507389163E-2</v>
      </c>
      <c r="R114" s="145">
        <v>2.6298277099784641E-2</v>
      </c>
      <c r="S114" s="145"/>
      <c r="T114" s="145"/>
      <c r="U114" s="145"/>
    </row>
    <row r="115" spans="1:23" x14ac:dyDescent="0.25">
      <c r="A115" s="166" t="s">
        <v>113</v>
      </c>
      <c r="B115" s="132" t="s">
        <v>48</v>
      </c>
      <c r="C115" t="str">
        <f t="shared" si="7"/>
        <v>N.A.</v>
      </c>
      <c r="D115" s="2" t="s">
        <v>6</v>
      </c>
      <c r="E115" s="145">
        <v>2.0656411758960838E-2</v>
      </c>
      <c r="F115" s="145">
        <v>2.0688524590163935E-2</v>
      </c>
      <c r="G115" s="145">
        <v>2.0747687861271676E-2</v>
      </c>
      <c r="H115" s="145">
        <v>2.0829968424074252E-2</v>
      </c>
      <c r="I115" s="145">
        <v>2.0945745288406627E-2</v>
      </c>
      <c r="J115" s="145">
        <v>2.0969420702754038E-2</v>
      </c>
      <c r="K115" s="145">
        <v>2.0939376716870323E-2</v>
      </c>
      <c r="L115" s="145">
        <v>2.0905073494547181E-2</v>
      </c>
      <c r="M115" s="145">
        <v>2.087392877547134E-2</v>
      </c>
      <c r="N115" s="145">
        <v>2.0847994639609457E-2</v>
      </c>
      <c r="O115" s="145">
        <v>2.0888033859176605E-2</v>
      </c>
      <c r="P115" s="145">
        <v>2.0801447876447877E-2</v>
      </c>
      <c r="Q115" s="145">
        <v>2.0869464544138929E-2</v>
      </c>
      <c r="R115" s="145">
        <v>2.0637952559300874E-2</v>
      </c>
      <c r="S115" s="145"/>
      <c r="T115" s="145"/>
      <c r="U115" s="145"/>
    </row>
    <row r="116" spans="1:23" x14ac:dyDescent="0.25">
      <c r="A116" s="166" t="s">
        <v>115</v>
      </c>
      <c r="B116" s="132" t="s">
        <v>48</v>
      </c>
      <c r="C116" t="str">
        <f t="shared" si="7"/>
        <v>N.A.</v>
      </c>
      <c r="D116" s="2" t="s">
        <v>6</v>
      </c>
      <c r="E116" s="145">
        <v>2.9156838462939358E-2</v>
      </c>
      <c r="F116" s="145">
        <v>3.0059301410063702E-2</v>
      </c>
      <c r="G116" s="145">
        <v>3.1169197320896298E-2</v>
      </c>
      <c r="H116" s="145">
        <v>3.2286400439138198E-2</v>
      </c>
      <c r="I116" s="145">
        <v>3.26735043308937E-2</v>
      </c>
      <c r="J116" s="145">
        <v>3.2773204356266197E-2</v>
      </c>
      <c r="K116" s="145">
        <v>3.2702324080051602E-2</v>
      </c>
      <c r="L116" s="145">
        <v>3.2266814791303E-2</v>
      </c>
      <c r="M116" s="145">
        <v>3.1832598705805099E-2</v>
      </c>
      <c r="N116" s="145">
        <v>3.1220994645165298E-2</v>
      </c>
      <c r="O116" s="145">
        <v>3.03361982870805E-2</v>
      </c>
      <c r="P116" s="145">
        <v>2.9309029123319522E-2</v>
      </c>
      <c r="Q116" s="145">
        <v>2.8534995458940032E-2</v>
      </c>
      <c r="R116" s="145">
        <v>2.7742776562679872E-2</v>
      </c>
      <c r="S116" s="145"/>
      <c r="T116" s="145"/>
      <c r="U116" s="145"/>
    </row>
    <row r="117" spans="1:23" x14ac:dyDescent="0.25">
      <c r="A117" s="166" t="s">
        <v>117</v>
      </c>
      <c r="B117" s="132" t="s">
        <v>48</v>
      </c>
      <c r="C117" t="str">
        <f t="shared" si="7"/>
        <v>N.A.</v>
      </c>
      <c r="D117" s="2" t="s">
        <v>6</v>
      </c>
      <c r="E117" s="145">
        <v>8.6788031319910502E-2</v>
      </c>
      <c r="F117" s="145">
        <v>8.7353944562899799E-2</v>
      </c>
      <c r="G117" s="145">
        <v>8.6125635808748699E-2</v>
      </c>
      <c r="H117" s="145">
        <v>8.7565111758989303E-2</v>
      </c>
      <c r="I117" s="145">
        <v>8.18761638733706E-2</v>
      </c>
      <c r="J117" s="145">
        <v>8.1941334527541404E-2</v>
      </c>
      <c r="K117" s="145">
        <v>8.2693895098882197E-2</v>
      </c>
      <c r="L117" s="145">
        <v>8.1216597510373398E-2</v>
      </c>
      <c r="M117" s="145">
        <v>7.9705123033481207E-2</v>
      </c>
      <c r="N117" s="145">
        <v>8.1533018867924495E-2</v>
      </c>
      <c r="O117" s="145">
        <v>7.7977368622938206E-2</v>
      </c>
      <c r="P117" s="145">
        <v>7.9001901140684394E-2</v>
      </c>
      <c r="Q117" s="145">
        <v>7.7662650602409594E-2</v>
      </c>
      <c r="R117" s="145">
        <v>7.5197466467958302E-2</v>
      </c>
      <c r="S117" s="145"/>
      <c r="T117" s="145"/>
      <c r="U117" s="145"/>
    </row>
    <row r="118" spans="1:23" x14ac:dyDescent="0.25">
      <c r="A118" s="166" t="s">
        <v>119</v>
      </c>
      <c r="B118" s="132" t="s">
        <v>48</v>
      </c>
      <c r="C118" t="str">
        <f t="shared" si="7"/>
        <v>N.A.</v>
      </c>
      <c r="D118" s="2" t="s">
        <v>6</v>
      </c>
      <c r="E118" s="145">
        <v>0.24</v>
      </c>
      <c r="F118" s="145"/>
      <c r="G118" s="145"/>
      <c r="H118" s="145"/>
      <c r="I118" s="145">
        <v>0.24</v>
      </c>
      <c r="J118" s="145">
        <v>0.12000000000000001</v>
      </c>
      <c r="K118" s="145"/>
      <c r="L118" s="145"/>
      <c r="M118" s="145"/>
      <c r="N118" s="145">
        <v>0.115</v>
      </c>
      <c r="O118" s="145"/>
      <c r="P118" s="145"/>
      <c r="Q118" s="145"/>
      <c r="R118" s="145"/>
      <c r="S118" s="145"/>
      <c r="T118" s="145"/>
      <c r="U118" s="145">
        <v>7.17E-2</v>
      </c>
    </row>
    <row r="119" spans="1:23" x14ac:dyDescent="0.25">
      <c r="A119" s="166" t="s">
        <v>121</v>
      </c>
      <c r="B119" s="132" t="s">
        <v>48</v>
      </c>
      <c r="C119" t="str">
        <f t="shared" si="7"/>
        <v>N.A.</v>
      </c>
      <c r="D119" s="2" t="s">
        <v>6</v>
      </c>
      <c r="E119" s="145">
        <v>0.150788031319911</v>
      </c>
      <c r="F119" s="145">
        <v>0.151302596000888</v>
      </c>
      <c r="G119" s="145">
        <v>0.150024453435642</v>
      </c>
      <c r="H119" s="145">
        <v>0.151410138213842</v>
      </c>
      <c r="I119" s="145">
        <v>0.145580043951237</v>
      </c>
      <c r="J119" s="145">
        <v>0.14529630652387898</v>
      </c>
      <c r="K119" s="145">
        <v>0.145556781547203</v>
      </c>
      <c r="L119" s="145">
        <v>0.14337864175214199</v>
      </c>
      <c r="M119" s="145">
        <v>0.14107593695795501</v>
      </c>
      <c r="N119" s="145">
        <v>0.14196882723285301</v>
      </c>
      <c r="O119" s="145">
        <v>0.13716909489440199</v>
      </c>
      <c r="P119" s="145">
        <v>0.136501750335665</v>
      </c>
      <c r="Q119" s="145">
        <v>0.133597812069496</v>
      </c>
      <c r="R119" s="145">
        <v>0.12968359763968298</v>
      </c>
      <c r="S119" s="145"/>
      <c r="T119" s="145"/>
      <c r="U119" s="145">
        <v>0.12340000000000001</v>
      </c>
    </row>
    <row r="120" spans="1:23" x14ac:dyDescent="0.25">
      <c r="A120" s="166" t="s">
        <v>128</v>
      </c>
      <c r="B120" s="132" t="s">
        <v>48</v>
      </c>
      <c r="C120" t="str">
        <f t="shared" si="7"/>
        <v>N.A.</v>
      </c>
      <c r="D120" s="2" t="s">
        <v>6</v>
      </c>
      <c r="E120" s="145">
        <v>2.9156838462939358E-2</v>
      </c>
      <c r="F120" s="145">
        <v>3.0059301410063702E-2</v>
      </c>
      <c r="G120" s="145">
        <v>3.1169197320896298E-2</v>
      </c>
      <c r="H120" s="145">
        <v>3.2286400439138198E-2</v>
      </c>
      <c r="I120" s="145">
        <v>3.26735043308937E-2</v>
      </c>
      <c r="J120" s="145">
        <v>3.2773204356266197E-2</v>
      </c>
      <c r="K120" s="145">
        <v>3.2702324080051602E-2</v>
      </c>
      <c r="L120" s="145">
        <v>3.2266814791303E-2</v>
      </c>
      <c r="M120" s="145">
        <v>3.1832598705805099E-2</v>
      </c>
      <c r="N120" s="145">
        <v>3.1220994645165298E-2</v>
      </c>
      <c r="O120" s="145">
        <v>3.03361982870805E-2</v>
      </c>
      <c r="P120" s="145">
        <v>2.9309029123319522E-2</v>
      </c>
      <c r="Q120" s="145">
        <v>2.8534995458940032E-2</v>
      </c>
      <c r="R120" s="145">
        <v>2.7742776562679872E-2</v>
      </c>
      <c r="S120" s="145"/>
      <c r="T120" s="145"/>
      <c r="U120" s="145"/>
    </row>
    <row r="121" spans="1:23" x14ac:dyDescent="0.25">
      <c r="A121" s="166" t="s">
        <v>132</v>
      </c>
      <c r="B121" s="132" t="s">
        <v>48</v>
      </c>
      <c r="C121" t="str">
        <f t="shared" si="7"/>
        <v>N.A.</v>
      </c>
      <c r="D121" s="2" t="s">
        <v>6</v>
      </c>
      <c r="E121" s="145">
        <v>8.4000000000000005E-2</v>
      </c>
      <c r="F121" s="145">
        <v>8.3948651437988006E-2</v>
      </c>
      <c r="G121" s="145">
        <v>8.3898817626893704E-2</v>
      </c>
      <c r="H121" s="145">
        <v>8.3845026454852201E-2</v>
      </c>
      <c r="I121" s="145">
        <v>8.3703880077866707E-2</v>
      </c>
      <c r="J121" s="145">
        <v>8.3354971996337998E-2</v>
      </c>
      <c r="K121" s="145">
        <v>8.2862886448321099E-2</v>
      </c>
      <c r="L121" s="145">
        <v>8.21620442417684E-2</v>
      </c>
      <c r="M121" s="145">
        <v>8.1370813924473498E-2</v>
      </c>
      <c r="N121" s="145">
        <v>8.0435808364928904E-2</v>
      </c>
      <c r="O121" s="145">
        <v>7.9191726271463495E-2</v>
      </c>
      <c r="P121" s="145">
        <v>7.7499849194980402E-2</v>
      </c>
      <c r="Q121" s="145">
        <v>7.5935161467086398E-2</v>
      </c>
      <c r="R121" s="145">
        <v>7.4486131171724798E-2</v>
      </c>
      <c r="S121" s="145">
        <v>7.3535149309928494E-2</v>
      </c>
      <c r="T121" s="145">
        <v>7.2902882675074096E-2</v>
      </c>
      <c r="U121" s="145">
        <v>7.1688791647076297E-2</v>
      </c>
    </row>
    <row r="122" spans="1:23" x14ac:dyDescent="0.25">
      <c r="A122" s="166" t="s">
        <v>124</v>
      </c>
      <c r="B122" s="132" t="s">
        <v>48</v>
      </c>
      <c r="C122" t="str">
        <f t="shared" si="7"/>
        <v>N.A.</v>
      </c>
      <c r="D122" s="2" t="s">
        <v>6</v>
      </c>
      <c r="E122" s="145">
        <v>2.9156838462939358E-2</v>
      </c>
      <c r="F122" s="145">
        <v>3.0059301410063702E-2</v>
      </c>
      <c r="G122" s="145">
        <v>3.1169197320896298E-2</v>
      </c>
      <c r="H122" s="145">
        <v>3.2286400439138198E-2</v>
      </c>
      <c r="I122" s="145">
        <v>3.26735043308937E-2</v>
      </c>
      <c r="J122" s="145">
        <v>3.2773204356266197E-2</v>
      </c>
      <c r="K122" s="145">
        <v>3.2702324080051602E-2</v>
      </c>
      <c r="L122" s="145">
        <v>3.2266814791303E-2</v>
      </c>
      <c r="M122" s="145">
        <v>3.1832598705805099E-2</v>
      </c>
      <c r="N122" s="145">
        <v>3.1220994645165298E-2</v>
      </c>
      <c r="O122" s="145">
        <v>3.03361982870805E-2</v>
      </c>
      <c r="P122" s="145">
        <v>2.9309029123319522E-2</v>
      </c>
      <c r="Q122" s="145">
        <v>2.8534995458940032E-2</v>
      </c>
      <c r="R122" s="145">
        <v>2.7742776562679872E-2</v>
      </c>
      <c r="S122" s="145"/>
      <c r="T122" s="145"/>
      <c r="U122" s="145"/>
    </row>
    <row r="123" spans="1:23" x14ac:dyDescent="0.25">
      <c r="A123" s="166" t="s">
        <v>125</v>
      </c>
      <c r="B123" s="132" t="s">
        <v>48</v>
      </c>
      <c r="C123" t="str">
        <f t="shared" si="7"/>
        <v>N.A.</v>
      </c>
      <c r="D123" s="2" t="s">
        <v>6</v>
      </c>
      <c r="E123" s="145">
        <v>8.4000000000000005E-2</v>
      </c>
      <c r="F123" s="145">
        <v>8.3948651437988006E-2</v>
      </c>
      <c r="G123" s="145">
        <v>8.3898817626893704E-2</v>
      </c>
      <c r="H123" s="145">
        <v>8.3845026454852201E-2</v>
      </c>
      <c r="I123" s="145">
        <v>8.3703880077866707E-2</v>
      </c>
      <c r="J123" s="145">
        <v>8.3354971996337998E-2</v>
      </c>
      <c r="K123" s="145">
        <v>8.2862886448321099E-2</v>
      </c>
      <c r="L123" s="145">
        <v>8.21620442417684E-2</v>
      </c>
      <c r="M123" s="145">
        <v>8.1370813924473498E-2</v>
      </c>
      <c r="N123" s="145">
        <v>8.0435808364928904E-2</v>
      </c>
      <c r="O123" s="145">
        <v>7.9191726271463495E-2</v>
      </c>
      <c r="P123" s="145">
        <v>7.7499849194980402E-2</v>
      </c>
      <c r="Q123" s="145">
        <v>7.5935161467086398E-2</v>
      </c>
      <c r="R123" s="145">
        <v>7.4486131171724798E-2</v>
      </c>
      <c r="S123" s="145">
        <v>7.3535149309928494E-2</v>
      </c>
      <c r="T123" s="145">
        <v>7.2902882675074096E-2</v>
      </c>
      <c r="U123" s="145">
        <v>7.1688791647076297E-2</v>
      </c>
    </row>
    <row r="124" spans="1:23" x14ac:dyDescent="0.25">
      <c r="A124" s="166" t="s">
        <v>130</v>
      </c>
      <c r="B124" s="132" t="s">
        <v>48</v>
      </c>
      <c r="C124" t="str">
        <f t="shared" si="7"/>
        <v>N.A.</v>
      </c>
      <c r="D124" s="2" t="s">
        <v>6</v>
      </c>
      <c r="E124" s="145">
        <v>2.9156838462939358E-2</v>
      </c>
      <c r="F124" s="145">
        <v>3.0059301410063702E-2</v>
      </c>
      <c r="G124" s="145">
        <v>3.1169197320896298E-2</v>
      </c>
      <c r="H124" s="145">
        <v>3.2286400439138198E-2</v>
      </c>
      <c r="I124" s="145">
        <v>3.26735043308937E-2</v>
      </c>
      <c r="J124" s="145">
        <v>3.2773204356266197E-2</v>
      </c>
      <c r="K124" s="145">
        <v>3.2702324080051602E-2</v>
      </c>
      <c r="L124" s="145">
        <v>3.2266814791303E-2</v>
      </c>
      <c r="M124" s="145">
        <v>3.1832598705805099E-2</v>
      </c>
      <c r="N124" s="145">
        <v>3.1220994645165298E-2</v>
      </c>
      <c r="O124" s="145">
        <v>3.03361982870805E-2</v>
      </c>
      <c r="P124" s="145">
        <v>2.9309029123319522E-2</v>
      </c>
      <c r="Q124" s="145">
        <v>2.8534995458940032E-2</v>
      </c>
      <c r="R124" s="145">
        <v>2.7742776562679872E-2</v>
      </c>
      <c r="S124" s="145"/>
      <c r="T124" s="145"/>
      <c r="U124" s="145"/>
    </row>
    <row r="125" spans="1:23" x14ac:dyDescent="0.25">
      <c r="A125" s="166" t="s">
        <v>131</v>
      </c>
      <c r="B125" s="132" t="s">
        <v>48</v>
      </c>
      <c r="C125" t="str">
        <f t="shared" si="7"/>
        <v>N.A.</v>
      </c>
      <c r="D125" s="2" t="s">
        <v>6</v>
      </c>
      <c r="E125" s="145">
        <v>8.4000000000000005E-2</v>
      </c>
      <c r="F125" s="145">
        <v>8.3948651437988006E-2</v>
      </c>
      <c r="G125" s="145">
        <v>8.3898817626893704E-2</v>
      </c>
      <c r="H125" s="145">
        <v>8.3845026454852201E-2</v>
      </c>
      <c r="I125" s="145">
        <v>8.3703880077866707E-2</v>
      </c>
      <c r="J125" s="145">
        <v>8.3354971996337998E-2</v>
      </c>
      <c r="K125" s="145">
        <v>8.2862886448321099E-2</v>
      </c>
      <c r="L125" s="145">
        <v>8.21620442417684E-2</v>
      </c>
      <c r="M125" s="145">
        <v>8.1370813924473498E-2</v>
      </c>
      <c r="N125" s="145">
        <v>8.0435808364928904E-2</v>
      </c>
      <c r="O125" s="145">
        <v>7.9191726271463495E-2</v>
      </c>
      <c r="P125" s="145">
        <v>7.7499849194980402E-2</v>
      </c>
      <c r="Q125" s="145">
        <v>7.5935161467086398E-2</v>
      </c>
      <c r="R125" s="145">
        <v>7.4486131171724798E-2</v>
      </c>
      <c r="S125" s="145">
        <v>7.3535149309928494E-2</v>
      </c>
      <c r="T125" s="145">
        <v>7.2902882675074096E-2</v>
      </c>
      <c r="U125" s="145">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s="132" t="s">
        <v>48</v>
      </c>
      <c r="C128" t="str">
        <f t="shared" ref="C128:C135" si="8">IF(SUMPRODUCT(--(E128:W128&lt;&gt;""))=0,0,"N.A.")</f>
        <v>N.A.</v>
      </c>
      <c r="D128" s="2" t="s">
        <v>6</v>
      </c>
      <c r="H128" s="147"/>
      <c r="I128" s="147">
        <v>5.0893158072126729E-2</v>
      </c>
      <c r="J128" s="147">
        <v>4.2280414620840152E-2</v>
      </c>
      <c r="K128" s="147">
        <v>3.4728829686013318E-2</v>
      </c>
      <c r="L128" s="147">
        <v>4.0057915057915061E-2</v>
      </c>
      <c r="M128" s="147">
        <v>3.1868882312770318E-2</v>
      </c>
      <c r="N128" s="147">
        <v>2.4430350011745362E-2</v>
      </c>
      <c r="O128" s="147">
        <v>1.7618927762396173E-2</v>
      </c>
      <c r="P128" s="147">
        <v>1.4056224899598393E-2</v>
      </c>
      <c r="Q128" s="147">
        <v>1.3333333333333334E-2</v>
      </c>
      <c r="R128" s="147">
        <v>1.2536676447052548E-2</v>
      </c>
      <c r="S128" s="147">
        <v>1.2337662337662338E-2</v>
      </c>
      <c r="T128" s="147">
        <v>1.2662559890485968E-2</v>
      </c>
    </row>
    <row r="129" spans="1:23" x14ac:dyDescent="0.25">
      <c r="A129" s="166" t="s">
        <v>113</v>
      </c>
      <c r="B129" s="132" t="s">
        <v>48</v>
      </c>
      <c r="C129" t="str">
        <f t="shared" si="8"/>
        <v>N.A.</v>
      </c>
      <c r="D129" s="2" t="s">
        <v>6</v>
      </c>
      <c r="H129" s="147"/>
      <c r="I129" s="147">
        <v>5.4991034070531977E-2</v>
      </c>
      <c r="J129" s="147">
        <v>4.6202867764206054E-2</v>
      </c>
      <c r="K129" s="147">
        <v>3.9403620873269436E-2</v>
      </c>
      <c r="L129" s="147">
        <v>3.5398230088495575E-2</v>
      </c>
      <c r="M129" s="147">
        <v>2.7470093043863535E-2</v>
      </c>
      <c r="N129" s="147">
        <v>2.6864289022695692E-2</v>
      </c>
      <c r="O129" s="147">
        <v>1.9890601690701143E-2</v>
      </c>
      <c r="P129" s="147">
        <v>2.0795660036166366E-2</v>
      </c>
      <c r="Q129" s="147">
        <v>1.4314928425357873E-2</v>
      </c>
      <c r="R129" s="147">
        <v>1.4906832298136646E-2</v>
      </c>
      <c r="S129" s="147">
        <v>2.313030069390902E-2</v>
      </c>
      <c r="T129" s="147">
        <v>2.526487367563162E-2</v>
      </c>
    </row>
    <row r="130" spans="1:23" x14ac:dyDescent="0.25">
      <c r="A130" s="166" t="s">
        <v>115</v>
      </c>
      <c r="B130" s="132" t="s">
        <v>48</v>
      </c>
      <c r="C130" t="str">
        <f t="shared" si="8"/>
        <v>N.A.</v>
      </c>
      <c r="D130" s="2" t="s">
        <v>6</v>
      </c>
      <c r="H130" s="147">
        <v>0.11797978445679094</v>
      </c>
      <c r="I130" s="147">
        <v>0.12582017010935603</v>
      </c>
      <c r="J130" s="147">
        <v>0.13173282501738751</v>
      </c>
      <c r="K130" s="147">
        <v>0.11613705078080136</v>
      </c>
      <c r="L130" s="147">
        <v>0.10884116180150458</v>
      </c>
      <c r="M130" s="147">
        <v>8.7771787665731987E-2</v>
      </c>
      <c r="N130" s="147">
        <v>6.569905197021389E-2</v>
      </c>
      <c r="O130" s="147">
        <v>4.9268606820485179E-2</v>
      </c>
      <c r="P130" s="147">
        <v>4.6772377289933401E-2</v>
      </c>
      <c r="Q130" s="147">
        <v>4.1917283793324454E-2</v>
      </c>
      <c r="R130" s="147">
        <v>3.942762321770623E-2</v>
      </c>
      <c r="S130" s="147">
        <v>3.9936829834587927E-2</v>
      </c>
      <c r="T130" s="147">
        <v>3.7857082510877042E-2</v>
      </c>
    </row>
    <row r="131" spans="1:23" x14ac:dyDescent="0.25">
      <c r="A131" s="166" t="s">
        <v>117</v>
      </c>
      <c r="B131" s="132" t="s">
        <v>48</v>
      </c>
      <c r="C131" t="str">
        <f t="shared" si="8"/>
        <v>N.A.</v>
      </c>
      <c r="D131" s="2" t="s">
        <v>6</v>
      </c>
      <c r="H131" s="147">
        <v>0.23999999999999996</v>
      </c>
      <c r="I131" s="147">
        <v>0.23126338329764451</v>
      </c>
      <c r="J131" s="147">
        <v>0.22187499999999999</v>
      </c>
      <c r="K131" s="147">
        <v>0.23538461538461539</v>
      </c>
      <c r="L131" s="147">
        <v>0.2142813565526264</v>
      </c>
      <c r="M131" s="147">
        <v>0.20334259180629913</v>
      </c>
      <c r="N131" s="147">
        <v>0.20307210172779691</v>
      </c>
      <c r="O131" s="147"/>
      <c r="P131" s="147">
        <v>0.18729063789214634</v>
      </c>
      <c r="Q131" s="147">
        <v>0.1754822145586985</v>
      </c>
      <c r="R131" s="147">
        <v>0.18639214701404841</v>
      </c>
      <c r="S131" s="147"/>
      <c r="T131" s="147">
        <v>0.16776970259264987</v>
      </c>
    </row>
    <row r="132" spans="1:23" x14ac:dyDescent="0.25">
      <c r="A132" s="166" t="s">
        <v>119</v>
      </c>
      <c r="B132" s="132" t="s">
        <v>48</v>
      </c>
      <c r="C132" t="str">
        <f t="shared" si="8"/>
        <v>N.A.</v>
      </c>
      <c r="D132" s="2" t="s">
        <v>6</v>
      </c>
      <c r="H132" s="147">
        <v>0.11797019625268639</v>
      </c>
      <c r="I132" s="147">
        <v>0.12581552965057555</v>
      </c>
      <c r="J132" s="147">
        <v>0.13172046570556253</v>
      </c>
      <c r="K132" s="147">
        <v>0.11625361982845815</v>
      </c>
      <c r="L132" s="147">
        <v>0.11263263117463254</v>
      </c>
      <c r="M132" s="147">
        <v>0.1073244204082599</v>
      </c>
      <c r="N132" s="147">
        <v>9.1866921120217784E-2</v>
      </c>
      <c r="O132" s="147">
        <v>8.150790147757532E-2</v>
      </c>
      <c r="P132" s="147">
        <v>8.2946386576295772E-2</v>
      </c>
      <c r="Q132" s="147">
        <v>8.2772908062547307E-2</v>
      </c>
      <c r="R132" s="147">
        <v>7.6743707431563085E-2</v>
      </c>
      <c r="S132" s="147">
        <v>7.1985984878794054E-2</v>
      </c>
      <c r="T132" s="147">
        <v>7.51569946659425E-2</v>
      </c>
    </row>
    <row r="133" spans="1:23" x14ac:dyDescent="0.25">
      <c r="A133" s="166" t="s">
        <v>121</v>
      </c>
      <c r="B133" s="132" t="s">
        <v>48</v>
      </c>
      <c r="C133" t="str">
        <f t="shared" si="8"/>
        <v>N.A.</v>
      </c>
      <c r="D133" s="2" t="s">
        <v>6</v>
      </c>
      <c r="H133" s="147">
        <v>0.24</v>
      </c>
      <c r="I133" s="147">
        <v>0.23126338329764454</v>
      </c>
      <c r="J133" s="147">
        <v>0.22187499999999999</v>
      </c>
      <c r="K133" s="147">
        <v>0.23538461538461541</v>
      </c>
      <c r="L133" s="147">
        <v>0.2306769387845006</v>
      </c>
      <c r="M133" s="147">
        <v>0.23536319409495049</v>
      </c>
      <c r="N133" s="147"/>
      <c r="O133" s="147"/>
      <c r="P133" s="147"/>
      <c r="Q133" s="147">
        <v>0.2242763472180534</v>
      </c>
      <c r="R133" s="147">
        <v>0.22657601167203545</v>
      </c>
      <c r="S133" s="147">
        <v>0.23530684778718342</v>
      </c>
      <c r="T133" s="147">
        <v>0.24341040620971505</v>
      </c>
    </row>
    <row r="134" spans="1:23" x14ac:dyDescent="0.25">
      <c r="A134" s="166" t="s">
        <v>128</v>
      </c>
      <c r="B134" s="132" t="s">
        <v>48</v>
      </c>
      <c r="C134" t="str">
        <f t="shared" si="8"/>
        <v>N.A.</v>
      </c>
      <c r="D134" s="2" t="s">
        <v>6</v>
      </c>
      <c r="H134" s="147"/>
      <c r="I134" s="147">
        <v>9.8966026587887737E-2</v>
      </c>
      <c r="J134" s="147"/>
      <c r="K134" s="147">
        <v>8.3155650319829411E-2</v>
      </c>
      <c r="L134" s="147"/>
      <c r="M134" s="147">
        <v>7.9971157943036941E-2</v>
      </c>
      <c r="N134" s="147">
        <v>4.5432414338749935E-2</v>
      </c>
      <c r="O134" s="147">
        <v>2.7149541821017743E-2</v>
      </c>
      <c r="P134" s="147">
        <v>2.3607064280192665E-2</v>
      </c>
      <c r="Q134" s="147">
        <v>2.8947590513967426E-2</v>
      </c>
      <c r="R134" s="147">
        <v>1.6541353383458648E-2</v>
      </c>
      <c r="S134" s="147"/>
      <c r="T134" s="147">
        <v>1.3673633821508126E-2</v>
      </c>
    </row>
    <row r="135" spans="1:23" x14ac:dyDescent="0.25">
      <c r="A135" s="166" t="s">
        <v>132</v>
      </c>
      <c r="B135" s="132" t="s">
        <v>48</v>
      </c>
      <c r="C135" t="str">
        <f t="shared" si="8"/>
        <v>N.A.</v>
      </c>
      <c r="D135" s="2" t="s">
        <v>6</v>
      </c>
      <c r="H135" s="147"/>
      <c r="I135" s="147">
        <v>9.8966026587887723E-2</v>
      </c>
      <c r="J135" s="147"/>
      <c r="K135" s="147"/>
      <c r="L135" s="147">
        <v>0.11024327784891166</v>
      </c>
      <c r="M135" s="147">
        <v>0.10692436753144943</v>
      </c>
      <c r="N135" s="147">
        <v>9.4096251423837637E-2</v>
      </c>
      <c r="O135" s="147">
        <v>7.5132457012188278E-2</v>
      </c>
      <c r="P135" s="147">
        <v>7.5596792752643791E-2</v>
      </c>
      <c r="Q135" s="147"/>
      <c r="R135" s="147">
        <v>5.8534588620548507E-2</v>
      </c>
      <c r="S135" s="147">
        <v>5.3481810153574429E-2</v>
      </c>
      <c r="T135" s="147">
        <v>4.7948232323232323E-2</v>
      </c>
    </row>
    <row r="136" spans="1:23" x14ac:dyDescent="0.25">
      <c r="A136" s="166" t="s">
        <v>124</v>
      </c>
      <c r="B136" s="132" t="s">
        <v>48</v>
      </c>
      <c r="C136" s="146">
        <v>0.03</v>
      </c>
      <c r="D136" s="2" t="s">
        <v>6</v>
      </c>
    </row>
    <row r="137" spans="1:23" x14ac:dyDescent="0.25">
      <c r="A137" s="166" t="s">
        <v>125</v>
      </c>
      <c r="B137" s="132" t="s">
        <v>48</v>
      </c>
      <c r="C137" s="146">
        <v>0.03</v>
      </c>
      <c r="D137" s="2" t="s">
        <v>6</v>
      </c>
    </row>
    <row r="138" spans="1:23" x14ac:dyDescent="0.25">
      <c r="A138" s="166" t="s">
        <v>130</v>
      </c>
      <c r="B138" s="132" t="s">
        <v>48</v>
      </c>
      <c r="C138" s="146">
        <v>0.03</v>
      </c>
      <c r="D138" s="2" t="s">
        <v>6</v>
      </c>
    </row>
    <row r="139" spans="1:23" x14ac:dyDescent="0.25">
      <c r="A139" s="166" t="s">
        <v>131</v>
      </c>
      <c r="B139" s="132" t="s">
        <v>48</v>
      </c>
      <c r="C139" s="146">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6" t="s">
        <v>111</v>
      </c>
      <c r="B142" s="132" t="s">
        <v>48</v>
      </c>
      <c r="C142" t="str">
        <f t="shared" ref="C142:C147" si="9">IF(SUMPRODUCT(--(E142:W142&lt;&gt;""))=0,0,"N.A.")</f>
        <v>N.A.</v>
      </c>
      <c r="D142" s="2" t="s">
        <v>6</v>
      </c>
      <c r="N142" s="149"/>
      <c r="O142" s="149">
        <v>0.14285714285714285</v>
      </c>
      <c r="P142" s="149"/>
      <c r="Q142" s="149"/>
      <c r="R142" s="149"/>
      <c r="S142" s="149"/>
    </row>
    <row r="143" spans="1:23" x14ac:dyDescent="0.25">
      <c r="A143" s="166" t="s">
        <v>113</v>
      </c>
      <c r="B143" s="132" t="s">
        <v>48</v>
      </c>
      <c r="C143" t="str">
        <f t="shared" si="9"/>
        <v>N.A.</v>
      </c>
      <c r="D143" s="2" t="s">
        <v>6</v>
      </c>
      <c r="N143" s="149"/>
      <c r="O143" s="149">
        <v>0.25</v>
      </c>
      <c r="P143" s="149"/>
      <c r="Q143" s="149">
        <v>0.21428571428571427</v>
      </c>
      <c r="R143" s="149"/>
      <c r="S143" s="149">
        <v>0.2</v>
      </c>
    </row>
    <row r="144" spans="1:23" x14ac:dyDescent="0.25">
      <c r="A144" s="166" t="s">
        <v>115</v>
      </c>
      <c r="B144" s="132" t="s">
        <v>48</v>
      </c>
      <c r="C144" t="str">
        <f t="shared" si="9"/>
        <v>N.A.</v>
      </c>
      <c r="D144" s="2" t="s">
        <v>6</v>
      </c>
      <c r="N144" s="149">
        <v>0.23305084745762711</v>
      </c>
      <c r="O144" s="149">
        <v>0.18584983498349836</v>
      </c>
      <c r="P144" s="149">
        <v>0.13733401804709855</v>
      </c>
      <c r="Q144" s="149">
        <v>0.10407413080104151</v>
      </c>
      <c r="R144" s="149">
        <v>0.10439663470553674</v>
      </c>
      <c r="S144" s="149">
        <v>9.8266447649331151E-2</v>
      </c>
    </row>
    <row r="145" spans="1:23" x14ac:dyDescent="0.25">
      <c r="A145" s="166" t="s">
        <v>117</v>
      </c>
      <c r="B145" s="132" t="s">
        <v>48</v>
      </c>
      <c r="C145" t="str">
        <f t="shared" si="9"/>
        <v>N.A.</v>
      </c>
      <c r="D145" s="2" t="s">
        <v>6</v>
      </c>
      <c r="N145" s="149"/>
      <c r="O145" s="149">
        <v>0.40389610389610386</v>
      </c>
      <c r="P145" s="149"/>
      <c r="Q145" s="149"/>
      <c r="R145" s="149"/>
      <c r="S145" s="149">
        <v>0.23333333333333331</v>
      </c>
    </row>
    <row r="146" spans="1:23" x14ac:dyDescent="0.25">
      <c r="A146" s="166" t="s">
        <v>119</v>
      </c>
      <c r="B146" s="132" t="s">
        <v>48</v>
      </c>
      <c r="C146" t="str">
        <f t="shared" si="9"/>
        <v>N.A.</v>
      </c>
      <c r="D146" s="2" t="s">
        <v>6</v>
      </c>
      <c r="N146" s="149">
        <v>0.24202898550724639</v>
      </c>
      <c r="O146" s="149">
        <v>0.22193883064951903</v>
      </c>
      <c r="P146" s="149">
        <v>0.21117817052312896</v>
      </c>
      <c r="Q146" s="149">
        <v>0.1941584094294411</v>
      </c>
      <c r="R146" s="149">
        <v>0.24728171052083919</v>
      </c>
      <c r="S146" s="149">
        <v>0.19567066279869047</v>
      </c>
    </row>
    <row r="147" spans="1:23" x14ac:dyDescent="0.25">
      <c r="A147" s="166" t="s">
        <v>121</v>
      </c>
      <c r="B147" s="132" t="s">
        <v>48</v>
      </c>
      <c r="C147" t="str">
        <f t="shared" si="9"/>
        <v>N.A.</v>
      </c>
      <c r="D147" s="2" t="s">
        <v>6</v>
      </c>
      <c r="N147" s="149"/>
      <c r="O147" s="149">
        <v>0.74794069192751234</v>
      </c>
      <c r="P147" s="149">
        <v>0.5</v>
      </c>
      <c r="Q147" s="149"/>
      <c r="R147" s="149"/>
      <c r="S147" s="149">
        <v>0.33333333333333331</v>
      </c>
    </row>
    <row r="148" spans="1:23" x14ac:dyDescent="0.25">
      <c r="A148" s="166" t="s">
        <v>128</v>
      </c>
      <c r="B148" s="132" t="s">
        <v>48</v>
      </c>
      <c r="C148" s="148">
        <v>0.17</v>
      </c>
      <c r="D148" s="2" t="s">
        <v>6</v>
      </c>
    </row>
    <row r="149" spans="1:23" x14ac:dyDescent="0.25">
      <c r="A149" s="166" t="s">
        <v>132</v>
      </c>
      <c r="B149" s="132" t="s">
        <v>48</v>
      </c>
      <c r="C149" s="148">
        <v>0.17</v>
      </c>
      <c r="D149" s="2" t="s">
        <v>6</v>
      </c>
    </row>
    <row r="150" spans="1:23" x14ac:dyDescent="0.25">
      <c r="A150" s="166" t="s">
        <v>124</v>
      </c>
      <c r="B150" s="132" t="s">
        <v>48</v>
      </c>
      <c r="C150" s="148">
        <v>0.17</v>
      </c>
      <c r="D150" s="2" t="s">
        <v>6</v>
      </c>
    </row>
    <row r="151" spans="1:23" x14ac:dyDescent="0.25">
      <c r="A151" s="166" t="s">
        <v>125</v>
      </c>
      <c r="B151" s="132" t="s">
        <v>48</v>
      </c>
      <c r="C151" s="148">
        <v>0.17</v>
      </c>
      <c r="D151" s="2" t="s">
        <v>6</v>
      </c>
    </row>
    <row r="152" spans="1:23" x14ac:dyDescent="0.25">
      <c r="A152" s="166" t="s">
        <v>130</v>
      </c>
      <c r="B152" s="132" t="s">
        <v>48</v>
      </c>
      <c r="C152" s="148">
        <v>0.17</v>
      </c>
      <c r="D152" s="2" t="s">
        <v>6</v>
      </c>
    </row>
    <row r="153" spans="1:23" x14ac:dyDescent="0.25">
      <c r="A153" s="166" t="s">
        <v>131</v>
      </c>
      <c r="B153" s="132" t="s">
        <v>48</v>
      </c>
      <c r="C153" s="148">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6" t="s">
        <v>111</v>
      </c>
      <c r="B156" s="132" t="s">
        <v>48</v>
      </c>
      <c r="C156" s="151">
        <v>0.27</v>
      </c>
      <c r="D156" s="2" t="s">
        <v>6</v>
      </c>
    </row>
    <row r="157" spans="1:23" x14ac:dyDescent="0.25">
      <c r="A157" s="166" t="s">
        <v>113</v>
      </c>
      <c r="B157" s="132" t="s">
        <v>48</v>
      </c>
      <c r="C157" s="151">
        <v>0.27</v>
      </c>
      <c r="D157" s="2" t="s">
        <v>6</v>
      </c>
    </row>
    <row r="158" spans="1:23" x14ac:dyDescent="0.25">
      <c r="A158" s="166" t="s">
        <v>115</v>
      </c>
      <c r="B158" s="132" t="s">
        <v>48</v>
      </c>
      <c r="C158" s="151" t="s">
        <v>41</v>
      </c>
      <c r="D158" s="2" t="s">
        <v>6</v>
      </c>
      <c r="N158" s="150">
        <v>0.41176470588235292</v>
      </c>
      <c r="O158" s="150">
        <v>0.31975867269984914</v>
      </c>
      <c r="P158" s="150"/>
      <c r="Q158" s="150"/>
      <c r="R158" s="150"/>
      <c r="S158" s="150">
        <v>0.20909090909090908</v>
      </c>
    </row>
    <row r="159" spans="1:23" x14ac:dyDescent="0.25">
      <c r="A159" s="166" t="s">
        <v>117</v>
      </c>
      <c r="B159" s="132" t="s">
        <v>48</v>
      </c>
      <c r="C159" s="151">
        <v>0.27</v>
      </c>
      <c r="D159" s="2" t="s">
        <v>6</v>
      </c>
      <c r="N159" s="150"/>
      <c r="O159" s="150"/>
      <c r="P159" s="150"/>
      <c r="Q159" s="150"/>
      <c r="R159" s="150"/>
      <c r="S159" s="150"/>
    </row>
    <row r="160" spans="1:23" x14ac:dyDescent="0.25">
      <c r="A160" s="166" t="s">
        <v>119</v>
      </c>
      <c r="B160" s="132" t="s">
        <v>48</v>
      </c>
      <c r="C160" s="151" t="s">
        <v>41</v>
      </c>
      <c r="D160" s="2" t="s">
        <v>6</v>
      </c>
      <c r="N160" s="150">
        <v>0.39233038348082594</v>
      </c>
      <c r="O160" s="150">
        <v>0.34262125902992774</v>
      </c>
      <c r="P160" s="150"/>
      <c r="Q160" s="150">
        <v>0.33333333333333331</v>
      </c>
      <c r="R160" s="150"/>
      <c r="S160" s="150">
        <v>0.25000000000000006</v>
      </c>
    </row>
    <row r="161" spans="1:4" x14ac:dyDescent="0.25">
      <c r="A161" s="166" t="s">
        <v>121</v>
      </c>
      <c r="B161" s="132" t="s">
        <v>48</v>
      </c>
      <c r="C161" s="151">
        <v>0.27</v>
      </c>
      <c r="D161" s="2" t="s">
        <v>6</v>
      </c>
    </row>
    <row r="162" spans="1:4" x14ac:dyDescent="0.25">
      <c r="A162" s="166" t="s">
        <v>128</v>
      </c>
      <c r="B162" s="132" t="s">
        <v>48</v>
      </c>
      <c r="C162" s="151">
        <v>0.27</v>
      </c>
      <c r="D162" s="2" t="s">
        <v>6</v>
      </c>
    </row>
    <row r="163" spans="1:4" x14ac:dyDescent="0.25">
      <c r="A163" s="166" t="s">
        <v>132</v>
      </c>
      <c r="B163" s="132" t="s">
        <v>48</v>
      </c>
      <c r="C163" s="151">
        <v>0.27</v>
      </c>
      <c r="D163" s="2" t="s">
        <v>6</v>
      </c>
    </row>
    <row r="164" spans="1:4" x14ac:dyDescent="0.25">
      <c r="A164" s="166" t="s">
        <v>124</v>
      </c>
      <c r="B164" s="132" t="s">
        <v>48</v>
      </c>
      <c r="C164" s="151">
        <v>0.27</v>
      </c>
      <c r="D164" s="2" t="s">
        <v>6</v>
      </c>
    </row>
    <row r="165" spans="1:4" x14ac:dyDescent="0.25">
      <c r="A165" s="166" t="s">
        <v>125</v>
      </c>
      <c r="B165" s="132" t="s">
        <v>48</v>
      </c>
      <c r="C165" s="151">
        <v>0.27</v>
      </c>
      <c r="D165" s="2" t="s">
        <v>6</v>
      </c>
    </row>
    <row r="166" spans="1:4" x14ac:dyDescent="0.25">
      <c r="A166" s="166" t="s">
        <v>130</v>
      </c>
      <c r="B166" s="132" t="s">
        <v>48</v>
      </c>
      <c r="C166" s="151">
        <v>0.27</v>
      </c>
      <c r="D166" s="2" t="s">
        <v>6</v>
      </c>
    </row>
    <row r="167" spans="1:4" x14ac:dyDescent="0.25">
      <c r="A167" s="166" t="s">
        <v>131</v>
      </c>
      <c r="B167" s="132" t="s">
        <v>48</v>
      </c>
      <c r="C167" s="151">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9E2B-8AEE-414D-930F-8BD277BF9EDB}">
  <dimension ref="A1:W488"/>
  <sheetViews>
    <sheetView tabSelected="1" topLeftCell="A260" zoomScale="85" zoomScaleNormal="85" workbookViewId="0">
      <selection activeCell="Y274" sqref="Y274"/>
    </sheetView>
  </sheetViews>
  <sheetFormatPr defaultRowHeight="15" x14ac:dyDescent="0.25"/>
  <cols>
    <col min="1" max="1" width="12.5703125" style="132" bestFit="1" customWidth="1"/>
    <col min="2" max="2" width="9.140625" style="132"/>
    <col min="3" max="3" width="9.85546875" style="132" customWidth="1"/>
    <col min="4" max="4" width="13.5703125" style="132" bestFit="1" customWidth="1"/>
    <col min="5" max="16384" width="9.140625" style="132"/>
  </cols>
  <sheetData>
    <row r="1" spans="1:13" x14ac:dyDescent="0.25">
      <c r="A1" s="1" t="s">
        <v>0</v>
      </c>
      <c r="B1" s="1" t="s">
        <v>1</v>
      </c>
    </row>
    <row r="2" spans="1:13" x14ac:dyDescent="0.25">
      <c r="A2" s="132" t="s">
        <v>140</v>
      </c>
      <c r="B2" s="132"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8" t="s">
        <v>41</v>
      </c>
      <c r="C5" s="164" t="s">
        <v>144</v>
      </c>
      <c r="D5" s="164" t="s">
        <v>145</v>
      </c>
      <c r="E5" s="164" t="s">
        <v>145</v>
      </c>
      <c r="F5" s="164" t="s">
        <v>145</v>
      </c>
      <c r="G5" s="164" t="s">
        <v>145</v>
      </c>
      <c r="H5" s="164" t="s">
        <v>145</v>
      </c>
      <c r="I5" s="164" t="s">
        <v>145</v>
      </c>
      <c r="J5" s="164" t="s">
        <v>145</v>
      </c>
      <c r="K5" s="164" t="s">
        <v>145</v>
      </c>
      <c r="L5" s="164" t="s">
        <v>145</v>
      </c>
      <c r="M5" s="164" t="s">
        <v>145</v>
      </c>
    </row>
    <row r="6" spans="1:13" x14ac:dyDescent="0.25">
      <c r="A6" s="1" t="str">
        <f>'[1]Population Definitions'!$A$3</f>
        <v>5-14</v>
      </c>
      <c r="B6" s="164" t="s">
        <v>145</v>
      </c>
      <c r="C6" s="38" t="s">
        <v>41</v>
      </c>
      <c r="D6" s="164" t="s">
        <v>144</v>
      </c>
      <c r="E6" s="164" t="s">
        <v>145</v>
      </c>
      <c r="F6" s="164" t="s">
        <v>145</v>
      </c>
      <c r="G6" s="164" t="s">
        <v>145</v>
      </c>
      <c r="H6" s="164" t="s">
        <v>145</v>
      </c>
      <c r="I6" s="164" t="s">
        <v>145</v>
      </c>
      <c r="J6" s="164" t="s">
        <v>145</v>
      </c>
      <c r="K6" s="164" t="s">
        <v>145</v>
      </c>
      <c r="L6" s="164" t="s">
        <v>145</v>
      </c>
      <c r="M6" s="164" t="s">
        <v>145</v>
      </c>
    </row>
    <row r="7" spans="1:13" x14ac:dyDescent="0.25">
      <c r="A7" s="1" t="str">
        <f>'[1]Population Definitions'!$A$4</f>
        <v>15-64</v>
      </c>
      <c r="B7" s="164" t="s">
        <v>145</v>
      </c>
      <c r="C7" s="164" t="s">
        <v>145</v>
      </c>
      <c r="D7" s="38" t="s">
        <v>41</v>
      </c>
      <c r="E7" s="164" t="s">
        <v>144</v>
      </c>
      <c r="F7" s="164" t="s">
        <v>145</v>
      </c>
      <c r="G7" s="164" t="s">
        <v>145</v>
      </c>
      <c r="H7" s="164" t="s">
        <v>145</v>
      </c>
      <c r="I7" s="164" t="s">
        <v>145</v>
      </c>
      <c r="J7" s="164" t="s">
        <v>145</v>
      </c>
      <c r="K7" s="164" t="s">
        <v>145</v>
      </c>
      <c r="L7" s="164" t="s">
        <v>145</v>
      </c>
      <c r="M7" s="164" t="s">
        <v>145</v>
      </c>
    </row>
    <row r="8" spans="1:13" x14ac:dyDescent="0.25">
      <c r="A8" s="1" t="str">
        <f>'[1]Population Definitions'!$A$5</f>
        <v>65+</v>
      </c>
      <c r="B8" s="164" t="s">
        <v>145</v>
      </c>
      <c r="C8" s="164" t="s">
        <v>145</v>
      </c>
      <c r="D8" s="164" t="s">
        <v>145</v>
      </c>
      <c r="E8" s="38" t="s">
        <v>41</v>
      </c>
      <c r="F8" s="164" t="s">
        <v>145</v>
      </c>
      <c r="G8" s="164" t="s">
        <v>145</v>
      </c>
      <c r="H8" s="164" t="s">
        <v>145</v>
      </c>
      <c r="I8" s="164" t="s">
        <v>145</v>
      </c>
      <c r="J8" s="164" t="s">
        <v>145</v>
      </c>
      <c r="K8" s="164" t="s">
        <v>145</v>
      </c>
      <c r="L8" s="164" t="s">
        <v>145</v>
      </c>
      <c r="M8" s="164" t="s">
        <v>145</v>
      </c>
    </row>
    <row r="9" spans="1:13" x14ac:dyDescent="0.25">
      <c r="A9" s="1" t="str">
        <f>'[1]Population Definitions'!$A$6</f>
        <v>15-64 (HIV+)</v>
      </c>
      <c r="B9" s="164" t="s">
        <v>145</v>
      </c>
      <c r="C9" s="164" t="s">
        <v>145</v>
      </c>
      <c r="D9" s="164" t="s">
        <v>145</v>
      </c>
      <c r="E9" s="164" t="s">
        <v>145</v>
      </c>
      <c r="F9" s="38" t="s">
        <v>41</v>
      </c>
      <c r="G9" s="164" t="s">
        <v>144</v>
      </c>
      <c r="H9" s="164" t="s">
        <v>145</v>
      </c>
      <c r="I9" s="164" t="s">
        <v>145</v>
      </c>
      <c r="J9" s="164" t="s">
        <v>145</v>
      </c>
      <c r="K9" s="164" t="s">
        <v>145</v>
      </c>
      <c r="L9" s="164" t="s">
        <v>145</v>
      </c>
      <c r="M9" s="164" t="s">
        <v>145</v>
      </c>
    </row>
    <row r="10" spans="1:13" x14ac:dyDescent="0.25">
      <c r="A10" s="1" t="str">
        <f>'[1]Population Definitions'!$A$7</f>
        <v>65+ (HIV+)</v>
      </c>
      <c r="B10" s="164" t="s">
        <v>145</v>
      </c>
      <c r="C10" s="164" t="s">
        <v>145</v>
      </c>
      <c r="D10" s="164" t="s">
        <v>145</v>
      </c>
      <c r="E10" s="164" t="s">
        <v>145</v>
      </c>
      <c r="F10" s="164" t="s">
        <v>145</v>
      </c>
      <c r="G10" s="38" t="s">
        <v>41</v>
      </c>
      <c r="H10" s="164" t="s">
        <v>145</v>
      </c>
      <c r="I10" s="164" t="s">
        <v>145</v>
      </c>
      <c r="J10" s="164" t="s">
        <v>145</v>
      </c>
      <c r="K10" s="164" t="s">
        <v>145</v>
      </c>
      <c r="L10" s="164" t="s">
        <v>145</v>
      </c>
      <c r="M10" s="164" t="s">
        <v>145</v>
      </c>
    </row>
    <row r="11" spans="1:13" x14ac:dyDescent="0.25">
      <c r="A11" s="1" t="str">
        <f>'[1]Population Definitions'!$A$8</f>
        <v>Pris</v>
      </c>
      <c r="B11" s="164" t="s">
        <v>145</v>
      </c>
      <c r="C11" s="164" t="s">
        <v>145</v>
      </c>
      <c r="D11" s="164" t="s">
        <v>145</v>
      </c>
      <c r="E11" s="164" t="s">
        <v>145</v>
      </c>
      <c r="F11" s="164" t="s">
        <v>145</v>
      </c>
      <c r="G11" s="164" t="s">
        <v>145</v>
      </c>
      <c r="H11" s="38" t="s">
        <v>41</v>
      </c>
      <c r="I11" s="164" t="s">
        <v>145</v>
      </c>
      <c r="J11" s="164" t="s">
        <v>145</v>
      </c>
      <c r="K11" s="164" t="s">
        <v>145</v>
      </c>
      <c r="L11" s="164" t="s">
        <v>145</v>
      </c>
      <c r="M11" s="164" t="s">
        <v>145</v>
      </c>
    </row>
    <row r="12" spans="1:13" x14ac:dyDescent="0.25">
      <c r="A12" s="1" t="str">
        <f>'[1]Population Definitions'!$A$9</f>
        <v>Pris (HIV+)</v>
      </c>
      <c r="B12" s="164" t="s">
        <v>145</v>
      </c>
      <c r="C12" s="164" t="s">
        <v>145</v>
      </c>
      <c r="D12" s="164" t="s">
        <v>145</v>
      </c>
      <c r="E12" s="164" t="s">
        <v>145</v>
      </c>
      <c r="F12" s="164" t="s">
        <v>145</v>
      </c>
      <c r="G12" s="164" t="s">
        <v>145</v>
      </c>
      <c r="H12" s="164" t="s">
        <v>145</v>
      </c>
      <c r="I12" s="38" t="s">
        <v>41</v>
      </c>
      <c r="J12" s="164" t="s">
        <v>145</v>
      </c>
      <c r="K12" s="164" t="s">
        <v>145</v>
      </c>
      <c r="L12" s="164" t="s">
        <v>145</v>
      </c>
      <c r="M12" s="164" t="s">
        <v>145</v>
      </c>
    </row>
    <row r="13" spans="1:13" x14ac:dyDescent="0.25">
      <c r="A13" s="1" t="str">
        <f>'[1]Population Definitions'!$A$10</f>
        <v>HCW</v>
      </c>
      <c r="B13" s="164" t="s">
        <v>145</v>
      </c>
      <c r="C13" s="164" t="s">
        <v>145</v>
      </c>
      <c r="D13" s="164" t="s">
        <v>145</v>
      </c>
      <c r="E13" s="164" t="s">
        <v>145</v>
      </c>
      <c r="F13" s="164" t="s">
        <v>145</v>
      </c>
      <c r="G13" s="164" t="s">
        <v>145</v>
      </c>
      <c r="H13" s="164" t="s">
        <v>145</v>
      </c>
      <c r="I13" s="164" t="s">
        <v>145</v>
      </c>
      <c r="J13" s="38" t="s">
        <v>41</v>
      </c>
      <c r="K13" s="164" t="s">
        <v>145</v>
      </c>
      <c r="L13" s="164" t="s">
        <v>145</v>
      </c>
      <c r="M13" s="164" t="s">
        <v>145</v>
      </c>
    </row>
    <row r="14" spans="1:13" x14ac:dyDescent="0.25">
      <c r="A14" s="1" t="str">
        <f>'[1]Population Definitions'!$A$11</f>
        <v>HCW (HIV+)</v>
      </c>
      <c r="B14" s="164" t="s">
        <v>145</v>
      </c>
      <c r="C14" s="164" t="s">
        <v>145</v>
      </c>
      <c r="D14" s="164" t="s">
        <v>145</v>
      </c>
      <c r="E14" s="164" t="s">
        <v>145</v>
      </c>
      <c r="F14" s="164" t="s">
        <v>145</v>
      </c>
      <c r="G14" s="164" t="s">
        <v>145</v>
      </c>
      <c r="H14" s="164" t="s">
        <v>145</v>
      </c>
      <c r="I14" s="164" t="s">
        <v>145</v>
      </c>
      <c r="J14" s="164" t="s">
        <v>145</v>
      </c>
      <c r="K14" s="38" t="s">
        <v>41</v>
      </c>
      <c r="L14" s="164" t="s">
        <v>145</v>
      </c>
      <c r="M14" s="164" t="s">
        <v>145</v>
      </c>
    </row>
    <row r="15" spans="1:13" x14ac:dyDescent="0.25">
      <c r="A15" s="1" t="str">
        <f>'[1]Population Definitions'!$A$12</f>
        <v>Mine</v>
      </c>
      <c r="B15" s="164" t="s">
        <v>145</v>
      </c>
      <c r="C15" s="164" t="s">
        <v>145</v>
      </c>
      <c r="D15" s="164" t="s">
        <v>145</v>
      </c>
      <c r="E15" s="164" t="s">
        <v>145</v>
      </c>
      <c r="F15" s="164" t="s">
        <v>145</v>
      </c>
      <c r="G15" s="164" t="s">
        <v>145</v>
      </c>
      <c r="H15" s="164" t="s">
        <v>145</v>
      </c>
      <c r="I15" s="164" t="s">
        <v>145</v>
      </c>
      <c r="J15" s="164" t="s">
        <v>145</v>
      </c>
      <c r="K15" s="164" t="s">
        <v>145</v>
      </c>
      <c r="L15" s="38" t="s">
        <v>41</v>
      </c>
      <c r="M15" s="164" t="s">
        <v>145</v>
      </c>
    </row>
    <row r="16" spans="1:13" x14ac:dyDescent="0.25">
      <c r="A16" s="1" t="str">
        <f>'[1]Population Definitions'!$A$13</f>
        <v>Mine (HIV+)</v>
      </c>
      <c r="B16" s="164" t="s">
        <v>145</v>
      </c>
      <c r="C16" s="164" t="s">
        <v>145</v>
      </c>
      <c r="D16" s="164" t="s">
        <v>145</v>
      </c>
      <c r="E16" s="164" t="s">
        <v>145</v>
      </c>
      <c r="F16" s="164" t="s">
        <v>145</v>
      </c>
      <c r="G16" s="164" t="s">
        <v>145</v>
      </c>
      <c r="H16" s="164" t="s">
        <v>145</v>
      </c>
      <c r="I16" s="164" t="s">
        <v>145</v>
      </c>
      <c r="J16" s="164" t="s">
        <v>145</v>
      </c>
      <c r="K16" s="164" t="s">
        <v>145</v>
      </c>
      <c r="L16" s="164" t="s">
        <v>145</v>
      </c>
      <c r="M16" s="38" t="s">
        <v>41</v>
      </c>
    </row>
    <row r="18" spans="1:23"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row>
    <row r="19" spans="1:23" x14ac:dyDescent="0.25">
      <c r="A19" s="1" t="str">
        <f>IF($B$5="Y",'[1]Population Definitions'!$A$2,"...")</f>
        <v>...</v>
      </c>
      <c r="B19" s="1" t="str">
        <f>IF($B$5="Y","---&gt;","...")</f>
        <v>...</v>
      </c>
      <c r="C19" s="1" t="str">
        <f>IF($B$5="Y",'[1]Population Definitions'!$A$2,"...")</f>
        <v>...</v>
      </c>
      <c r="E19" s="165"/>
      <c r="F19" s="1" t="str">
        <f>IF($B$5="Y","OR","...")</f>
        <v>...</v>
      </c>
      <c r="G19" s="165"/>
      <c r="H19" s="165"/>
      <c r="I19" s="165"/>
      <c r="J19" s="165"/>
      <c r="K19" s="165"/>
      <c r="L19" s="165"/>
      <c r="M19" s="165"/>
      <c r="N19" s="165"/>
      <c r="O19" s="165"/>
      <c r="P19" s="165"/>
      <c r="Q19" s="165"/>
      <c r="R19" s="165"/>
      <c r="S19" s="165"/>
      <c r="T19" s="165"/>
      <c r="U19" s="165"/>
      <c r="V19" s="165"/>
      <c r="W19" s="165"/>
    </row>
    <row r="20" spans="1:23" x14ac:dyDescent="0.25">
      <c r="A20" s="1" t="str">
        <f>IF($C$5="Y",'[1]Population Definitions'!$A$2,"...")</f>
        <v>0-4</v>
      </c>
      <c r="B20" s="1" t="str">
        <f>IF($C$5="Y","---&gt;","...")</f>
        <v>---&gt;</v>
      </c>
      <c r="C20" s="1" t="str">
        <f>IF($C$5="Y",'[1]Population Definitions'!$A$3,"...")</f>
        <v>5-14</v>
      </c>
      <c r="D20" s="132" t="s">
        <v>163</v>
      </c>
      <c r="E20" s="165"/>
      <c r="F20" s="1" t="str">
        <f>IF($C$5="Y","OR","...")</f>
        <v>OR</v>
      </c>
      <c r="G20" s="165">
        <v>0.2333430108931529</v>
      </c>
      <c r="H20" s="165">
        <v>0.2264177869829215</v>
      </c>
      <c r="I20" s="165">
        <v>0.2194132101582536</v>
      </c>
      <c r="J20" s="165">
        <v>0.21287767731509999</v>
      </c>
      <c r="K20" s="165">
        <v>0.20680051316758349</v>
      </c>
      <c r="L20" s="165">
        <v>0.16500000000000001</v>
      </c>
      <c r="M20" s="165"/>
      <c r="N20" s="165"/>
      <c r="O20" s="165"/>
      <c r="P20" s="165"/>
      <c r="Q20" s="165"/>
      <c r="R20" s="165"/>
      <c r="S20" s="165"/>
      <c r="T20" s="165"/>
      <c r="U20" s="165"/>
      <c r="V20" s="165"/>
      <c r="W20" s="165"/>
    </row>
    <row r="21" spans="1:23" x14ac:dyDescent="0.25">
      <c r="A21" s="1" t="str">
        <f>IF($D$5="Y",'[1]Population Definitions'!$A$2,"...")</f>
        <v>...</v>
      </c>
      <c r="B21" s="1" t="str">
        <f>IF($D$5="Y","---&gt;","...")</f>
        <v>...</v>
      </c>
      <c r="C21" s="1" t="str">
        <f>IF($D$5="Y",'[1]Population Definitions'!$A$4,"...")</f>
        <v>...</v>
      </c>
      <c r="E21" s="165"/>
      <c r="F21" s="1" t="str">
        <f>IF($D$5="Y","OR","...")</f>
        <v>...</v>
      </c>
      <c r="G21" s="165"/>
      <c r="H21" s="165"/>
      <c r="I21" s="165"/>
      <c r="J21" s="165"/>
      <c r="K21" s="165"/>
      <c r="L21" s="165"/>
      <c r="M21" s="165"/>
      <c r="N21" s="165"/>
      <c r="O21" s="165"/>
      <c r="P21" s="165"/>
      <c r="Q21" s="165"/>
      <c r="R21" s="165"/>
      <c r="S21" s="165"/>
      <c r="T21" s="165"/>
      <c r="U21" s="165"/>
      <c r="V21" s="165"/>
      <c r="W21" s="165"/>
    </row>
    <row r="22" spans="1:23" x14ac:dyDescent="0.25">
      <c r="A22" s="1" t="str">
        <f>IF($E$5="Y",'[1]Population Definitions'!$A$2,"...")</f>
        <v>...</v>
      </c>
      <c r="B22" s="1" t="str">
        <f>IF($E$5="Y","---&gt;","...")</f>
        <v>...</v>
      </c>
      <c r="C22" s="1" t="str">
        <f>IF($E$5="Y",'[1]Population Definitions'!$A$5,"...")</f>
        <v>...</v>
      </c>
      <c r="E22" s="165"/>
      <c r="F22" s="1" t="str">
        <f>IF($E$5="Y","OR","...")</f>
        <v>...</v>
      </c>
      <c r="G22" s="165"/>
      <c r="H22" s="165"/>
      <c r="I22" s="165"/>
      <c r="J22" s="165"/>
      <c r="K22" s="165"/>
      <c r="L22" s="165"/>
      <c r="M22" s="165"/>
      <c r="N22" s="165"/>
      <c r="O22" s="165"/>
      <c r="P22" s="165"/>
      <c r="Q22" s="165"/>
      <c r="R22" s="165"/>
      <c r="S22" s="165"/>
      <c r="T22" s="165"/>
      <c r="U22" s="165"/>
      <c r="V22" s="165"/>
      <c r="W22" s="165"/>
    </row>
    <row r="23" spans="1:23" x14ac:dyDescent="0.25">
      <c r="A23" s="1" t="str">
        <f>IF($F$5="Y",'[1]Population Definitions'!$A$2,"...")</f>
        <v>...</v>
      </c>
      <c r="B23" s="1" t="str">
        <f>IF($F$5="Y","---&gt;","...")</f>
        <v>...</v>
      </c>
      <c r="C23" s="1" t="str">
        <f>IF($F$5="Y",'[1]Population Definitions'!$A$6,"...")</f>
        <v>...</v>
      </c>
      <c r="E23" s="165"/>
      <c r="F23" s="1" t="str">
        <f>IF($F$5="Y","OR","...")</f>
        <v>...</v>
      </c>
      <c r="G23" s="165"/>
      <c r="H23" s="165"/>
      <c r="I23" s="165"/>
      <c r="J23" s="165"/>
      <c r="K23" s="165"/>
      <c r="L23" s="165"/>
      <c r="M23" s="165"/>
      <c r="N23" s="165"/>
      <c r="O23" s="165"/>
      <c r="P23" s="165"/>
      <c r="Q23" s="165"/>
      <c r="R23" s="165"/>
      <c r="S23" s="165"/>
      <c r="T23" s="165"/>
      <c r="U23" s="165"/>
      <c r="V23" s="165"/>
      <c r="W23" s="165"/>
    </row>
    <row r="24" spans="1:23" x14ac:dyDescent="0.25">
      <c r="A24" s="1" t="str">
        <f>IF($G$5="Y",'[1]Population Definitions'!$A$2,"...")</f>
        <v>...</v>
      </c>
      <c r="B24" s="1" t="str">
        <f>IF($G$5="Y","---&gt;","...")</f>
        <v>...</v>
      </c>
      <c r="C24" s="1" t="str">
        <f>IF($G$5="Y",'[1]Population Definitions'!$A$7,"...")</f>
        <v>...</v>
      </c>
      <c r="E24" s="165"/>
      <c r="F24" s="1" t="str">
        <f>IF($G$5="Y","OR","...")</f>
        <v>...</v>
      </c>
      <c r="G24" s="165"/>
      <c r="H24" s="165"/>
      <c r="I24" s="165"/>
      <c r="J24" s="165"/>
      <c r="K24" s="165"/>
      <c r="L24" s="165"/>
      <c r="M24" s="165"/>
      <c r="N24" s="165"/>
      <c r="O24" s="165"/>
      <c r="P24" s="165"/>
      <c r="Q24" s="165"/>
      <c r="R24" s="165"/>
      <c r="S24" s="165"/>
      <c r="T24" s="165"/>
      <c r="U24" s="165"/>
      <c r="V24" s="165"/>
      <c r="W24" s="165"/>
    </row>
    <row r="25" spans="1:23" x14ac:dyDescent="0.25">
      <c r="A25" s="1" t="str">
        <f>IF($H$5="Y",'[1]Population Definitions'!$A$2,"...")</f>
        <v>...</v>
      </c>
      <c r="B25" s="1" t="str">
        <f>IF($H$5="Y","---&gt;","...")</f>
        <v>...</v>
      </c>
      <c r="C25" s="1" t="str">
        <f>IF($H$5="Y",'[1]Population Definitions'!$A$8,"...")</f>
        <v>...</v>
      </c>
      <c r="E25" s="165"/>
      <c r="F25" s="1" t="str">
        <f>IF($H$5="Y","OR","...")</f>
        <v>...</v>
      </c>
      <c r="G25" s="165"/>
      <c r="H25" s="165"/>
      <c r="I25" s="165"/>
      <c r="J25" s="165"/>
      <c r="K25" s="165"/>
      <c r="L25" s="165"/>
      <c r="M25" s="165"/>
      <c r="N25" s="165"/>
      <c r="O25" s="165"/>
      <c r="P25" s="165"/>
      <c r="Q25" s="165"/>
      <c r="R25" s="165"/>
      <c r="S25" s="165"/>
      <c r="T25" s="165"/>
      <c r="U25" s="165"/>
      <c r="V25" s="165"/>
      <c r="W25" s="165"/>
    </row>
    <row r="26" spans="1:23" x14ac:dyDescent="0.25">
      <c r="A26" s="1" t="str">
        <f>IF($I$5="Y",'[1]Population Definitions'!$A$2,"...")</f>
        <v>...</v>
      </c>
      <c r="B26" s="1" t="str">
        <f>IF($I$5="Y","---&gt;","...")</f>
        <v>...</v>
      </c>
      <c r="C26" s="1" t="str">
        <f>IF($I$5="Y",'[1]Population Definitions'!$A$9,"...")</f>
        <v>...</v>
      </c>
      <c r="E26" s="165"/>
      <c r="F26" s="1" t="str">
        <f>IF($I$5="Y","OR","...")</f>
        <v>...</v>
      </c>
      <c r="G26" s="165"/>
      <c r="H26" s="165"/>
      <c r="I26" s="165"/>
      <c r="J26" s="165"/>
      <c r="K26" s="165"/>
      <c r="L26" s="165"/>
      <c r="M26" s="165"/>
      <c r="N26" s="165"/>
      <c r="O26" s="165"/>
      <c r="P26" s="165"/>
      <c r="Q26" s="165"/>
      <c r="R26" s="165"/>
      <c r="S26" s="165"/>
      <c r="T26" s="165"/>
      <c r="U26" s="165"/>
      <c r="V26" s="165"/>
      <c r="W26" s="165"/>
    </row>
    <row r="27" spans="1:23" x14ac:dyDescent="0.25">
      <c r="A27" s="1" t="str">
        <f>IF($J$5="Y",'[1]Population Definitions'!$A$2,"...")</f>
        <v>...</v>
      </c>
      <c r="B27" s="1" t="str">
        <f>IF($J$5="Y","---&gt;","...")</f>
        <v>...</v>
      </c>
      <c r="C27" s="1" t="str">
        <f>IF($J$5="Y",'[1]Population Definitions'!$A$10,"...")</f>
        <v>...</v>
      </c>
      <c r="E27" s="165"/>
      <c r="F27" s="1" t="str">
        <f>IF($J$5="Y","OR","...")</f>
        <v>...</v>
      </c>
      <c r="G27" s="165"/>
      <c r="H27" s="165"/>
      <c r="I27" s="165"/>
      <c r="J27" s="165"/>
      <c r="K27" s="165"/>
      <c r="L27" s="165"/>
      <c r="M27" s="165"/>
      <c r="N27" s="165"/>
      <c r="O27" s="165"/>
      <c r="P27" s="165"/>
      <c r="Q27" s="165"/>
      <c r="R27" s="165"/>
      <c r="S27" s="165"/>
      <c r="T27" s="165"/>
      <c r="U27" s="165"/>
      <c r="V27" s="165"/>
      <c r="W27" s="165"/>
    </row>
    <row r="28" spans="1:23" x14ac:dyDescent="0.25">
      <c r="A28" s="1" t="str">
        <f>IF($K$5="Y",'[1]Population Definitions'!$A$2,"...")</f>
        <v>...</v>
      </c>
      <c r="B28" s="1" t="str">
        <f>IF($K$5="Y","---&gt;","...")</f>
        <v>...</v>
      </c>
      <c r="C28" s="1" t="str">
        <f>IF($K$5="Y",'[1]Population Definitions'!$A$11,"...")</f>
        <v>...</v>
      </c>
      <c r="E28" s="165"/>
      <c r="F28" s="1" t="str">
        <f>IF($K$5="Y","OR","...")</f>
        <v>...</v>
      </c>
      <c r="G28" s="165"/>
      <c r="H28" s="165"/>
      <c r="I28" s="165"/>
      <c r="J28" s="165"/>
      <c r="K28" s="165"/>
      <c r="L28" s="165"/>
      <c r="M28" s="165"/>
      <c r="N28" s="165"/>
      <c r="O28" s="165"/>
      <c r="P28" s="165"/>
      <c r="Q28" s="165"/>
      <c r="R28" s="165"/>
      <c r="S28" s="165"/>
      <c r="T28" s="165"/>
      <c r="U28" s="165"/>
      <c r="V28" s="165"/>
      <c r="W28" s="165"/>
    </row>
    <row r="29" spans="1:23" x14ac:dyDescent="0.25">
      <c r="A29" s="1" t="str">
        <f>IF($L$5="Y",'[1]Population Definitions'!$A$2,"...")</f>
        <v>...</v>
      </c>
      <c r="B29" s="1" t="str">
        <f>IF($L$5="Y","---&gt;","...")</f>
        <v>...</v>
      </c>
      <c r="C29" s="1" t="str">
        <f>IF($L$5="Y",'[1]Population Definitions'!$A$12,"...")</f>
        <v>...</v>
      </c>
      <c r="E29" s="165"/>
      <c r="F29" s="1" t="str">
        <f>IF($L$5="Y","OR","...")</f>
        <v>...</v>
      </c>
      <c r="G29" s="165"/>
      <c r="H29" s="165"/>
      <c r="I29" s="165"/>
      <c r="J29" s="165"/>
      <c r="K29" s="165"/>
      <c r="L29" s="165"/>
      <c r="M29" s="165"/>
      <c r="N29" s="165"/>
      <c r="O29" s="165"/>
      <c r="P29" s="165"/>
      <c r="Q29" s="165"/>
      <c r="R29" s="165"/>
      <c r="S29" s="165"/>
      <c r="T29" s="165"/>
      <c r="U29" s="165"/>
      <c r="V29" s="165"/>
      <c r="W29" s="165"/>
    </row>
    <row r="30" spans="1:23" x14ac:dyDescent="0.25">
      <c r="A30" s="1" t="str">
        <f>IF($M$5="Y",'[1]Population Definitions'!$A$2,"...")</f>
        <v>...</v>
      </c>
      <c r="B30" s="1" t="str">
        <f>IF($M$5="Y","---&gt;","...")</f>
        <v>...</v>
      </c>
      <c r="C30" s="1" t="str">
        <f>IF($M$5="Y",'[1]Population Definitions'!$A$13,"...")</f>
        <v>...</v>
      </c>
      <c r="E30" s="165"/>
      <c r="F30" s="1" t="str">
        <f>IF($M$5="Y","OR","...")</f>
        <v>...</v>
      </c>
      <c r="G30" s="165"/>
      <c r="H30" s="165"/>
      <c r="I30" s="165"/>
      <c r="J30" s="165"/>
      <c r="K30" s="165"/>
      <c r="L30" s="165"/>
      <c r="M30" s="165"/>
      <c r="N30" s="165"/>
      <c r="O30" s="165"/>
      <c r="P30" s="165"/>
      <c r="Q30" s="165"/>
      <c r="R30" s="165"/>
      <c r="S30" s="165"/>
      <c r="T30" s="165"/>
      <c r="U30" s="165"/>
      <c r="V30" s="165"/>
      <c r="W30" s="165"/>
    </row>
    <row r="31" spans="1:23" x14ac:dyDescent="0.25">
      <c r="A31" s="1" t="str">
        <f>IF($B$6="Y",'[1]Population Definitions'!$A$3,"...")</f>
        <v>...</v>
      </c>
      <c r="B31" s="1" t="str">
        <f>IF($B$6="Y","---&gt;","...")</f>
        <v>...</v>
      </c>
      <c r="C31" s="1" t="str">
        <f>IF($B$6="Y",'[1]Population Definitions'!$A$2,"...")</f>
        <v>...</v>
      </c>
      <c r="E31" s="165"/>
      <c r="F31" s="1" t="str">
        <f>IF($B$6="Y","OR","...")</f>
        <v>...</v>
      </c>
      <c r="G31" s="165"/>
      <c r="H31" s="165"/>
      <c r="I31" s="165"/>
      <c r="J31" s="165"/>
      <c r="K31" s="165"/>
      <c r="L31" s="165"/>
      <c r="M31" s="165"/>
      <c r="N31" s="165"/>
      <c r="O31" s="165"/>
      <c r="P31" s="165"/>
      <c r="Q31" s="165"/>
      <c r="R31" s="165"/>
      <c r="S31" s="165"/>
      <c r="T31" s="165"/>
      <c r="U31" s="165"/>
      <c r="V31" s="165"/>
      <c r="W31" s="165"/>
    </row>
    <row r="32" spans="1:23" x14ac:dyDescent="0.25">
      <c r="A32" s="1" t="str">
        <f>IF($C$6="Y",'[1]Population Definitions'!$A$3,"...")</f>
        <v>...</v>
      </c>
      <c r="B32" s="1" t="str">
        <f>IF($C$6="Y","---&gt;","...")</f>
        <v>...</v>
      </c>
      <c r="C32" s="1" t="str">
        <f>IF($C$6="Y",'[1]Population Definitions'!$A$3,"...")</f>
        <v>...</v>
      </c>
      <c r="E32" s="165"/>
      <c r="F32" s="1" t="str">
        <f>IF($C$6="Y","OR","...")</f>
        <v>...</v>
      </c>
      <c r="G32" s="165"/>
      <c r="H32" s="165"/>
      <c r="I32" s="165"/>
      <c r="J32" s="165"/>
      <c r="K32" s="165"/>
      <c r="L32" s="165"/>
      <c r="M32" s="165"/>
      <c r="N32" s="165"/>
      <c r="O32" s="165"/>
      <c r="P32" s="165"/>
      <c r="Q32" s="165"/>
      <c r="R32" s="165"/>
      <c r="S32" s="165"/>
      <c r="T32" s="165"/>
      <c r="U32" s="165"/>
      <c r="V32" s="165"/>
      <c r="W32" s="165"/>
    </row>
    <row r="33" spans="1:23" x14ac:dyDescent="0.25">
      <c r="A33" s="1" t="str">
        <f>IF($D$6="Y",'[1]Population Definitions'!$A$3,"...")</f>
        <v>5-14</v>
      </c>
      <c r="B33" s="1" t="str">
        <f>IF($D$6="Y","---&gt;","...")</f>
        <v>---&gt;</v>
      </c>
      <c r="C33" s="1" t="str">
        <f>IF($D$6="Y",'[1]Population Definitions'!$A$4,"...")</f>
        <v>15-64</v>
      </c>
      <c r="D33" s="132" t="s">
        <v>163</v>
      </c>
      <c r="E33" s="165"/>
      <c r="F33" s="1" t="str">
        <f>IF($D$6="Y","OR","...")</f>
        <v>OR</v>
      </c>
      <c r="G33" s="165">
        <v>9.5269021488292624E-2</v>
      </c>
      <c r="H33" s="165">
        <v>9.6170629508940592E-2</v>
      </c>
      <c r="I33" s="165">
        <v>9.6569257097941036E-2</v>
      </c>
      <c r="J33" s="165">
        <v>9.6800071644185359E-2</v>
      </c>
      <c r="K33" s="165">
        <v>9.6893822056630122E-2</v>
      </c>
      <c r="L33" s="165">
        <v>9.5000000000000001E-2</v>
      </c>
      <c r="M33" s="165"/>
      <c r="N33" s="165">
        <v>0.08</v>
      </c>
      <c r="O33" s="165"/>
      <c r="P33" s="165">
        <v>9.5000000000000001E-2</v>
      </c>
      <c r="Q33" s="165"/>
      <c r="R33" s="165"/>
      <c r="S33" s="165"/>
      <c r="T33" s="165"/>
      <c r="U33" s="165"/>
      <c r="V33" s="165">
        <v>0.115</v>
      </c>
      <c r="W33" s="165"/>
    </row>
    <row r="34" spans="1:23" x14ac:dyDescent="0.25">
      <c r="A34" s="1" t="str">
        <f>IF($E$6="Y",'[1]Population Definitions'!$A$3,"...")</f>
        <v>...</v>
      </c>
      <c r="B34" s="1" t="str">
        <f>IF($E$6="Y","---&gt;","...")</f>
        <v>...</v>
      </c>
      <c r="C34" s="1" t="str">
        <f>IF($E$6="Y",'[1]Population Definitions'!$A$5,"...")</f>
        <v>...</v>
      </c>
      <c r="E34" s="165"/>
      <c r="F34" s="1" t="str">
        <f>IF($E$6="Y","OR","...")</f>
        <v>...</v>
      </c>
      <c r="G34" s="165"/>
      <c r="H34" s="165"/>
      <c r="I34" s="165"/>
      <c r="J34" s="165"/>
      <c r="K34" s="165"/>
      <c r="L34" s="165"/>
      <c r="M34" s="165"/>
      <c r="N34" s="165"/>
      <c r="O34" s="165"/>
      <c r="P34" s="165"/>
      <c r="Q34" s="165"/>
      <c r="R34" s="165"/>
      <c r="S34" s="165"/>
      <c r="T34" s="165"/>
      <c r="U34" s="165"/>
      <c r="V34" s="165"/>
      <c r="W34" s="165"/>
    </row>
    <row r="35" spans="1:23" x14ac:dyDescent="0.25">
      <c r="A35" s="1" t="str">
        <f>IF($F$6="Y",'[1]Population Definitions'!$A$3,"...")</f>
        <v>...</v>
      </c>
      <c r="B35" s="1" t="str">
        <f>IF($F$6="Y","---&gt;","...")</f>
        <v>...</v>
      </c>
      <c r="C35" s="1" t="str">
        <f>IF($F$6="Y",'[1]Population Definitions'!$A$6,"...")</f>
        <v>...</v>
      </c>
      <c r="E35" s="165"/>
      <c r="F35" s="1" t="str">
        <f>IF($F$6="Y","OR","...")</f>
        <v>...</v>
      </c>
      <c r="G35" s="165"/>
      <c r="H35" s="165"/>
      <c r="I35" s="165"/>
      <c r="J35" s="165"/>
      <c r="K35" s="165"/>
      <c r="L35" s="165"/>
      <c r="M35" s="165"/>
      <c r="N35" s="165"/>
      <c r="O35" s="165"/>
      <c r="P35" s="165"/>
      <c r="Q35" s="165"/>
      <c r="R35" s="165"/>
      <c r="S35" s="165"/>
      <c r="T35" s="165"/>
      <c r="U35" s="165"/>
      <c r="V35" s="165"/>
      <c r="W35" s="165"/>
    </row>
    <row r="36" spans="1:23" x14ac:dyDescent="0.25">
      <c r="A36" s="1" t="str">
        <f>IF($G$6="Y",'[1]Population Definitions'!$A$3,"...")</f>
        <v>...</v>
      </c>
      <c r="B36" s="1" t="str">
        <f>IF($G$6="Y","---&gt;","...")</f>
        <v>...</v>
      </c>
      <c r="C36" s="1" t="str">
        <f>IF($G$6="Y",'[1]Population Definitions'!$A$7,"...")</f>
        <v>...</v>
      </c>
      <c r="E36" s="165"/>
      <c r="F36" s="1" t="str">
        <f>IF($G$6="Y","OR","...")</f>
        <v>...</v>
      </c>
      <c r="G36" s="165"/>
      <c r="H36" s="165"/>
      <c r="I36" s="165"/>
      <c r="J36" s="165"/>
      <c r="K36" s="165"/>
      <c r="L36" s="165"/>
      <c r="M36" s="165"/>
      <c r="N36" s="165"/>
      <c r="O36" s="165"/>
      <c r="P36" s="165"/>
      <c r="Q36" s="165"/>
      <c r="R36" s="165"/>
      <c r="S36" s="165"/>
      <c r="T36" s="165"/>
      <c r="U36" s="165"/>
      <c r="V36" s="165"/>
      <c r="W36" s="165"/>
    </row>
    <row r="37" spans="1:23" x14ac:dyDescent="0.25">
      <c r="A37" s="1" t="str">
        <f>IF($H$6="Y",'[1]Population Definitions'!$A$3,"...")</f>
        <v>...</v>
      </c>
      <c r="B37" s="1" t="str">
        <f>IF($H$6="Y","---&gt;","...")</f>
        <v>...</v>
      </c>
      <c r="C37" s="1" t="str">
        <f>IF($H$6="Y",'[1]Population Definitions'!$A$8,"...")</f>
        <v>...</v>
      </c>
      <c r="E37" s="165"/>
      <c r="F37" s="1" t="str">
        <f>IF($H$6="Y","OR","...")</f>
        <v>...</v>
      </c>
      <c r="G37" s="165"/>
      <c r="H37" s="165"/>
      <c r="I37" s="165"/>
      <c r="J37" s="165"/>
      <c r="K37" s="165"/>
      <c r="L37" s="165"/>
      <c r="M37" s="165"/>
      <c r="N37" s="165"/>
      <c r="O37" s="165"/>
      <c r="P37" s="165"/>
      <c r="Q37" s="165"/>
      <c r="R37" s="165"/>
      <c r="S37" s="165"/>
      <c r="T37" s="165"/>
      <c r="U37" s="165"/>
      <c r="V37" s="165"/>
      <c r="W37" s="165"/>
    </row>
    <row r="38" spans="1:23" x14ac:dyDescent="0.25">
      <c r="A38" s="1" t="str">
        <f>IF($I$6="Y",'[1]Population Definitions'!$A$3,"...")</f>
        <v>...</v>
      </c>
      <c r="B38" s="1" t="str">
        <f>IF($I$6="Y","---&gt;","...")</f>
        <v>...</v>
      </c>
      <c r="C38" s="1" t="str">
        <f>IF($I$6="Y",'[1]Population Definitions'!$A$9,"...")</f>
        <v>...</v>
      </c>
      <c r="E38" s="165"/>
      <c r="F38" s="1" t="str">
        <f>IF($I$6="Y","OR","...")</f>
        <v>...</v>
      </c>
      <c r="G38" s="165"/>
      <c r="H38" s="165"/>
      <c r="I38" s="165"/>
      <c r="J38" s="165"/>
      <c r="K38" s="165"/>
      <c r="L38" s="165"/>
      <c r="M38" s="165"/>
      <c r="N38" s="165"/>
      <c r="O38" s="165"/>
      <c r="P38" s="165"/>
      <c r="Q38" s="165"/>
      <c r="R38" s="165"/>
      <c r="S38" s="165"/>
      <c r="T38" s="165"/>
      <c r="U38" s="165"/>
      <c r="V38" s="165"/>
      <c r="W38" s="165"/>
    </row>
    <row r="39" spans="1:23" x14ac:dyDescent="0.25">
      <c r="A39" s="1" t="str">
        <f>IF($J$6="Y",'[1]Population Definitions'!$A$3,"...")</f>
        <v>...</v>
      </c>
      <c r="B39" s="1" t="str">
        <f>IF($J$6="Y","---&gt;","...")</f>
        <v>...</v>
      </c>
      <c r="C39" s="1" t="str">
        <f>IF($J$6="Y",'[1]Population Definitions'!$A$10,"...")</f>
        <v>...</v>
      </c>
      <c r="E39" s="165"/>
      <c r="F39" s="1" t="str">
        <f>IF($J$6="Y","OR","...")</f>
        <v>...</v>
      </c>
      <c r="G39" s="165"/>
      <c r="H39" s="165"/>
      <c r="I39" s="165"/>
      <c r="J39" s="165"/>
      <c r="K39" s="165"/>
      <c r="L39" s="165"/>
      <c r="M39" s="165"/>
      <c r="N39" s="165"/>
      <c r="O39" s="165"/>
      <c r="P39" s="165"/>
      <c r="Q39" s="165"/>
      <c r="R39" s="165"/>
      <c r="S39" s="165"/>
      <c r="T39" s="165"/>
      <c r="U39" s="165"/>
      <c r="V39" s="165"/>
      <c r="W39" s="165"/>
    </row>
    <row r="40" spans="1:23" x14ac:dyDescent="0.25">
      <c r="A40" s="1" t="str">
        <f>IF($K$6="Y",'[1]Population Definitions'!$A$3,"...")</f>
        <v>...</v>
      </c>
      <c r="B40" s="1" t="str">
        <f>IF($K$6="Y","---&gt;","...")</f>
        <v>...</v>
      </c>
      <c r="C40" s="1" t="str">
        <f>IF($K$6="Y",'[1]Population Definitions'!$A$11,"...")</f>
        <v>...</v>
      </c>
      <c r="E40" s="165"/>
      <c r="F40" s="1" t="str">
        <f>IF($K$6="Y","OR","...")</f>
        <v>...</v>
      </c>
      <c r="G40" s="165"/>
      <c r="H40" s="165"/>
      <c r="I40" s="165"/>
      <c r="J40" s="165"/>
      <c r="K40" s="165"/>
      <c r="L40" s="165"/>
      <c r="M40" s="165"/>
      <c r="N40" s="165"/>
      <c r="O40" s="165"/>
      <c r="P40" s="165"/>
      <c r="Q40" s="165"/>
      <c r="R40" s="165"/>
      <c r="S40" s="165"/>
      <c r="T40" s="165"/>
      <c r="U40" s="165"/>
      <c r="V40" s="165"/>
      <c r="W40" s="165"/>
    </row>
    <row r="41" spans="1:23" x14ac:dyDescent="0.25">
      <c r="A41" s="1" t="str">
        <f>IF($L$6="Y",'[1]Population Definitions'!$A$3,"...")</f>
        <v>...</v>
      </c>
      <c r="B41" s="1" t="str">
        <f>IF($L$6="Y","---&gt;","...")</f>
        <v>...</v>
      </c>
      <c r="C41" s="1" t="str">
        <f>IF($L$6="Y",'[1]Population Definitions'!$A$12,"...")</f>
        <v>...</v>
      </c>
      <c r="E41" s="165"/>
      <c r="F41" s="1" t="str">
        <f>IF($L$6="Y","OR","...")</f>
        <v>...</v>
      </c>
      <c r="G41" s="165"/>
      <c r="H41" s="165"/>
      <c r="I41" s="165"/>
      <c r="J41" s="165"/>
      <c r="K41" s="165"/>
      <c r="L41" s="165"/>
      <c r="M41" s="165"/>
      <c r="N41" s="165"/>
      <c r="O41" s="165"/>
      <c r="P41" s="165"/>
      <c r="Q41" s="165"/>
      <c r="R41" s="165"/>
      <c r="S41" s="165"/>
      <c r="T41" s="165"/>
      <c r="U41" s="165"/>
      <c r="V41" s="165"/>
      <c r="W41" s="165"/>
    </row>
    <row r="42" spans="1:23" x14ac:dyDescent="0.25">
      <c r="A42" s="1" t="str">
        <f>IF($M$6="Y",'[1]Population Definitions'!$A$3,"...")</f>
        <v>...</v>
      </c>
      <c r="B42" s="1" t="str">
        <f>IF($M$6="Y","---&gt;","...")</f>
        <v>...</v>
      </c>
      <c r="C42" s="1" t="str">
        <f>IF($M$6="Y",'[1]Population Definitions'!$A$13,"...")</f>
        <v>...</v>
      </c>
      <c r="E42" s="165"/>
      <c r="F42" s="1" t="str">
        <f>IF($M$6="Y","OR","...")</f>
        <v>...</v>
      </c>
      <c r="G42" s="165"/>
      <c r="H42" s="165"/>
      <c r="I42" s="165"/>
      <c r="J42" s="165"/>
      <c r="K42" s="165"/>
      <c r="L42" s="165"/>
      <c r="M42" s="165"/>
      <c r="N42" s="165"/>
      <c r="O42" s="165"/>
      <c r="P42" s="165"/>
      <c r="Q42" s="165"/>
      <c r="R42" s="165"/>
      <c r="S42" s="165"/>
      <c r="T42" s="165"/>
      <c r="U42" s="165"/>
      <c r="V42" s="165"/>
      <c r="W42" s="165"/>
    </row>
    <row r="43" spans="1:23" x14ac:dyDescent="0.25">
      <c r="A43" s="1" t="str">
        <f>IF($B$7="Y",'[1]Population Definitions'!$A$4,"...")</f>
        <v>...</v>
      </c>
      <c r="B43" s="1" t="str">
        <f>IF($B$7="Y","---&gt;","...")</f>
        <v>...</v>
      </c>
      <c r="C43" s="1" t="str">
        <f>IF($B$7="Y",'[1]Population Definitions'!$A$2,"...")</f>
        <v>...</v>
      </c>
      <c r="E43" s="165"/>
      <c r="F43" s="1" t="str">
        <f>IF($B$7="Y","OR","...")</f>
        <v>...</v>
      </c>
      <c r="G43" s="165"/>
      <c r="H43" s="165"/>
      <c r="I43" s="165"/>
      <c r="J43" s="165"/>
      <c r="K43" s="165"/>
      <c r="L43" s="165"/>
      <c r="M43" s="165"/>
      <c r="N43" s="165"/>
      <c r="O43" s="165"/>
      <c r="P43" s="165"/>
      <c r="Q43" s="165"/>
      <c r="R43" s="165"/>
      <c r="S43" s="165"/>
      <c r="T43" s="165"/>
      <c r="U43" s="165"/>
      <c r="V43" s="165"/>
      <c r="W43" s="165"/>
    </row>
    <row r="44" spans="1:23" x14ac:dyDescent="0.25">
      <c r="A44" s="1" t="str">
        <f>IF($C$7="Y",'[1]Population Definitions'!$A$4,"...")</f>
        <v>...</v>
      </c>
      <c r="B44" s="1" t="str">
        <f>IF($C$7="Y","---&gt;","...")</f>
        <v>...</v>
      </c>
      <c r="C44" s="1" t="str">
        <f>IF($C$7="Y",'[1]Population Definitions'!$A$3,"...")</f>
        <v>...</v>
      </c>
      <c r="E44" s="165"/>
      <c r="F44" s="1" t="str">
        <f>IF($C$7="Y","OR","...")</f>
        <v>...</v>
      </c>
      <c r="G44" s="165"/>
      <c r="H44" s="165"/>
      <c r="I44" s="165"/>
      <c r="J44" s="165"/>
      <c r="K44" s="165"/>
      <c r="L44" s="165"/>
      <c r="M44" s="165"/>
      <c r="N44" s="165"/>
      <c r="O44" s="165"/>
      <c r="P44" s="165"/>
      <c r="Q44" s="165"/>
      <c r="R44" s="165"/>
      <c r="S44" s="165"/>
      <c r="T44" s="165"/>
      <c r="U44" s="165"/>
      <c r="V44" s="165"/>
      <c r="W44" s="165"/>
    </row>
    <row r="45" spans="1:23" x14ac:dyDescent="0.25">
      <c r="A45" s="1" t="str">
        <f>IF($D$7="Y",'[1]Population Definitions'!$A$4,"...")</f>
        <v>...</v>
      </c>
      <c r="B45" s="1" t="str">
        <f>IF($D$7="Y","---&gt;","...")</f>
        <v>...</v>
      </c>
      <c r="C45" s="1" t="str">
        <f>IF($D$7="Y",'[1]Population Definitions'!$A$4,"...")</f>
        <v>...</v>
      </c>
      <c r="E45" s="165"/>
      <c r="F45" s="1" t="str">
        <f>IF($D$7="Y","OR","...")</f>
        <v>...</v>
      </c>
      <c r="G45" s="165"/>
      <c r="H45" s="165"/>
      <c r="I45" s="165"/>
      <c r="J45" s="165"/>
      <c r="K45" s="165"/>
      <c r="L45" s="165"/>
      <c r="M45" s="165"/>
      <c r="N45" s="165"/>
      <c r="O45" s="165"/>
      <c r="P45" s="165"/>
      <c r="Q45" s="165"/>
      <c r="R45" s="165"/>
      <c r="S45" s="165"/>
      <c r="T45" s="165"/>
      <c r="U45" s="165"/>
      <c r="V45" s="165"/>
      <c r="W45" s="165"/>
    </row>
    <row r="46" spans="1:23" x14ac:dyDescent="0.25">
      <c r="A46" s="1" t="str">
        <f>IF($E$7="Y",'[1]Population Definitions'!$A$4,"...")</f>
        <v>15-64</v>
      </c>
      <c r="B46" s="1" t="str">
        <f>IF($E$7="Y","---&gt;","...")</f>
        <v>---&gt;</v>
      </c>
      <c r="C46" s="1" t="str">
        <f>IF($E$7="Y",'[1]Population Definitions'!$A$5,"...")</f>
        <v>65+</v>
      </c>
      <c r="D46" s="132" t="s">
        <v>163</v>
      </c>
      <c r="E46" s="165"/>
      <c r="F46" s="1" t="str">
        <f>IF($E$7="Y","OR","...")</f>
        <v>OR</v>
      </c>
      <c r="G46" s="165">
        <v>8.0000000000000002E-3</v>
      </c>
      <c r="H46" s="165"/>
      <c r="I46" s="165"/>
      <c r="J46" s="165"/>
      <c r="K46" s="165"/>
      <c r="L46" s="165"/>
      <c r="M46" s="165"/>
      <c r="N46" s="165">
        <v>8.0000000000000002E-3</v>
      </c>
      <c r="O46" s="165"/>
      <c r="P46" s="165"/>
      <c r="Q46" s="165"/>
      <c r="R46" s="165"/>
      <c r="S46" s="165"/>
      <c r="T46" s="165"/>
      <c r="U46" s="165"/>
      <c r="V46" s="165">
        <v>6.0000000000000001E-3</v>
      </c>
      <c r="W46" s="165"/>
    </row>
    <row r="47" spans="1:23" x14ac:dyDescent="0.25">
      <c r="A47" s="1" t="str">
        <f>IF($F$7="Y",'[1]Population Definitions'!$A$4,"...")</f>
        <v>...</v>
      </c>
      <c r="B47" s="1" t="str">
        <f>IF($F$7="Y","---&gt;","...")</f>
        <v>...</v>
      </c>
      <c r="C47" s="1" t="str">
        <f>IF($F$7="Y",'[1]Population Definitions'!$A$6,"...")</f>
        <v>...</v>
      </c>
      <c r="E47" s="165"/>
      <c r="F47" s="1" t="str">
        <f>IF($F$7="Y","OR","...")</f>
        <v>...</v>
      </c>
      <c r="G47" s="165"/>
      <c r="H47" s="165"/>
      <c r="I47" s="165"/>
      <c r="J47" s="165"/>
      <c r="K47" s="165"/>
      <c r="L47" s="165"/>
      <c r="M47" s="165"/>
      <c r="N47" s="165"/>
      <c r="O47" s="165"/>
      <c r="P47" s="165"/>
      <c r="Q47" s="165"/>
      <c r="R47" s="165"/>
      <c r="S47" s="165"/>
      <c r="T47" s="165"/>
      <c r="U47" s="165"/>
      <c r="V47" s="165"/>
      <c r="W47" s="165"/>
    </row>
    <row r="48" spans="1:23" x14ac:dyDescent="0.25">
      <c r="A48" s="1" t="str">
        <f>IF($G$7="Y",'[1]Population Definitions'!$A$4,"...")</f>
        <v>...</v>
      </c>
      <c r="B48" s="1" t="str">
        <f>IF($G$7="Y","---&gt;","...")</f>
        <v>...</v>
      </c>
      <c r="C48" s="1" t="str">
        <f>IF($G$7="Y",'[1]Population Definitions'!$A$7,"...")</f>
        <v>...</v>
      </c>
      <c r="E48" s="165"/>
      <c r="F48" s="1" t="str">
        <f>IF($G$7="Y","OR","...")</f>
        <v>...</v>
      </c>
      <c r="G48" s="165"/>
      <c r="H48" s="165"/>
      <c r="I48" s="165"/>
      <c r="J48" s="165"/>
      <c r="K48" s="165"/>
      <c r="L48" s="165"/>
      <c r="M48" s="165"/>
      <c r="N48" s="165"/>
      <c r="O48" s="165"/>
      <c r="P48" s="165"/>
      <c r="Q48" s="165"/>
      <c r="R48" s="165"/>
      <c r="S48" s="165"/>
      <c r="T48" s="165"/>
      <c r="U48" s="165"/>
      <c r="V48" s="165"/>
      <c r="W48" s="165"/>
    </row>
    <row r="49" spans="1:23" x14ac:dyDescent="0.25">
      <c r="A49" s="1" t="str">
        <f>IF($H$7="Y",'[1]Population Definitions'!$A$4,"...")</f>
        <v>...</v>
      </c>
      <c r="B49" s="1" t="str">
        <f>IF($H$7="Y","---&gt;","...")</f>
        <v>...</v>
      </c>
      <c r="C49" s="1" t="str">
        <f>IF($H$7="Y",'[1]Population Definitions'!$A$8,"...")</f>
        <v>...</v>
      </c>
      <c r="E49" s="165"/>
      <c r="F49" s="1" t="str">
        <f>IF($H$7="Y","OR","...")</f>
        <v>...</v>
      </c>
      <c r="G49" s="165"/>
      <c r="H49" s="165"/>
      <c r="I49" s="165"/>
      <c r="J49" s="165"/>
      <c r="K49" s="165"/>
      <c r="L49" s="165"/>
      <c r="M49" s="165"/>
      <c r="N49" s="165"/>
      <c r="O49" s="165"/>
      <c r="P49" s="165"/>
      <c r="Q49" s="165"/>
      <c r="R49" s="165"/>
      <c r="S49" s="165"/>
      <c r="T49" s="165"/>
      <c r="U49" s="165"/>
      <c r="V49" s="165"/>
      <c r="W49" s="165"/>
    </row>
    <row r="50" spans="1:23" x14ac:dyDescent="0.25">
      <c r="A50" s="1" t="str">
        <f>IF($I$7="Y",'[1]Population Definitions'!$A$4,"...")</f>
        <v>...</v>
      </c>
      <c r="B50" s="1" t="str">
        <f>IF($I$7="Y","---&gt;","...")</f>
        <v>...</v>
      </c>
      <c r="C50" s="1" t="str">
        <f>IF($I$7="Y",'[1]Population Definitions'!$A$9,"...")</f>
        <v>...</v>
      </c>
      <c r="E50" s="165"/>
      <c r="F50" s="1" t="str">
        <f>IF($I$7="Y","OR","...")</f>
        <v>...</v>
      </c>
      <c r="G50" s="165"/>
      <c r="H50" s="165"/>
      <c r="I50" s="165"/>
      <c r="J50" s="165"/>
      <c r="K50" s="165"/>
      <c r="L50" s="165"/>
      <c r="M50" s="165"/>
      <c r="N50" s="165"/>
      <c r="O50" s="165"/>
      <c r="P50" s="165"/>
      <c r="Q50" s="165"/>
      <c r="R50" s="165"/>
      <c r="S50" s="165"/>
      <c r="T50" s="165"/>
      <c r="U50" s="165"/>
      <c r="V50" s="165"/>
      <c r="W50" s="165"/>
    </row>
    <row r="51" spans="1:23" x14ac:dyDescent="0.25">
      <c r="A51" s="1" t="str">
        <f>IF($J$7="Y",'[1]Population Definitions'!$A$4,"...")</f>
        <v>...</v>
      </c>
      <c r="B51" s="1" t="str">
        <f>IF($J$7="Y","---&gt;","...")</f>
        <v>...</v>
      </c>
      <c r="C51" s="1" t="str">
        <f>IF($J$7="Y",'[1]Population Definitions'!$A$10,"...")</f>
        <v>...</v>
      </c>
      <c r="E51" s="165"/>
      <c r="F51" s="1" t="str">
        <f>IF($J$7="Y","OR","...")</f>
        <v>...</v>
      </c>
      <c r="G51" s="165"/>
      <c r="H51" s="165"/>
      <c r="I51" s="165"/>
      <c r="J51" s="165"/>
      <c r="K51" s="165"/>
      <c r="L51" s="165"/>
      <c r="M51" s="165"/>
      <c r="N51" s="165"/>
      <c r="O51" s="165"/>
      <c r="P51" s="165"/>
      <c r="Q51" s="165"/>
      <c r="R51" s="165"/>
      <c r="S51" s="165"/>
      <c r="T51" s="165"/>
      <c r="U51" s="165"/>
      <c r="V51" s="165"/>
      <c r="W51" s="165"/>
    </row>
    <row r="52" spans="1:23" x14ac:dyDescent="0.25">
      <c r="A52" s="1" t="str">
        <f>IF($K$7="Y",'[1]Population Definitions'!$A$4,"...")</f>
        <v>...</v>
      </c>
      <c r="B52" s="1" t="str">
        <f>IF($K$7="Y","---&gt;","...")</f>
        <v>...</v>
      </c>
      <c r="C52" s="1" t="str">
        <f>IF($K$7="Y",'[1]Population Definitions'!$A$11,"...")</f>
        <v>...</v>
      </c>
      <c r="E52" s="165"/>
      <c r="F52" s="1" t="str">
        <f>IF($K$7="Y","OR","...")</f>
        <v>...</v>
      </c>
      <c r="G52" s="165"/>
      <c r="H52" s="165"/>
      <c r="I52" s="165"/>
      <c r="J52" s="165"/>
      <c r="K52" s="165"/>
      <c r="L52" s="165"/>
      <c r="M52" s="165"/>
      <c r="N52" s="165"/>
      <c r="O52" s="165"/>
      <c r="P52" s="165"/>
      <c r="Q52" s="165"/>
      <c r="R52" s="165"/>
      <c r="S52" s="165"/>
      <c r="T52" s="165"/>
      <c r="U52" s="165"/>
      <c r="V52" s="165"/>
      <c r="W52" s="165"/>
    </row>
    <row r="53" spans="1:23" x14ac:dyDescent="0.25">
      <c r="A53" s="1" t="str">
        <f>IF($L$7="Y",'[1]Population Definitions'!$A$4,"...")</f>
        <v>...</v>
      </c>
      <c r="B53" s="1" t="str">
        <f>IF($L$7="Y","---&gt;","...")</f>
        <v>...</v>
      </c>
      <c r="C53" s="1" t="str">
        <f>IF($L$7="Y",'[1]Population Definitions'!$A$12,"...")</f>
        <v>...</v>
      </c>
      <c r="E53" s="165"/>
      <c r="F53" s="1" t="str">
        <f>IF($L$7="Y","OR","...")</f>
        <v>...</v>
      </c>
      <c r="G53" s="165"/>
      <c r="H53" s="165"/>
      <c r="I53" s="165"/>
      <c r="J53" s="165"/>
      <c r="K53" s="165"/>
      <c r="L53" s="165"/>
      <c r="M53" s="165"/>
      <c r="N53" s="165"/>
      <c r="O53" s="165"/>
      <c r="P53" s="165"/>
      <c r="Q53" s="165"/>
      <c r="R53" s="165"/>
      <c r="S53" s="165"/>
      <c r="T53" s="165"/>
      <c r="U53" s="165"/>
      <c r="V53" s="165"/>
      <c r="W53" s="165"/>
    </row>
    <row r="54" spans="1:23" x14ac:dyDescent="0.25">
      <c r="A54" s="1" t="str">
        <f>IF($M$7="Y",'[1]Population Definitions'!$A$4,"...")</f>
        <v>...</v>
      </c>
      <c r="B54" s="1" t="str">
        <f>IF($M$7="Y","---&gt;","...")</f>
        <v>...</v>
      </c>
      <c r="C54" s="1" t="str">
        <f>IF($M$7="Y",'[1]Population Definitions'!$A$13,"...")</f>
        <v>...</v>
      </c>
      <c r="E54" s="165"/>
      <c r="F54" s="1" t="str">
        <f>IF($M$7="Y","OR","...")</f>
        <v>...</v>
      </c>
      <c r="G54" s="165"/>
      <c r="H54" s="165"/>
      <c r="I54" s="165"/>
      <c r="J54" s="165"/>
      <c r="K54" s="165"/>
      <c r="L54" s="165"/>
      <c r="M54" s="165"/>
      <c r="N54" s="165"/>
      <c r="O54" s="165"/>
      <c r="P54" s="165"/>
      <c r="Q54" s="165"/>
      <c r="R54" s="165"/>
      <c r="S54" s="165"/>
      <c r="T54" s="165"/>
      <c r="U54" s="165"/>
      <c r="V54" s="165"/>
      <c r="W54" s="165"/>
    </row>
    <row r="55" spans="1:23" x14ac:dyDescent="0.25">
      <c r="A55" s="1" t="str">
        <f>IF($B$8="Y",'[1]Population Definitions'!$A$5,"...")</f>
        <v>...</v>
      </c>
      <c r="B55" s="1" t="str">
        <f>IF($B$8="Y","---&gt;","...")</f>
        <v>...</v>
      </c>
      <c r="C55" s="1" t="str">
        <f>IF($B$8="Y",'[1]Population Definitions'!$A$2,"...")</f>
        <v>...</v>
      </c>
      <c r="E55" s="165"/>
      <c r="F55" s="1" t="str">
        <f>IF($B$8="Y","OR","...")</f>
        <v>...</v>
      </c>
      <c r="G55" s="165"/>
      <c r="H55" s="165"/>
      <c r="I55" s="165"/>
      <c r="J55" s="165"/>
      <c r="K55" s="165"/>
      <c r="L55" s="165"/>
      <c r="M55" s="165"/>
      <c r="N55" s="165"/>
      <c r="O55" s="165"/>
      <c r="P55" s="165"/>
      <c r="Q55" s="165"/>
      <c r="R55" s="165"/>
      <c r="S55" s="165"/>
      <c r="T55" s="165"/>
      <c r="U55" s="165"/>
      <c r="V55" s="165"/>
      <c r="W55" s="165"/>
    </row>
    <row r="56" spans="1:23" x14ac:dyDescent="0.25">
      <c r="A56" s="1" t="str">
        <f>IF($C$8="Y",'[1]Population Definitions'!$A$5,"...")</f>
        <v>...</v>
      </c>
      <c r="B56" s="1" t="str">
        <f>IF($C$8="Y","---&gt;","...")</f>
        <v>...</v>
      </c>
      <c r="C56" s="1" t="str">
        <f>IF($C$8="Y",'[1]Population Definitions'!$A$3,"...")</f>
        <v>...</v>
      </c>
      <c r="E56" s="165"/>
      <c r="F56" s="1" t="str">
        <f>IF($C$8="Y","OR","...")</f>
        <v>...</v>
      </c>
      <c r="G56" s="165"/>
      <c r="H56" s="165"/>
      <c r="I56" s="165"/>
      <c r="J56" s="165"/>
      <c r="K56" s="165"/>
      <c r="L56" s="165"/>
      <c r="M56" s="165"/>
      <c r="N56" s="165"/>
      <c r="O56" s="165"/>
      <c r="P56" s="165"/>
      <c r="Q56" s="165"/>
      <c r="R56" s="165"/>
      <c r="S56" s="165"/>
      <c r="T56" s="165"/>
      <c r="U56" s="165"/>
      <c r="V56" s="165"/>
      <c r="W56" s="165"/>
    </row>
    <row r="57" spans="1:23" x14ac:dyDescent="0.25">
      <c r="A57" s="1" t="str">
        <f>IF($D$8="Y",'[1]Population Definitions'!$A$5,"...")</f>
        <v>...</v>
      </c>
      <c r="B57" s="1" t="str">
        <f>IF($D$8="Y","---&gt;","...")</f>
        <v>...</v>
      </c>
      <c r="C57" s="1" t="str">
        <f>IF($D$8="Y",'[1]Population Definitions'!$A$4,"...")</f>
        <v>...</v>
      </c>
      <c r="E57" s="165"/>
      <c r="F57" s="1" t="str">
        <f>IF($D$8="Y","OR","...")</f>
        <v>...</v>
      </c>
      <c r="G57" s="165"/>
      <c r="H57" s="165"/>
      <c r="I57" s="165"/>
      <c r="J57" s="165"/>
      <c r="K57" s="165"/>
      <c r="L57" s="165"/>
      <c r="M57" s="165"/>
      <c r="N57" s="165"/>
      <c r="O57" s="165"/>
      <c r="P57" s="165"/>
      <c r="Q57" s="165"/>
      <c r="R57" s="165"/>
      <c r="S57" s="165"/>
      <c r="T57" s="165"/>
      <c r="U57" s="165"/>
      <c r="V57" s="165"/>
      <c r="W57" s="165"/>
    </row>
    <row r="58" spans="1:23" x14ac:dyDescent="0.25">
      <c r="A58" s="1" t="str">
        <f>IF($E$8="Y",'[1]Population Definitions'!$A$5,"...")</f>
        <v>...</v>
      </c>
      <c r="B58" s="1" t="str">
        <f>IF($E$8="Y","---&gt;","...")</f>
        <v>...</v>
      </c>
      <c r="C58" s="1" t="str">
        <f>IF($E$8="Y",'[1]Population Definitions'!$A$5,"...")</f>
        <v>...</v>
      </c>
      <c r="E58" s="165"/>
      <c r="F58" s="1" t="str">
        <f>IF($E$8="Y","OR","...")</f>
        <v>...</v>
      </c>
      <c r="G58" s="165"/>
      <c r="H58" s="165"/>
      <c r="I58" s="165"/>
      <c r="J58" s="165"/>
      <c r="K58" s="165"/>
      <c r="L58" s="165"/>
      <c r="M58" s="165"/>
      <c r="N58" s="165"/>
      <c r="O58" s="165"/>
      <c r="P58" s="165"/>
      <c r="Q58" s="165"/>
      <c r="R58" s="165"/>
      <c r="S58" s="165"/>
      <c r="T58" s="165"/>
      <c r="U58" s="165"/>
      <c r="V58" s="165"/>
      <c r="W58" s="165"/>
    </row>
    <row r="59" spans="1:23" x14ac:dyDescent="0.25">
      <c r="A59" s="1" t="str">
        <f>IF($F$8="Y",'[1]Population Definitions'!$A$5,"...")</f>
        <v>...</v>
      </c>
      <c r="B59" s="1" t="str">
        <f>IF($F$8="Y","---&gt;","...")</f>
        <v>...</v>
      </c>
      <c r="C59" s="1" t="str">
        <f>IF($F$8="Y",'[1]Population Definitions'!$A$6,"...")</f>
        <v>...</v>
      </c>
      <c r="E59" s="165"/>
      <c r="F59" s="1" t="str">
        <f>IF($F$8="Y","OR","...")</f>
        <v>...</v>
      </c>
      <c r="G59" s="165"/>
      <c r="H59" s="165"/>
      <c r="I59" s="165"/>
      <c r="J59" s="165"/>
      <c r="K59" s="165"/>
      <c r="L59" s="165"/>
      <c r="M59" s="165"/>
      <c r="N59" s="165"/>
      <c r="O59" s="165"/>
      <c r="P59" s="165"/>
      <c r="Q59" s="165"/>
      <c r="R59" s="165"/>
      <c r="S59" s="165"/>
      <c r="T59" s="165"/>
      <c r="U59" s="165"/>
      <c r="V59" s="165"/>
      <c r="W59" s="165"/>
    </row>
    <row r="60" spans="1:23" x14ac:dyDescent="0.25">
      <c r="A60" s="1" t="str">
        <f>IF($G$8="Y",'[1]Population Definitions'!$A$5,"...")</f>
        <v>...</v>
      </c>
      <c r="B60" s="1" t="str">
        <f>IF($G$8="Y","---&gt;","...")</f>
        <v>...</v>
      </c>
      <c r="C60" s="1" t="str">
        <f>IF($G$8="Y",'[1]Population Definitions'!$A$7,"...")</f>
        <v>...</v>
      </c>
      <c r="E60" s="165"/>
      <c r="F60" s="1" t="str">
        <f>IF($G$8="Y","OR","...")</f>
        <v>...</v>
      </c>
      <c r="G60" s="165"/>
      <c r="H60" s="165"/>
      <c r="I60" s="165"/>
      <c r="J60" s="165"/>
      <c r="K60" s="165"/>
      <c r="L60" s="165"/>
      <c r="M60" s="165"/>
      <c r="N60" s="165"/>
      <c r="O60" s="165"/>
      <c r="P60" s="165"/>
      <c r="Q60" s="165"/>
      <c r="R60" s="165"/>
      <c r="S60" s="165"/>
      <c r="T60" s="165"/>
      <c r="U60" s="165"/>
      <c r="V60" s="165"/>
      <c r="W60" s="165"/>
    </row>
    <row r="61" spans="1:23" x14ac:dyDescent="0.25">
      <c r="A61" s="1" t="str">
        <f>IF($H$8="Y",'[1]Population Definitions'!$A$5,"...")</f>
        <v>...</v>
      </c>
      <c r="B61" s="1" t="str">
        <f>IF($H$8="Y","---&gt;","...")</f>
        <v>...</v>
      </c>
      <c r="C61" s="1" t="str">
        <f>IF($H$8="Y",'[1]Population Definitions'!$A$8,"...")</f>
        <v>...</v>
      </c>
      <c r="E61" s="165"/>
      <c r="F61" s="1" t="str">
        <f>IF($H$8="Y","OR","...")</f>
        <v>...</v>
      </c>
      <c r="G61" s="165"/>
      <c r="H61" s="165"/>
      <c r="I61" s="165"/>
      <c r="J61" s="165"/>
      <c r="K61" s="165"/>
      <c r="L61" s="165"/>
      <c r="M61" s="165"/>
      <c r="N61" s="165"/>
      <c r="O61" s="165"/>
      <c r="P61" s="165"/>
      <c r="Q61" s="165"/>
      <c r="R61" s="165"/>
      <c r="S61" s="165"/>
      <c r="T61" s="165"/>
      <c r="U61" s="165"/>
      <c r="V61" s="165"/>
      <c r="W61" s="165"/>
    </row>
    <row r="62" spans="1:23" x14ac:dyDescent="0.25">
      <c r="A62" s="1" t="str">
        <f>IF($I$8="Y",'[1]Population Definitions'!$A$5,"...")</f>
        <v>...</v>
      </c>
      <c r="B62" s="1" t="str">
        <f>IF($I$8="Y","---&gt;","...")</f>
        <v>...</v>
      </c>
      <c r="C62" s="1" t="str">
        <f>IF($I$8="Y",'[1]Population Definitions'!$A$9,"...")</f>
        <v>...</v>
      </c>
      <c r="E62" s="165"/>
      <c r="F62" s="1" t="str">
        <f>IF($I$8="Y","OR","...")</f>
        <v>...</v>
      </c>
      <c r="G62" s="165"/>
      <c r="H62" s="165"/>
      <c r="I62" s="165"/>
      <c r="J62" s="165"/>
      <c r="K62" s="165"/>
      <c r="L62" s="165"/>
      <c r="M62" s="165"/>
      <c r="N62" s="165"/>
      <c r="O62" s="165"/>
      <c r="P62" s="165"/>
      <c r="Q62" s="165"/>
      <c r="R62" s="165"/>
      <c r="S62" s="165"/>
      <c r="T62" s="165"/>
      <c r="U62" s="165"/>
      <c r="V62" s="165"/>
      <c r="W62" s="165"/>
    </row>
    <row r="63" spans="1:23" x14ac:dyDescent="0.25">
      <c r="A63" s="1" t="str">
        <f>IF($J$8="Y",'[1]Population Definitions'!$A$5,"...")</f>
        <v>...</v>
      </c>
      <c r="B63" s="1" t="str">
        <f>IF($J$8="Y","---&gt;","...")</f>
        <v>...</v>
      </c>
      <c r="C63" s="1" t="str">
        <f>IF($J$8="Y",'[1]Population Definitions'!$A$10,"...")</f>
        <v>...</v>
      </c>
      <c r="E63" s="165"/>
      <c r="F63" s="1" t="str">
        <f>IF($J$8="Y","OR","...")</f>
        <v>...</v>
      </c>
      <c r="G63" s="165"/>
      <c r="H63" s="165"/>
      <c r="I63" s="165"/>
      <c r="J63" s="165"/>
      <c r="K63" s="165"/>
      <c r="L63" s="165"/>
      <c r="M63" s="165"/>
      <c r="N63" s="165"/>
      <c r="O63" s="165"/>
      <c r="P63" s="165"/>
      <c r="Q63" s="165"/>
      <c r="R63" s="165"/>
      <c r="S63" s="165"/>
      <c r="T63" s="165"/>
      <c r="U63" s="165"/>
      <c r="V63" s="165"/>
      <c r="W63" s="165"/>
    </row>
    <row r="64" spans="1:23" x14ac:dyDescent="0.25">
      <c r="A64" s="1" t="str">
        <f>IF($K$8="Y",'[1]Population Definitions'!$A$5,"...")</f>
        <v>...</v>
      </c>
      <c r="B64" s="1" t="str">
        <f>IF($K$8="Y","---&gt;","...")</f>
        <v>...</v>
      </c>
      <c r="C64" s="1" t="str">
        <f>IF($K$8="Y",'[1]Population Definitions'!$A$11,"...")</f>
        <v>...</v>
      </c>
      <c r="E64" s="165"/>
      <c r="F64" s="1" t="str">
        <f>IF($K$8="Y","OR","...")</f>
        <v>...</v>
      </c>
      <c r="G64" s="165"/>
      <c r="H64" s="165"/>
      <c r="I64" s="165"/>
      <c r="J64" s="165"/>
      <c r="K64" s="165"/>
      <c r="L64" s="165"/>
      <c r="M64" s="165"/>
      <c r="N64" s="165"/>
      <c r="O64" s="165"/>
      <c r="P64" s="165"/>
      <c r="Q64" s="165"/>
      <c r="R64" s="165"/>
      <c r="S64" s="165"/>
      <c r="T64" s="165"/>
      <c r="U64" s="165"/>
      <c r="V64" s="165"/>
      <c r="W64" s="165"/>
    </row>
    <row r="65" spans="1:23" x14ac:dyDescent="0.25">
      <c r="A65" s="1" t="str">
        <f>IF($L$8="Y",'[1]Population Definitions'!$A$5,"...")</f>
        <v>...</v>
      </c>
      <c r="B65" s="1" t="str">
        <f>IF($L$8="Y","---&gt;","...")</f>
        <v>...</v>
      </c>
      <c r="C65" s="1" t="str">
        <f>IF($L$8="Y",'[1]Population Definitions'!$A$12,"...")</f>
        <v>...</v>
      </c>
      <c r="E65" s="165"/>
      <c r="F65" s="1" t="str">
        <f>IF($L$8="Y","OR","...")</f>
        <v>...</v>
      </c>
      <c r="G65" s="165"/>
      <c r="H65" s="165"/>
      <c r="I65" s="165"/>
      <c r="J65" s="165"/>
      <c r="K65" s="165"/>
      <c r="L65" s="165"/>
      <c r="M65" s="165"/>
      <c r="N65" s="165"/>
      <c r="O65" s="165"/>
      <c r="P65" s="165"/>
      <c r="Q65" s="165"/>
      <c r="R65" s="165"/>
      <c r="S65" s="165"/>
      <c r="T65" s="165"/>
      <c r="U65" s="165"/>
      <c r="V65" s="165"/>
      <c r="W65" s="165"/>
    </row>
    <row r="66" spans="1:23" x14ac:dyDescent="0.25">
      <c r="A66" s="1" t="str">
        <f>IF($M$8="Y",'[1]Population Definitions'!$A$5,"...")</f>
        <v>...</v>
      </c>
      <c r="B66" s="1" t="str">
        <f>IF($M$8="Y","---&gt;","...")</f>
        <v>...</v>
      </c>
      <c r="C66" s="1" t="str">
        <f>IF($M$8="Y",'[1]Population Definitions'!$A$13,"...")</f>
        <v>...</v>
      </c>
      <c r="E66" s="165"/>
      <c r="F66" s="1" t="str">
        <f>IF($M$8="Y","OR","...")</f>
        <v>...</v>
      </c>
      <c r="G66" s="165"/>
      <c r="H66" s="165"/>
      <c r="I66" s="165"/>
      <c r="J66" s="165"/>
      <c r="K66" s="165"/>
      <c r="L66" s="165"/>
      <c r="M66" s="165"/>
      <c r="N66" s="165"/>
      <c r="O66" s="165"/>
      <c r="P66" s="165"/>
      <c r="Q66" s="165"/>
      <c r="R66" s="165"/>
      <c r="S66" s="165"/>
      <c r="T66" s="165"/>
      <c r="U66" s="165"/>
      <c r="V66" s="165"/>
      <c r="W66" s="165"/>
    </row>
    <row r="67" spans="1:23" x14ac:dyDescent="0.25">
      <c r="A67" s="1" t="str">
        <f>IF($B$9="Y",'[1]Population Definitions'!$A$6,"...")</f>
        <v>...</v>
      </c>
      <c r="B67" s="1" t="str">
        <f>IF($B$9="Y","---&gt;","...")</f>
        <v>...</v>
      </c>
      <c r="C67" s="1" t="str">
        <f>IF($B$9="Y",'[1]Population Definitions'!$A$2,"...")</f>
        <v>...</v>
      </c>
      <c r="E67" s="165"/>
      <c r="F67" s="1" t="str">
        <f>IF($B$9="Y","OR","...")</f>
        <v>...</v>
      </c>
      <c r="G67" s="165"/>
      <c r="H67" s="165"/>
      <c r="I67" s="165"/>
      <c r="J67" s="165"/>
      <c r="K67" s="165"/>
      <c r="L67" s="165"/>
      <c r="M67" s="165"/>
      <c r="N67" s="165"/>
      <c r="O67" s="165"/>
      <c r="P67" s="165"/>
      <c r="Q67" s="165"/>
      <c r="R67" s="165"/>
      <c r="S67" s="165"/>
      <c r="T67" s="165"/>
      <c r="U67" s="165"/>
      <c r="V67" s="165"/>
      <c r="W67" s="165"/>
    </row>
    <row r="68" spans="1:23" x14ac:dyDescent="0.25">
      <c r="A68" s="1" t="str">
        <f>IF($C$9="Y",'[1]Population Definitions'!$A$6,"...")</f>
        <v>...</v>
      </c>
      <c r="B68" s="1" t="str">
        <f>IF($C$9="Y","---&gt;","...")</f>
        <v>...</v>
      </c>
      <c r="C68" s="1" t="str">
        <f>IF($C$9="Y",'[1]Population Definitions'!$A$3,"...")</f>
        <v>...</v>
      </c>
      <c r="E68" s="165"/>
      <c r="F68" s="1" t="str">
        <f>IF($C$9="Y","OR","...")</f>
        <v>...</v>
      </c>
      <c r="G68" s="165"/>
      <c r="H68" s="165"/>
      <c r="I68" s="165"/>
      <c r="J68" s="165"/>
      <c r="K68" s="165"/>
      <c r="L68" s="165"/>
      <c r="M68" s="165"/>
      <c r="N68" s="165"/>
      <c r="O68" s="165"/>
      <c r="P68" s="165"/>
      <c r="Q68" s="165"/>
      <c r="R68" s="165"/>
      <c r="S68" s="165"/>
      <c r="T68" s="165"/>
      <c r="U68" s="165"/>
      <c r="V68" s="165"/>
      <c r="W68" s="165"/>
    </row>
    <row r="69" spans="1:23" x14ac:dyDescent="0.25">
      <c r="A69" s="1" t="str">
        <f>IF($D$9="Y",'[1]Population Definitions'!$A$6,"...")</f>
        <v>...</v>
      </c>
      <c r="B69" s="1" t="str">
        <f>IF($D$9="Y","---&gt;","...")</f>
        <v>...</v>
      </c>
      <c r="C69" s="1" t="str">
        <f>IF($D$9="Y",'[1]Population Definitions'!$A$4,"...")</f>
        <v>...</v>
      </c>
      <c r="E69" s="165"/>
      <c r="F69" s="1" t="str">
        <f>IF($D$9="Y","OR","...")</f>
        <v>...</v>
      </c>
      <c r="G69" s="165"/>
      <c r="H69" s="165"/>
      <c r="I69" s="165"/>
      <c r="J69" s="165"/>
      <c r="K69" s="165"/>
      <c r="L69" s="165"/>
      <c r="M69" s="165"/>
      <c r="N69" s="165"/>
      <c r="O69" s="165"/>
      <c r="P69" s="165"/>
      <c r="Q69" s="165"/>
      <c r="R69" s="165"/>
      <c r="S69" s="165"/>
      <c r="T69" s="165"/>
      <c r="U69" s="165"/>
      <c r="V69" s="165"/>
      <c r="W69" s="165"/>
    </row>
    <row r="70" spans="1:23" x14ac:dyDescent="0.25">
      <c r="A70" s="1" t="str">
        <f>IF($E$9="Y",'[1]Population Definitions'!$A$6,"...")</f>
        <v>...</v>
      </c>
      <c r="B70" s="1" t="str">
        <f>IF($E$9="Y","---&gt;","...")</f>
        <v>...</v>
      </c>
      <c r="C70" s="1" t="str">
        <f>IF($E$9="Y",'[1]Population Definitions'!$A$5,"...")</f>
        <v>...</v>
      </c>
      <c r="E70" s="165"/>
      <c r="F70" s="1" t="str">
        <f>IF($E$9="Y","OR","...")</f>
        <v>...</v>
      </c>
      <c r="G70" s="165"/>
      <c r="H70" s="165"/>
      <c r="I70" s="165"/>
      <c r="J70" s="165"/>
      <c r="K70" s="165"/>
      <c r="L70" s="165"/>
      <c r="M70" s="165"/>
      <c r="N70" s="165"/>
      <c r="O70" s="165"/>
      <c r="P70" s="165"/>
      <c r="Q70" s="165"/>
      <c r="R70" s="165"/>
      <c r="S70" s="165"/>
      <c r="T70" s="165"/>
      <c r="U70" s="165"/>
      <c r="V70" s="165"/>
      <c r="W70" s="165"/>
    </row>
    <row r="71" spans="1:23" x14ac:dyDescent="0.25">
      <c r="A71" s="1" t="str">
        <f>IF($F$9="Y",'[1]Population Definitions'!$A$6,"...")</f>
        <v>...</v>
      </c>
      <c r="B71" s="1" t="str">
        <f>IF($F$9="Y","---&gt;","...")</f>
        <v>...</v>
      </c>
      <c r="C71" s="1" t="str">
        <f>IF($F$9="Y",'[1]Population Definitions'!$A$6,"...")</f>
        <v>...</v>
      </c>
      <c r="E71" s="165"/>
      <c r="F71" s="1" t="str">
        <f>IF($F$9="Y","OR","...")</f>
        <v>...</v>
      </c>
      <c r="G71" s="165"/>
      <c r="H71" s="165"/>
      <c r="I71" s="165"/>
      <c r="J71" s="165"/>
      <c r="K71" s="165"/>
      <c r="L71" s="165"/>
      <c r="M71" s="165"/>
      <c r="N71" s="165"/>
      <c r="O71" s="165"/>
      <c r="P71" s="165"/>
      <c r="Q71" s="165"/>
      <c r="R71" s="165"/>
      <c r="S71" s="165"/>
      <c r="T71" s="165"/>
      <c r="U71" s="165"/>
      <c r="V71" s="165"/>
      <c r="W71" s="165"/>
    </row>
    <row r="72" spans="1:23" x14ac:dyDescent="0.25">
      <c r="A72" s="1" t="str">
        <f>IF($G$9="Y",'[1]Population Definitions'!$A$6,"...")</f>
        <v>15-64 (HIV+)</v>
      </c>
      <c r="B72" s="1" t="str">
        <f>IF($G$9="Y","---&gt;","...")</f>
        <v>---&gt;</v>
      </c>
      <c r="C72" s="1" t="str">
        <f>IF($G$9="Y",'[1]Population Definitions'!$A$7,"...")</f>
        <v>65+ (HIV+)</v>
      </c>
      <c r="D72" s="132" t="s">
        <v>163</v>
      </c>
      <c r="E72" s="165"/>
      <c r="F72" s="1" t="str">
        <f>IF($G$9="Y","OR","...")</f>
        <v>OR</v>
      </c>
      <c r="G72" s="165">
        <v>4.4859619633444582E-4</v>
      </c>
      <c r="H72" s="165">
        <v>4.6931896213419711E-4</v>
      </c>
      <c r="I72" s="165">
        <v>4.9204901790228853E-4</v>
      </c>
      <c r="J72" s="165">
        <v>5.1709285902344214E-4</v>
      </c>
      <c r="K72" s="165">
        <v>5.4482272595024104E-4</v>
      </c>
      <c r="L72" s="165">
        <v>5.246889773284E-4</v>
      </c>
      <c r="M72" s="165">
        <v>4.5042615054513769E-4</v>
      </c>
      <c r="N72" s="165">
        <v>3.9457872013928482E-4</v>
      </c>
      <c r="O72" s="165">
        <v>2.8279916406159301E-4</v>
      </c>
      <c r="P72" s="165">
        <v>2.6694632764627291E-4</v>
      </c>
      <c r="Q72" s="165">
        <v>2.5277646956030982E-4</v>
      </c>
      <c r="R72" s="165">
        <v>2.4003509470204269E-4</v>
      </c>
      <c r="S72" s="165">
        <v>2.285165576808221E-4</v>
      </c>
      <c r="T72" s="165">
        <v>2.1805287877627849E-4</v>
      </c>
      <c r="U72" s="165">
        <v>2.085054980375787E-4</v>
      </c>
      <c r="V72" s="165">
        <v>1.997591047771726E-4</v>
      </c>
      <c r="W72" s="165"/>
    </row>
    <row r="73" spans="1:23" x14ac:dyDescent="0.25">
      <c r="A73" s="1" t="str">
        <f>IF($H$9="Y",'[1]Population Definitions'!$A$6,"...")</f>
        <v>...</v>
      </c>
      <c r="B73" s="1" t="str">
        <f>IF($H$9="Y","---&gt;","...")</f>
        <v>...</v>
      </c>
      <c r="C73" s="1" t="str">
        <f>IF($H$9="Y",'[1]Population Definitions'!$A$8,"...")</f>
        <v>...</v>
      </c>
      <c r="E73" s="165"/>
      <c r="F73" s="1" t="str">
        <f>IF($H$9="Y","OR","...")</f>
        <v>...</v>
      </c>
      <c r="G73" s="165"/>
      <c r="H73" s="165"/>
      <c r="I73" s="165"/>
      <c r="J73" s="165"/>
      <c r="K73" s="165"/>
      <c r="L73" s="165"/>
      <c r="M73" s="165"/>
      <c r="N73" s="165"/>
      <c r="O73" s="165"/>
      <c r="P73" s="165"/>
      <c r="Q73" s="165"/>
      <c r="R73" s="165"/>
      <c r="S73" s="165"/>
      <c r="T73" s="165"/>
      <c r="U73" s="165"/>
      <c r="V73" s="165"/>
      <c r="W73" s="165"/>
    </row>
    <row r="74" spans="1:23" x14ac:dyDescent="0.25">
      <c r="A74" s="1" t="str">
        <f>IF($I$9="Y",'[1]Population Definitions'!$A$6,"...")</f>
        <v>...</v>
      </c>
      <c r="B74" s="1" t="str">
        <f>IF($I$9="Y","---&gt;","...")</f>
        <v>...</v>
      </c>
      <c r="C74" s="1" t="str">
        <f>IF($I$9="Y",'[1]Population Definitions'!$A$9,"...")</f>
        <v>...</v>
      </c>
      <c r="E74" s="165"/>
      <c r="F74" s="1" t="str">
        <f>IF($I$9="Y","OR","...")</f>
        <v>...</v>
      </c>
      <c r="G74" s="165"/>
      <c r="H74" s="165"/>
      <c r="I74" s="165"/>
      <c r="J74" s="165"/>
      <c r="K74" s="165"/>
      <c r="L74" s="165"/>
      <c r="M74" s="165"/>
      <c r="N74" s="165"/>
      <c r="O74" s="165"/>
      <c r="P74" s="165"/>
      <c r="Q74" s="165"/>
      <c r="R74" s="165"/>
      <c r="S74" s="165"/>
      <c r="T74" s="165"/>
      <c r="U74" s="165"/>
      <c r="V74" s="165"/>
      <c r="W74" s="165"/>
    </row>
    <row r="75" spans="1:23" x14ac:dyDescent="0.25">
      <c r="A75" s="1" t="str">
        <f>IF($J$9="Y",'[1]Population Definitions'!$A$6,"...")</f>
        <v>...</v>
      </c>
      <c r="B75" s="1" t="str">
        <f>IF($J$9="Y","---&gt;","...")</f>
        <v>...</v>
      </c>
      <c r="C75" s="1" t="str">
        <f>IF($J$9="Y",'[1]Population Definitions'!$A$10,"...")</f>
        <v>...</v>
      </c>
      <c r="E75" s="165"/>
      <c r="F75" s="1" t="str">
        <f>IF($J$9="Y","OR","...")</f>
        <v>...</v>
      </c>
      <c r="G75" s="165"/>
      <c r="H75" s="165"/>
      <c r="I75" s="165"/>
      <c r="J75" s="165"/>
      <c r="K75" s="165"/>
      <c r="L75" s="165"/>
      <c r="M75" s="165"/>
      <c r="N75" s="165"/>
      <c r="O75" s="165"/>
      <c r="P75" s="165"/>
      <c r="Q75" s="165"/>
      <c r="R75" s="165"/>
      <c r="S75" s="165"/>
      <c r="T75" s="165"/>
      <c r="U75" s="165"/>
      <c r="V75" s="165"/>
      <c r="W75" s="165"/>
    </row>
    <row r="76" spans="1:23" x14ac:dyDescent="0.25">
      <c r="A76" s="1" t="str">
        <f>IF($K$9="Y",'[1]Population Definitions'!$A$6,"...")</f>
        <v>...</v>
      </c>
      <c r="B76" s="1" t="str">
        <f>IF($K$9="Y","---&gt;","...")</f>
        <v>...</v>
      </c>
      <c r="C76" s="1" t="str">
        <f>IF($K$9="Y",'[1]Population Definitions'!$A$11,"...")</f>
        <v>...</v>
      </c>
      <c r="E76" s="165"/>
      <c r="F76" s="1" t="str">
        <f>IF($K$9="Y","OR","...")</f>
        <v>...</v>
      </c>
      <c r="G76" s="165"/>
      <c r="H76" s="165"/>
      <c r="I76" s="165"/>
      <c r="J76" s="165"/>
      <c r="K76" s="165"/>
      <c r="L76" s="165"/>
      <c r="M76" s="165"/>
      <c r="N76" s="165"/>
      <c r="O76" s="165"/>
      <c r="P76" s="165"/>
      <c r="Q76" s="165"/>
      <c r="R76" s="165"/>
      <c r="S76" s="165"/>
      <c r="T76" s="165"/>
      <c r="U76" s="165"/>
      <c r="V76" s="165"/>
      <c r="W76" s="165"/>
    </row>
    <row r="77" spans="1:23" x14ac:dyDescent="0.25">
      <c r="A77" s="1" t="str">
        <f>IF($L$9="Y",'[1]Population Definitions'!$A$6,"...")</f>
        <v>...</v>
      </c>
      <c r="B77" s="1" t="str">
        <f>IF($L$9="Y","---&gt;","...")</f>
        <v>...</v>
      </c>
      <c r="C77" s="1" t="str">
        <f>IF($L$9="Y",'[1]Population Definitions'!$A$12,"...")</f>
        <v>...</v>
      </c>
      <c r="E77" s="165"/>
      <c r="F77" s="1" t="str">
        <f>IF($L$9="Y","OR","...")</f>
        <v>...</v>
      </c>
      <c r="G77" s="165"/>
      <c r="H77" s="165"/>
      <c r="I77" s="165"/>
      <c r="J77" s="165"/>
      <c r="K77" s="165"/>
      <c r="L77" s="165"/>
      <c r="M77" s="165"/>
      <c r="N77" s="165"/>
      <c r="O77" s="165"/>
      <c r="P77" s="165"/>
      <c r="Q77" s="165"/>
      <c r="R77" s="165"/>
      <c r="S77" s="165"/>
      <c r="T77" s="165"/>
      <c r="U77" s="165"/>
      <c r="V77" s="165"/>
      <c r="W77" s="165"/>
    </row>
    <row r="78" spans="1:23" x14ac:dyDescent="0.25">
      <c r="A78" s="1" t="str">
        <f>IF($M$9="Y",'[1]Population Definitions'!$A$6,"...")</f>
        <v>...</v>
      </c>
      <c r="B78" s="1" t="str">
        <f>IF($M$9="Y","---&gt;","...")</f>
        <v>...</v>
      </c>
      <c r="C78" s="1" t="str">
        <f>IF($M$9="Y",'[1]Population Definitions'!$A$13,"...")</f>
        <v>...</v>
      </c>
      <c r="E78" s="165"/>
      <c r="F78" s="1" t="str">
        <f>IF($M$9="Y","OR","...")</f>
        <v>...</v>
      </c>
      <c r="G78" s="165"/>
      <c r="H78" s="165"/>
      <c r="I78" s="165"/>
      <c r="J78" s="165"/>
      <c r="K78" s="165"/>
      <c r="L78" s="165"/>
      <c r="M78" s="165"/>
      <c r="N78" s="165"/>
      <c r="O78" s="165"/>
      <c r="P78" s="165"/>
      <c r="Q78" s="165"/>
      <c r="R78" s="165"/>
      <c r="S78" s="165"/>
      <c r="T78" s="165"/>
      <c r="U78" s="165"/>
      <c r="V78" s="165"/>
      <c r="W78" s="165"/>
    </row>
    <row r="79" spans="1:23" x14ac:dyDescent="0.25">
      <c r="A79" s="1" t="str">
        <f>IF($B$10="Y",'[1]Population Definitions'!$A$7,"...")</f>
        <v>...</v>
      </c>
      <c r="B79" s="1" t="str">
        <f>IF($B$10="Y","---&gt;","...")</f>
        <v>...</v>
      </c>
      <c r="C79" s="1" t="str">
        <f>IF($B$10="Y",'[1]Population Definitions'!$A$2,"...")</f>
        <v>...</v>
      </c>
      <c r="E79" s="165"/>
      <c r="F79" s="1" t="str">
        <f>IF($B$10="Y","OR","...")</f>
        <v>...</v>
      </c>
      <c r="G79" s="165"/>
      <c r="H79" s="165"/>
      <c r="I79" s="165"/>
      <c r="J79" s="165"/>
      <c r="K79" s="165"/>
      <c r="L79" s="165"/>
      <c r="M79" s="165"/>
      <c r="N79" s="165"/>
      <c r="O79" s="165"/>
      <c r="P79" s="165"/>
      <c r="Q79" s="165"/>
      <c r="R79" s="165"/>
      <c r="S79" s="165"/>
      <c r="T79" s="165"/>
      <c r="U79" s="165"/>
      <c r="V79" s="165"/>
      <c r="W79" s="165"/>
    </row>
    <row r="80" spans="1:23" x14ac:dyDescent="0.25">
      <c r="A80" s="1" t="str">
        <f>IF($C$10="Y",'[1]Population Definitions'!$A$7,"...")</f>
        <v>...</v>
      </c>
      <c r="B80" s="1" t="str">
        <f>IF($C$10="Y","---&gt;","...")</f>
        <v>...</v>
      </c>
      <c r="C80" s="1" t="str">
        <f>IF($C$10="Y",'[1]Population Definitions'!$A$3,"...")</f>
        <v>...</v>
      </c>
      <c r="E80" s="165"/>
      <c r="F80" s="1" t="str">
        <f>IF($C$10="Y","OR","...")</f>
        <v>...</v>
      </c>
      <c r="G80" s="165"/>
      <c r="H80" s="165"/>
      <c r="I80" s="165"/>
      <c r="J80" s="165"/>
      <c r="K80" s="165"/>
      <c r="L80" s="165"/>
      <c r="M80" s="165"/>
      <c r="N80" s="165"/>
      <c r="O80" s="165"/>
      <c r="P80" s="165"/>
      <c r="Q80" s="165"/>
      <c r="R80" s="165"/>
      <c r="S80" s="165"/>
      <c r="T80" s="165"/>
      <c r="U80" s="165"/>
      <c r="V80" s="165"/>
      <c r="W80" s="165"/>
    </row>
    <row r="81" spans="1:23" x14ac:dyDescent="0.25">
      <c r="A81" s="1" t="str">
        <f>IF($D$10="Y",'[1]Population Definitions'!$A$7,"...")</f>
        <v>...</v>
      </c>
      <c r="B81" s="1" t="str">
        <f>IF($D$10="Y","---&gt;","...")</f>
        <v>...</v>
      </c>
      <c r="C81" s="1" t="str">
        <f>IF($D$10="Y",'[1]Population Definitions'!$A$4,"...")</f>
        <v>...</v>
      </c>
      <c r="E81" s="165"/>
      <c r="F81" s="1" t="str">
        <f>IF($D$10="Y","OR","...")</f>
        <v>...</v>
      </c>
      <c r="G81" s="165"/>
      <c r="H81" s="165"/>
      <c r="I81" s="165"/>
      <c r="J81" s="165"/>
      <c r="K81" s="165"/>
      <c r="L81" s="165"/>
      <c r="M81" s="165"/>
      <c r="N81" s="165"/>
      <c r="O81" s="165"/>
      <c r="P81" s="165"/>
      <c r="Q81" s="165"/>
      <c r="R81" s="165"/>
      <c r="S81" s="165"/>
      <c r="T81" s="165"/>
      <c r="U81" s="165"/>
      <c r="V81" s="165"/>
      <c r="W81" s="165"/>
    </row>
    <row r="82" spans="1:23" x14ac:dyDescent="0.25">
      <c r="A82" s="1" t="str">
        <f>IF($E$10="Y",'[1]Population Definitions'!$A$7,"...")</f>
        <v>...</v>
      </c>
      <c r="B82" s="1" t="str">
        <f>IF($E$10="Y","---&gt;","...")</f>
        <v>...</v>
      </c>
      <c r="C82" s="1" t="str">
        <f>IF($E$10="Y",'[1]Population Definitions'!$A$5,"...")</f>
        <v>...</v>
      </c>
      <c r="E82" s="165"/>
      <c r="F82" s="1" t="str">
        <f>IF($E$10="Y","OR","...")</f>
        <v>...</v>
      </c>
      <c r="G82" s="165"/>
      <c r="H82" s="165"/>
      <c r="I82" s="165"/>
      <c r="J82" s="165"/>
      <c r="K82" s="165"/>
      <c r="L82" s="165"/>
      <c r="M82" s="165"/>
      <c r="N82" s="165"/>
      <c r="O82" s="165"/>
      <c r="P82" s="165"/>
      <c r="Q82" s="165"/>
      <c r="R82" s="165"/>
      <c r="S82" s="165"/>
      <c r="T82" s="165"/>
      <c r="U82" s="165"/>
      <c r="V82" s="165"/>
      <c r="W82" s="165"/>
    </row>
    <row r="83" spans="1:23" x14ac:dyDescent="0.25">
      <c r="A83" s="1" t="str">
        <f>IF($F$10="Y",'[1]Population Definitions'!$A$7,"...")</f>
        <v>...</v>
      </c>
      <c r="B83" s="1" t="str">
        <f>IF($F$10="Y","---&gt;","...")</f>
        <v>...</v>
      </c>
      <c r="C83" s="1" t="str">
        <f>IF($F$10="Y",'[1]Population Definitions'!$A$6,"...")</f>
        <v>...</v>
      </c>
      <c r="E83" s="165"/>
      <c r="F83" s="1" t="str">
        <f>IF($F$10="Y","OR","...")</f>
        <v>...</v>
      </c>
      <c r="G83" s="165"/>
      <c r="H83" s="165"/>
      <c r="I83" s="165"/>
      <c r="J83" s="165"/>
      <c r="K83" s="165"/>
      <c r="L83" s="165"/>
      <c r="M83" s="165"/>
      <c r="N83" s="165"/>
      <c r="O83" s="165"/>
      <c r="P83" s="165"/>
      <c r="Q83" s="165"/>
      <c r="R83" s="165"/>
      <c r="S83" s="165"/>
      <c r="T83" s="165"/>
      <c r="U83" s="165"/>
      <c r="V83" s="165"/>
      <c r="W83" s="165"/>
    </row>
    <row r="84" spans="1:23" x14ac:dyDescent="0.25">
      <c r="A84" s="1" t="str">
        <f>IF($G$10="Y",'[1]Population Definitions'!$A$7,"...")</f>
        <v>...</v>
      </c>
      <c r="B84" s="1" t="str">
        <f>IF($G$10="Y","---&gt;","...")</f>
        <v>...</v>
      </c>
      <c r="C84" s="1" t="str">
        <f>IF($G$10="Y",'[1]Population Definitions'!$A$7,"...")</f>
        <v>...</v>
      </c>
      <c r="E84" s="165"/>
      <c r="F84" s="1" t="str">
        <f>IF($G$10="Y","OR","...")</f>
        <v>...</v>
      </c>
      <c r="G84" s="165"/>
      <c r="H84" s="165"/>
      <c r="I84" s="165"/>
      <c r="J84" s="165"/>
      <c r="K84" s="165"/>
      <c r="L84" s="165"/>
      <c r="M84" s="165"/>
      <c r="N84" s="165"/>
      <c r="O84" s="165"/>
      <c r="P84" s="165"/>
      <c r="Q84" s="165"/>
      <c r="R84" s="165"/>
      <c r="S84" s="165"/>
      <c r="T84" s="165"/>
      <c r="U84" s="165"/>
      <c r="V84" s="165"/>
      <c r="W84" s="165"/>
    </row>
    <row r="85" spans="1:23" x14ac:dyDescent="0.25">
      <c r="A85" s="1" t="str">
        <f>IF($H$10="Y",'[1]Population Definitions'!$A$7,"...")</f>
        <v>...</v>
      </c>
      <c r="B85" s="1" t="str">
        <f>IF($H$10="Y","---&gt;","...")</f>
        <v>...</v>
      </c>
      <c r="C85" s="1" t="str">
        <f>IF($H$10="Y",'[1]Population Definitions'!$A$8,"...")</f>
        <v>...</v>
      </c>
      <c r="E85" s="165"/>
      <c r="F85" s="1" t="str">
        <f>IF($H$10="Y","OR","...")</f>
        <v>...</v>
      </c>
      <c r="G85" s="165"/>
      <c r="H85" s="165"/>
      <c r="I85" s="165"/>
      <c r="J85" s="165"/>
      <c r="K85" s="165"/>
      <c r="L85" s="165"/>
      <c r="M85" s="165"/>
      <c r="N85" s="165"/>
      <c r="O85" s="165"/>
      <c r="P85" s="165"/>
      <c r="Q85" s="165"/>
      <c r="R85" s="165"/>
      <c r="S85" s="165"/>
      <c r="T85" s="165"/>
      <c r="U85" s="165"/>
      <c r="V85" s="165"/>
      <c r="W85" s="165"/>
    </row>
    <row r="86" spans="1:23" x14ac:dyDescent="0.25">
      <c r="A86" s="1" t="str">
        <f>IF($I$10="Y",'[1]Population Definitions'!$A$7,"...")</f>
        <v>...</v>
      </c>
      <c r="B86" s="1" t="str">
        <f>IF($I$10="Y","---&gt;","...")</f>
        <v>...</v>
      </c>
      <c r="C86" s="1" t="str">
        <f>IF($I$10="Y",'[1]Population Definitions'!$A$9,"...")</f>
        <v>...</v>
      </c>
      <c r="E86" s="165"/>
      <c r="F86" s="1" t="str">
        <f>IF($I$10="Y","OR","...")</f>
        <v>...</v>
      </c>
      <c r="G86" s="165"/>
      <c r="H86" s="165"/>
      <c r="I86" s="165"/>
      <c r="J86" s="165"/>
      <c r="K86" s="165"/>
      <c r="L86" s="165"/>
      <c r="M86" s="165"/>
      <c r="N86" s="165"/>
      <c r="O86" s="165"/>
      <c r="P86" s="165"/>
      <c r="Q86" s="165"/>
      <c r="R86" s="165"/>
      <c r="S86" s="165"/>
      <c r="T86" s="165"/>
      <c r="U86" s="165"/>
      <c r="V86" s="165"/>
      <c r="W86" s="165"/>
    </row>
    <row r="87" spans="1:23" x14ac:dyDescent="0.25">
      <c r="A87" s="1" t="str">
        <f>IF($J$10="Y",'[1]Population Definitions'!$A$7,"...")</f>
        <v>...</v>
      </c>
      <c r="B87" s="1" t="str">
        <f>IF($J$10="Y","---&gt;","...")</f>
        <v>...</v>
      </c>
      <c r="C87" s="1" t="str">
        <f>IF($J$10="Y",'[1]Population Definitions'!$A$10,"...")</f>
        <v>...</v>
      </c>
      <c r="E87" s="165"/>
      <c r="F87" s="1" t="str">
        <f>IF($J$10="Y","OR","...")</f>
        <v>...</v>
      </c>
      <c r="G87" s="165"/>
      <c r="H87" s="165"/>
      <c r="I87" s="165"/>
      <c r="J87" s="165"/>
      <c r="K87" s="165"/>
      <c r="L87" s="165"/>
      <c r="M87" s="165"/>
      <c r="N87" s="165"/>
      <c r="O87" s="165"/>
      <c r="P87" s="165"/>
      <c r="Q87" s="165"/>
      <c r="R87" s="165"/>
      <c r="S87" s="165"/>
      <c r="T87" s="165"/>
      <c r="U87" s="165"/>
      <c r="V87" s="165"/>
      <c r="W87" s="165"/>
    </row>
    <row r="88" spans="1:23" x14ac:dyDescent="0.25">
      <c r="A88" s="1" t="str">
        <f>IF($K$10="Y",'[1]Population Definitions'!$A$7,"...")</f>
        <v>...</v>
      </c>
      <c r="B88" s="1" t="str">
        <f>IF($K$10="Y","---&gt;","...")</f>
        <v>...</v>
      </c>
      <c r="C88" s="1" t="str">
        <f>IF($K$10="Y",'[1]Population Definitions'!$A$11,"...")</f>
        <v>...</v>
      </c>
      <c r="E88" s="165"/>
      <c r="F88" s="1" t="str">
        <f>IF($K$10="Y","OR","...")</f>
        <v>...</v>
      </c>
      <c r="G88" s="165"/>
      <c r="H88" s="165"/>
      <c r="I88" s="165"/>
      <c r="J88" s="165"/>
      <c r="K88" s="165"/>
      <c r="L88" s="165"/>
      <c r="M88" s="165"/>
      <c r="N88" s="165"/>
      <c r="O88" s="165"/>
      <c r="P88" s="165"/>
      <c r="Q88" s="165"/>
      <c r="R88" s="165"/>
      <c r="S88" s="165"/>
      <c r="T88" s="165"/>
      <c r="U88" s="165"/>
      <c r="V88" s="165"/>
      <c r="W88" s="165"/>
    </row>
    <row r="89" spans="1:23" x14ac:dyDescent="0.25">
      <c r="A89" s="1" t="str">
        <f>IF($L$10="Y",'[1]Population Definitions'!$A$7,"...")</f>
        <v>...</v>
      </c>
      <c r="B89" s="1" t="str">
        <f>IF($L$10="Y","---&gt;","...")</f>
        <v>...</v>
      </c>
      <c r="C89" s="1" t="str">
        <f>IF($L$10="Y",'[1]Population Definitions'!$A$12,"...")</f>
        <v>...</v>
      </c>
      <c r="E89" s="165"/>
      <c r="F89" s="1" t="str">
        <f>IF($L$10="Y","OR","...")</f>
        <v>...</v>
      </c>
      <c r="G89" s="165"/>
      <c r="H89" s="165"/>
      <c r="I89" s="165"/>
      <c r="J89" s="165"/>
      <c r="K89" s="165"/>
      <c r="L89" s="165"/>
      <c r="M89" s="165"/>
      <c r="N89" s="165"/>
      <c r="O89" s="165"/>
      <c r="P89" s="165"/>
      <c r="Q89" s="165"/>
      <c r="R89" s="165"/>
      <c r="S89" s="165"/>
      <c r="T89" s="165"/>
      <c r="U89" s="165"/>
      <c r="V89" s="165"/>
      <c r="W89" s="165"/>
    </row>
    <row r="90" spans="1:23" x14ac:dyDescent="0.25">
      <c r="A90" s="1" t="str">
        <f>IF($M$10="Y",'[1]Population Definitions'!$A$7,"...")</f>
        <v>...</v>
      </c>
      <c r="B90" s="1" t="str">
        <f>IF($M$10="Y","---&gt;","...")</f>
        <v>...</v>
      </c>
      <c r="C90" s="1" t="str">
        <f>IF($M$10="Y",'[1]Population Definitions'!$A$13,"...")</f>
        <v>...</v>
      </c>
      <c r="E90" s="165"/>
      <c r="F90" s="1" t="str">
        <f>IF($M$10="Y","OR","...")</f>
        <v>...</v>
      </c>
      <c r="G90" s="165"/>
      <c r="H90" s="165"/>
      <c r="I90" s="165"/>
      <c r="J90" s="165"/>
      <c r="K90" s="165"/>
      <c r="L90" s="165"/>
      <c r="M90" s="165"/>
      <c r="N90" s="165"/>
      <c r="O90" s="165"/>
      <c r="P90" s="165"/>
      <c r="Q90" s="165"/>
      <c r="R90" s="165"/>
      <c r="S90" s="165"/>
      <c r="T90" s="165"/>
      <c r="U90" s="165"/>
      <c r="V90" s="165"/>
      <c r="W90" s="165"/>
    </row>
    <row r="91" spans="1:23" x14ac:dyDescent="0.25">
      <c r="A91" s="1" t="str">
        <f>IF($B$11="Y",'[1]Population Definitions'!$A$8,"...")</f>
        <v>...</v>
      </c>
      <c r="B91" s="1" t="str">
        <f>IF($B$11="Y","---&gt;","...")</f>
        <v>...</v>
      </c>
      <c r="C91" s="1" t="str">
        <f>IF($B$11="Y",'[1]Population Definitions'!$A$2,"...")</f>
        <v>...</v>
      </c>
      <c r="E91" s="165"/>
      <c r="F91" s="1" t="str">
        <f>IF($B$11="Y","OR","...")</f>
        <v>...</v>
      </c>
      <c r="G91" s="165"/>
      <c r="H91" s="165"/>
      <c r="I91" s="165"/>
      <c r="J91" s="165"/>
      <c r="K91" s="165"/>
      <c r="L91" s="165"/>
      <c r="M91" s="165"/>
      <c r="N91" s="165"/>
      <c r="O91" s="165"/>
      <c r="P91" s="165"/>
      <c r="Q91" s="165"/>
      <c r="R91" s="165"/>
      <c r="S91" s="165"/>
      <c r="T91" s="165"/>
      <c r="U91" s="165"/>
      <c r="V91" s="165"/>
      <c r="W91" s="165"/>
    </row>
    <row r="92" spans="1:23" x14ac:dyDescent="0.25">
      <c r="A92" s="1" t="str">
        <f>IF($C$11="Y",'[1]Population Definitions'!$A$8,"...")</f>
        <v>...</v>
      </c>
      <c r="B92" s="1" t="str">
        <f>IF($C$11="Y","---&gt;","...")</f>
        <v>...</v>
      </c>
      <c r="C92" s="1" t="str">
        <f>IF($C$11="Y",'[1]Population Definitions'!$A$3,"...")</f>
        <v>...</v>
      </c>
      <c r="E92" s="165"/>
      <c r="F92" s="1" t="str">
        <f>IF($C$11="Y","OR","...")</f>
        <v>...</v>
      </c>
      <c r="G92" s="165"/>
      <c r="H92" s="165"/>
      <c r="I92" s="165"/>
      <c r="J92" s="165"/>
      <c r="K92" s="165"/>
      <c r="L92" s="165"/>
      <c r="M92" s="165"/>
      <c r="N92" s="165"/>
      <c r="O92" s="165"/>
      <c r="P92" s="165"/>
      <c r="Q92" s="165"/>
      <c r="R92" s="165"/>
      <c r="S92" s="165"/>
      <c r="T92" s="165"/>
      <c r="U92" s="165"/>
      <c r="V92" s="165"/>
      <c r="W92" s="165"/>
    </row>
    <row r="93" spans="1:23" x14ac:dyDescent="0.25">
      <c r="A93" s="1" t="str">
        <f>IF($D$11="Y",'[1]Population Definitions'!$A$8,"...")</f>
        <v>...</v>
      </c>
      <c r="B93" s="1" t="str">
        <f>IF($D$11="Y","---&gt;","...")</f>
        <v>...</v>
      </c>
      <c r="C93" s="1" t="str">
        <f>IF($D$11="Y",'[1]Population Definitions'!$A$4,"...")</f>
        <v>...</v>
      </c>
      <c r="E93" s="165"/>
      <c r="F93" s="1" t="str">
        <f>IF($D$11="Y","OR","...")</f>
        <v>...</v>
      </c>
      <c r="G93" s="165"/>
      <c r="H93" s="165"/>
      <c r="I93" s="165"/>
      <c r="J93" s="165"/>
      <c r="K93" s="165"/>
      <c r="L93" s="165"/>
      <c r="M93" s="165"/>
      <c r="N93" s="165"/>
      <c r="O93" s="165"/>
      <c r="P93" s="165"/>
      <c r="Q93" s="165"/>
      <c r="R93" s="165"/>
      <c r="S93" s="165"/>
      <c r="T93" s="165"/>
      <c r="U93" s="165"/>
      <c r="V93" s="165"/>
      <c r="W93" s="165"/>
    </row>
    <row r="94" spans="1:23" x14ac:dyDescent="0.25">
      <c r="A94" s="1" t="str">
        <f>IF($E$11="Y",'[1]Population Definitions'!$A$8,"...")</f>
        <v>...</v>
      </c>
      <c r="B94" s="1" t="str">
        <f>IF($E$11="Y","---&gt;","...")</f>
        <v>...</v>
      </c>
      <c r="C94" s="1" t="str">
        <f>IF($E$11="Y",'[1]Population Definitions'!$A$5,"...")</f>
        <v>...</v>
      </c>
      <c r="E94" s="165"/>
      <c r="F94" s="1" t="str">
        <f>IF($E$11="Y","OR","...")</f>
        <v>...</v>
      </c>
      <c r="G94" s="165"/>
      <c r="H94" s="165"/>
      <c r="I94" s="165"/>
      <c r="J94" s="165"/>
      <c r="K94" s="165"/>
      <c r="L94" s="165"/>
      <c r="M94" s="165"/>
      <c r="N94" s="165"/>
      <c r="O94" s="165"/>
      <c r="P94" s="165"/>
      <c r="Q94" s="165"/>
      <c r="R94" s="165"/>
      <c r="S94" s="165"/>
      <c r="T94" s="165"/>
      <c r="U94" s="165"/>
      <c r="V94" s="165"/>
      <c r="W94" s="165"/>
    </row>
    <row r="95" spans="1:23" x14ac:dyDescent="0.25">
      <c r="A95" s="1" t="str">
        <f>IF($F$11="Y",'[1]Population Definitions'!$A$8,"...")</f>
        <v>...</v>
      </c>
      <c r="B95" s="1" t="str">
        <f>IF($F$11="Y","---&gt;","...")</f>
        <v>...</v>
      </c>
      <c r="C95" s="1" t="str">
        <f>IF($F$11="Y",'[1]Population Definitions'!$A$6,"...")</f>
        <v>...</v>
      </c>
      <c r="E95" s="165"/>
      <c r="F95" s="1" t="str">
        <f>IF($F$11="Y","OR","...")</f>
        <v>...</v>
      </c>
      <c r="G95" s="165"/>
      <c r="H95" s="165"/>
      <c r="I95" s="165"/>
      <c r="J95" s="165"/>
      <c r="K95" s="165"/>
      <c r="L95" s="165"/>
      <c r="M95" s="165"/>
      <c r="N95" s="165"/>
      <c r="O95" s="165"/>
      <c r="P95" s="165"/>
      <c r="Q95" s="165"/>
      <c r="R95" s="165"/>
      <c r="S95" s="165"/>
      <c r="T95" s="165"/>
      <c r="U95" s="165"/>
      <c r="V95" s="165"/>
      <c r="W95" s="165"/>
    </row>
    <row r="96" spans="1:23" x14ac:dyDescent="0.25">
      <c r="A96" s="1" t="str">
        <f>IF($G$11="Y",'[1]Population Definitions'!$A$8,"...")</f>
        <v>...</v>
      </c>
      <c r="B96" s="1" t="str">
        <f>IF($G$11="Y","---&gt;","...")</f>
        <v>...</v>
      </c>
      <c r="C96" s="1" t="str">
        <f>IF($G$11="Y",'[1]Population Definitions'!$A$7,"...")</f>
        <v>...</v>
      </c>
      <c r="E96" s="165"/>
      <c r="F96" s="1" t="str">
        <f>IF($G$11="Y","OR","...")</f>
        <v>...</v>
      </c>
      <c r="G96" s="165"/>
      <c r="H96" s="165"/>
      <c r="I96" s="165"/>
      <c r="J96" s="165"/>
      <c r="K96" s="165"/>
      <c r="L96" s="165"/>
      <c r="M96" s="165"/>
      <c r="N96" s="165"/>
      <c r="O96" s="165"/>
      <c r="P96" s="165"/>
      <c r="Q96" s="165"/>
      <c r="R96" s="165"/>
      <c r="S96" s="165"/>
      <c r="T96" s="165"/>
      <c r="U96" s="165"/>
      <c r="V96" s="165"/>
      <c r="W96" s="165"/>
    </row>
    <row r="97" spans="1:23" x14ac:dyDescent="0.25">
      <c r="A97" s="1" t="str">
        <f>IF($H$11="Y",'[1]Population Definitions'!$A$8,"...")</f>
        <v>...</v>
      </c>
      <c r="B97" s="1" t="str">
        <f>IF($H$11="Y","---&gt;","...")</f>
        <v>...</v>
      </c>
      <c r="C97" s="1" t="str">
        <f>IF($H$11="Y",'[1]Population Definitions'!$A$8,"...")</f>
        <v>...</v>
      </c>
      <c r="E97" s="165"/>
      <c r="F97" s="1" t="str">
        <f>IF($H$11="Y","OR","...")</f>
        <v>...</v>
      </c>
      <c r="G97" s="165"/>
      <c r="H97" s="165"/>
      <c r="I97" s="165"/>
      <c r="J97" s="165"/>
      <c r="K97" s="165"/>
      <c r="L97" s="165"/>
      <c r="M97" s="165"/>
      <c r="N97" s="165"/>
      <c r="O97" s="165"/>
      <c r="P97" s="165"/>
      <c r="Q97" s="165"/>
      <c r="R97" s="165"/>
      <c r="S97" s="165"/>
      <c r="T97" s="165"/>
      <c r="U97" s="165"/>
      <c r="V97" s="165"/>
      <c r="W97" s="165"/>
    </row>
    <row r="98" spans="1:23" x14ac:dyDescent="0.25">
      <c r="A98" s="1" t="str">
        <f>IF($I$11="Y",'[1]Population Definitions'!$A$8,"...")</f>
        <v>...</v>
      </c>
      <c r="B98" s="1" t="str">
        <f>IF($I$11="Y","---&gt;","...")</f>
        <v>...</v>
      </c>
      <c r="C98" s="1" t="str">
        <f>IF($I$11="Y",'[1]Population Definitions'!$A$9,"...")</f>
        <v>...</v>
      </c>
      <c r="E98" s="165"/>
      <c r="F98" s="1" t="str">
        <f>IF($I$11="Y","OR","...")</f>
        <v>...</v>
      </c>
      <c r="G98" s="165"/>
      <c r="H98" s="165"/>
      <c r="I98" s="165"/>
      <c r="J98" s="165"/>
      <c r="K98" s="165"/>
      <c r="L98" s="165"/>
      <c r="M98" s="165"/>
      <c r="N98" s="165"/>
      <c r="O98" s="165"/>
      <c r="P98" s="165"/>
      <c r="Q98" s="165"/>
      <c r="R98" s="165"/>
      <c r="S98" s="165"/>
      <c r="T98" s="165"/>
      <c r="U98" s="165"/>
      <c r="V98" s="165"/>
      <c r="W98" s="165"/>
    </row>
    <row r="99" spans="1:23" x14ac:dyDescent="0.25">
      <c r="A99" s="1" t="str">
        <f>IF($J$11="Y",'[1]Population Definitions'!$A$8,"...")</f>
        <v>...</v>
      </c>
      <c r="B99" s="1" t="str">
        <f>IF($J$11="Y","---&gt;","...")</f>
        <v>...</v>
      </c>
      <c r="C99" s="1" t="str">
        <f>IF($J$11="Y",'[1]Population Definitions'!$A$10,"...")</f>
        <v>...</v>
      </c>
      <c r="E99" s="165"/>
      <c r="F99" s="1" t="str">
        <f>IF($J$11="Y","OR","...")</f>
        <v>...</v>
      </c>
      <c r="G99" s="165"/>
      <c r="H99" s="165"/>
      <c r="I99" s="165"/>
      <c r="J99" s="165"/>
      <c r="K99" s="165"/>
      <c r="L99" s="165"/>
      <c r="M99" s="165"/>
      <c r="N99" s="165"/>
      <c r="O99" s="165"/>
      <c r="P99" s="165"/>
      <c r="Q99" s="165"/>
      <c r="R99" s="165"/>
      <c r="S99" s="165"/>
      <c r="T99" s="165"/>
      <c r="U99" s="165"/>
      <c r="V99" s="165"/>
      <c r="W99" s="165"/>
    </row>
    <row r="100" spans="1:23" x14ac:dyDescent="0.25">
      <c r="A100" s="1" t="str">
        <f>IF($K$11="Y",'[1]Population Definitions'!$A$8,"...")</f>
        <v>...</v>
      </c>
      <c r="B100" s="1" t="str">
        <f>IF($K$11="Y","---&gt;","...")</f>
        <v>...</v>
      </c>
      <c r="C100" s="1" t="str">
        <f>IF($K$11="Y",'[1]Population Definitions'!$A$11,"...")</f>
        <v>...</v>
      </c>
      <c r="E100" s="165"/>
      <c r="F100" s="1" t="str">
        <f>IF($K$11="Y","OR","...")</f>
        <v>...</v>
      </c>
      <c r="G100" s="165"/>
      <c r="H100" s="165"/>
      <c r="I100" s="165"/>
      <c r="J100" s="165"/>
      <c r="K100" s="165"/>
      <c r="L100" s="165"/>
      <c r="M100" s="165"/>
      <c r="N100" s="165"/>
      <c r="O100" s="165"/>
      <c r="P100" s="165"/>
      <c r="Q100" s="165"/>
      <c r="R100" s="165"/>
      <c r="S100" s="165"/>
      <c r="T100" s="165"/>
      <c r="U100" s="165"/>
      <c r="V100" s="165"/>
      <c r="W100" s="165"/>
    </row>
    <row r="101" spans="1:23" x14ac:dyDescent="0.25">
      <c r="A101" s="1" t="str">
        <f>IF($L$11="Y",'[1]Population Definitions'!$A$8,"...")</f>
        <v>...</v>
      </c>
      <c r="B101" s="1" t="str">
        <f>IF($L$11="Y","---&gt;","...")</f>
        <v>...</v>
      </c>
      <c r="C101" s="1" t="str">
        <f>IF($L$11="Y",'[1]Population Definitions'!$A$12,"...")</f>
        <v>...</v>
      </c>
      <c r="E101" s="165"/>
      <c r="F101" s="1" t="str">
        <f>IF($L$11="Y","OR","...")</f>
        <v>...</v>
      </c>
      <c r="G101" s="165"/>
      <c r="H101" s="165"/>
      <c r="I101" s="165"/>
      <c r="J101" s="165"/>
      <c r="K101" s="165"/>
      <c r="L101" s="165"/>
      <c r="M101" s="165"/>
      <c r="N101" s="165"/>
      <c r="O101" s="165"/>
      <c r="P101" s="165"/>
      <c r="Q101" s="165"/>
      <c r="R101" s="165"/>
      <c r="S101" s="165"/>
      <c r="T101" s="165"/>
      <c r="U101" s="165"/>
      <c r="V101" s="165"/>
      <c r="W101" s="165"/>
    </row>
    <row r="102" spans="1:23" x14ac:dyDescent="0.25">
      <c r="A102" s="1" t="str">
        <f>IF($M$11="Y",'[1]Population Definitions'!$A$8,"...")</f>
        <v>...</v>
      </c>
      <c r="B102" s="1" t="str">
        <f>IF($M$11="Y","---&gt;","...")</f>
        <v>...</v>
      </c>
      <c r="C102" s="1" t="str">
        <f>IF($M$11="Y",'[1]Population Definitions'!$A$13,"...")</f>
        <v>...</v>
      </c>
      <c r="E102" s="165"/>
      <c r="F102" s="1" t="str">
        <f>IF($M$11="Y","OR","...")</f>
        <v>...</v>
      </c>
      <c r="G102" s="165"/>
      <c r="H102" s="165"/>
      <c r="I102" s="165"/>
      <c r="J102" s="165"/>
      <c r="K102" s="165"/>
      <c r="L102" s="165"/>
      <c r="M102" s="165"/>
      <c r="N102" s="165"/>
      <c r="O102" s="165"/>
      <c r="P102" s="165"/>
      <c r="Q102" s="165"/>
      <c r="R102" s="165"/>
      <c r="S102" s="165"/>
      <c r="T102" s="165"/>
      <c r="U102" s="165"/>
      <c r="V102" s="165"/>
      <c r="W102" s="165"/>
    </row>
    <row r="103" spans="1:23" x14ac:dyDescent="0.25">
      <c r="A103" s="1" t="str">
        <f>IF($B$12="Y",'[1]Population Definitions'!$A$9,"...")</f>
        <v>...</v>
      </c>
      <c r="B103" s="1" t="str">
        <f>IF($B$12="Y","---&gt;","...")</f>
        <v>...</v>
      </c>
      <c r="C103" s="1" t="str">
        <f>IF($B$12="Y",'[1]Population Definitions'!$A$2,"...")</f>
        <v>...</v>
      </c>
      <c r="E103" s="165"/>
      <c r="F103" s="1" t="str">
        <f>IF($B$12="Y","OR","...")</f>
        <v>...</v>
      </c>
      <c r="G103" s="165"/>
      <c r="H103" s="165"/>
      <c r="I103" s="165"/>
      <c r="J103" s="165"/>
      <c r="K103" s="165"/>
      <c r="L103" s="165"/>
      <c r="M103" s="165"/>
      <c r="N103" s="165"/>
      <c r="O103" s="165"/>
      <c r="P103" s="165"/>
      <c r="Q103" s="165"/>
      <c r="R103" s="165"/>
      <c r="S103" s="165"/>
      <c r="T103" s="165"/>
      <c r="U103" s="165"/>
      <c r="V103" s="165"/>
      <c r="W103" s="165"/>
    </row>
    <row r="104" spans="1:23" x14ac:dyDescent="0.25">
      <c r="A104" s="1" t="str">
        <f>IF($C$12="Y",'[1]Population Definitions'!$A$9,"...")</f>
        <v>...</v>
      </c>
      <c r="B104" s="1" t="str">
        <f>IF($C$12="Y","---&gt;","...")</f>
        <v>...</v>
      </c>
      <c r="C104" s="1" t="str">
        <f>IF($C$12="Y",'[1]Population Definitions'!$A$3,"...")</f>
        <v>...</v>
      </c>
      <c r="E104" s="165"/>
      <c r="F104" s="1" t="str">
        <f>IF($C$12="Y","OR","...")</f>
        <v>...</v>
      </c>
      <c r="G104" s="165"/>
      <c r="H104" s="165"/>
      <c r="I104" s="165"/>
      <c r="J104" s="165"/>
      <c r="K104" s="165"/>
      <c r="L104" s="165"/>
      <c r="M104" s="165"/>
      <c r="N104" s="165"/>
      <c r="O104" s="165"/>
      <c r="P104" s="165"/>
      <c r="Q104" s="165"/>
      <c r="R104" s="165"/>
      <c r="S104" s="165"/>
      <c r="T104" s="165"/>
      <c r="U104" s="165"/>
      <c r="V104" s="165"/>
      <c r="W104" s="165"/>
    </row>
    <row r="105" spans="1:23" x14ac:dyDescent="0.25">
      <c r="A105" s="1" t="str">
        <f>IF($D$12="Y",'[1]Population Definitions'!$A$9,"...")</f>
        <v>...</v>
      </c>
      <c r="B105" s="1" t="str">
        <f>IF($D$12="Y","---&gt;","...")</f>
        <v>...</v>
      </c>
      <c r="C105" s="1" t="str">
        <f>IF($D$12="Y",'[1]Population Definitions'!$A$4,"...")</f>
        <v>...</v>
      </c>
      <c r="E105" s="165"/>
      <c r="F105" s="1" t="str">
        <f>IF($D$12="Y","OR","...")</f>
        <v>...</v>
      </c>
      <c r="G105" s="165"/>
      <c r="H105" s="165"/>
      <c r="I105" s="165"/>
      <c r="J105" s="165"/>
      <c r="K105" s="165"/>
      <c r="L105" s="165"/>
      <c r="M105" s="165"/>
      <c r="N105" s="165"/>
      <c r="O105" s="165"/>
      <c r="P105" s="165"/>
      <c r="Q105" s="165"/>
      <c r="R105" s="165"/>
      <c r="S105" s="165"/>
      <c r="T105" s="165"/>
      <c r="U105" s="165"/>
      <c r="V105" s="165"/>
      <c r="W105" s="165"/>
    </row>
    <row r="106" spans="1:23" x14ac:dyDescent="0.25">
      <c r="A106" s="1" t="str">
        <f>IF($E$12="Y",'[1]Population Definitions'!$A$9,"...")</f>
        <v>...</v>
      </c>
      <c r="B106" s="1" t="str">
        <f>IF($E$12="Y","---&gt;","...")</f>
        <v>...</v>
      </c>
      <c r="C106" s="1" t="str">
        <f>IF($E$12="Y",'[1]Population Definitions'!$A$5,"...")</f>
        <v>...</v>
      </c>
      <c r="E106" s="165"/>
      <c r="F106" s="1" t="str">
        <f>IF($E$12="Y","OR","...")</f>
        <v>...</v>
      </c>
      <c r="G106" s="165"/>
      <c r="H106" s="165"/>
      <c r="I106" s="165"/>
      <c r="J106" s="165"/>
      <c r="K106" s="165"/>
      <c r="L106" s="165"/>
      <c r="M106" s="165"/>
      <c r="N106" s="165"/>
      <c r="O106" s="165"/>
      <c r="P106" s="165"/>
      <c r="Q106" s="165"/>
      <c r="R106" s="165"/>
      <c r="S106" s="165"/>
      <c r="T106" s="165"/>
      <c r="U106" s="165"/>
      <c r="V106" s="165"/>
      <c r="W106" s="165"/>
    </row>
    <row r="107" spans="1:23" x14ac:dyDescent="0.25">
      <c r="A107" s="1" t="str">
        <f>IF($F$12="Y",'[1]Population Definitions'!$A$9,"...")</f>
        <v>...</v>
      </c>
      <c r="B107" s="1" t="str">
        <f>IF($F$12="Y","---&gt;","...")</f>
        <v>...</v>
      </c>
      <c r="C107" s="1" t="str">
        <f>IF($F$12="Y",'[1]Population Definitions'!$A$6,"...")</f>
        <v>...</v>
      </c>
      <c r="E107" s="165"/>
      <c r="F107" s="1" t="str">
        <f>IF($F$12="Y","OR","...")</f>
        <v>...</v>
      </c>
      <c r="G107" s="165"/>
      <c r="H107" s="165"/>
      <c r="I107" s="165"/>
      <c r="J107" s="165"/>
      <c r="K107" s="165"/>
      <c r="L107" s="165"/>
      <c r="M107" s="165"/>
      <c r="N107" s="165"/>
      <c r="O107" s="165"/>
      <c r="P107" s="165"/>
      <c r="Q107" s="165"/>
      <c r="R107" s="165"/>
      <c r="S107" s="165"/>
      <c r="T107" s="165"/>
      <c r="U107" s="165"/>
      <c r="V107" s="165"/>
      <c r="W107" s="165"/>
    </row>
    <row r="108" spans="1:23" x14ac:dyDescent="0.25">
      <c r="A108" s="1" t="str">
        <f>IF($G$12="Y",'[1]Population Definitions'!$A$9,"...")</f>
        <v>...</v>
      </c>
      <c r="B108" s="1" t="str">
        <f>IF($G$12="Y","---&gt;","...")</f>
        <v>...</v>
      </c>
      <c r="C108" s="1" t="str">
        <f>IF($G$12="Y",'[1]Population Definitions'!$A$7,"...")</f>
        <v>...</v>
      </c>
      <c r="E108" s="165"/>
      <c r="F108" s="1" t="str">
        <f>IF($G$12="Y","OR","...")</f>
        <v>...</v>
      </c>
      <c r="G108" s="165"/>
      <c r="H108" s="165"/>
      <c r="I108" s="165"/>
      <c r="J108" s="165"/>
      <c r="K108" s="165"/>
      <c r="L108" s="165"/>
      <c r="M108" s="165"/>
      <c r="N108" s="165"/>
      <c r="O108" s="165"/>
      <c r="P108" s="165"/>
      <c r="Q108" s="165"/>
      <c r="R108" s="165"/>
      <c r="S108" s="165"/>
      <c r="T108" s="165"/>
      <c r="U108" s="165"/>
      <c r="V108" s="165"/>
      <c r="W108" s="165"/>
    </row>
    <row r="109" spans="1:23" x14ac:dyDescent="0.25">
      <c r="A109" s="1" t="str">
        <f>IF($H$12="Y",'[1]Population Definitions'!$A$9,"...")</f>
        <v>...</v>
      </c>
      <c r="B109" s="1" t="str">
        <f>IF($H$12="Y","---&gt;","...")</f>
        <v>...</v>
      </c>
      <c r="C109" s="1" t="str">
        <f>IF($H$12="Y",'[1]Population Definitions'!$A$8,"...")</f>
        <v>...</v>
      </c>
      <c r="E109" s="165"/>
      <c r="F109" s="1" t="str">
        <f>IF($H$12="Y","OR","...")</f>
        <v>...</v>
      </c>
      <c r="G109" s="165"/>
      <c r="H109" s="165"/>
      <c r="I109" s="165"/>
      <c r="J109" s="165"/>
      <c r="K109" s="165"/>
      <c r="L109" s="165"/>
      <c r="M109" s="165"/>
      <c r="N109" s="165"/>
      <c r="O109" s="165"/>
      <c r="P109" s="165"/>
      <c r="Q109" s="165"/>
      <c r="R109" s="165"/>
      <c r="S109" s="165"/>
      <c r="T109" s="165"/>
      <c r="U109" s="165"/>
      <c r="V109" s="165"/>
      <c r="W109" s="165"/>
    </row>
    <row r="110" spans="1:23" x14ac:dyDescent="0.25">
      <c r="A110" s="1" t="str">
        <f>IF($I$12="Y",'[1]Population Definitions'!$A$9,"...")</f>
        <v>...</v>
      </c>
      <c r="B110" s="1" t="str">
        <f>IF($I$12="Y","---&gt;","...")</f>
        <v>...</v>
      </c>
      <c r="C110" s="1" t="str">
        <f>IF($I$12="Y",'[1]Population Definitions'!$A$9,"...")</f>
        <v>...</v>
      </c>
      <c r="E110" s="165"/>
      <c r="F110" s="1" t="str">
        <f>IF($I$12="Y","OR","...")</f>
        <v>...</v>
      </c>
      <c r="G110" s="165"/>
      <c r="H110" s="165"/>
      <c r="I110" s="165"/>
      <c r="J110" s="165"/>
      <c r="K110" s="165"/>
      <c r="L110" s="165"/>
      <c r="M110" s="165"/>
      <c r="N110" s="165"/>
      <c r="O110" s="165"/>
      <c r="P110" s="165"/>
      <c r="Q110" s="165"/>
      <c r="R110" s="165"/>
      <c r="S110" s="165"/>
      <c r="T110" s="165"/>
      <c r="U110" s="165"/>
      <c r="V110" s="165"/>
      <c r="W110" s="165"/>
    </row>
    <row r="111" spans="1:23" x14ac:dyDescent="0.25">
      <c r="A111" s="1" t="str">
        <f>IF($J$12="Y",'[1]Population Definitions'!$A$9,"...")</f>
        <v>...</v>
      </c>
      <c r="B111" s="1" t="str">
        <f>IF($J$12="Y","---&gt;","...")</f>
        <v>...</v>
      </c>
      <c r="C111" s="1" t="str">
        <f>IF($J$12="Y",'[1]Population Definitions'!$A$10,"...")</f>
        <v>...</v>
      </c>
      <c r="E111" s="165"/>
      <c r="F111" s="1" t="str">
        <f>IF($J$12="Y","OR","...")</f>
        <v>...</v>
      </c>
      <c r="G111" s="165"/>
      <c r="H111" s="165"/>
      <c r="I111" s="165"/>
      <c r="J111" s="165"/>
      <c r="K111" s="165"/>
      <c r="L111" s="165"/>
      <c r="M111" s="165"/>
      <c r="N111" s="165"/>
      <c r="O111" s="165"/>
      <c r="P111" s="165"/>
      <c r="Q111" s="165"/>
      <c r="R111" s="165"/>
      <c r="S111" s="165"/>
      <c r="T111" s="165"/>
      <c r="U111" s="165"/>
      <c r="V111" s="165"/>
      <c r="W111" s="165"/>
    </row>
    <row r="112" spans="1:23" x14ac:dyDescent="0.25">
      <c r="A112" s="1" t="str">
        <f>IF($K$12="Y",'[1]Population Definitions'!$A$9,"...")</f>
        <v>...</v>
      </c>
      <c r="B112" s="1" t="str">
        <f>IF($K$12="Y","---&gt;","...")</f>
        <v>...</v>
      </c>
      <c r="C112" s="1" t="str">
        <f>IF($K$12="Y",'[1]Population Definitions'!$A$11,"...")</f>
        <v>...</v>
      </c>
      <c r="E112" s="165"/>
      <c r="F112" s="1" t="str">
        <f>IF($K$12="Y","OR","...")</f>
        <v>...</v>
      </c>
      <c r="G112" s="165"/>
      <c r="H112" s="165"/>
      <c r="I112" s="165"/>
      <c r="J112" s="165"/>
      <c r="K112" s="165"/>
      <c r="L112" s="165"/>
      <c r="M112" s="165"/>
      <c r="N112" s="165"/>
      <c r="O112" s="165"/>
      <c r="P112" s="165"/>
      <c r="Q112" s="165"/>
      <c r="R112" s="165"/>
      <c r="S112" s="165"/>
      <c r="T112" s="165"/>
      <c r="U112" s="165"/>
      <c r="V112" s="165"/>
      <c r="W112" s="165"/>
    </row>
    <row r="113" spans="1:23" x14ac:dyDescent="0.25">
      <c r="A113" s="1" t="str">
        <f>IF($L$12="Y",'[1]Population Definitions'!$A$9,"...")</f>
        <v>...</v>
      </c>
      <c r="B113" s="1" t="str">
        <f>IF($L$12="Y","---&gt;","...")</f>
        <v>...</v>
      </c>
      <c r="C113" s="1" t="str">
        <f>IF($L$12="Y",'[1]Population Definitions'!$A$12,"...")</f>
        <v>...</v>
      </c>
      <c r="E113" s="165"/>
      <c r="F113" s="1" t="str">
        <f>IF($L$12="Y","OR","...")</f>
        <v>...</v>
      </c>
      <c r="G113" s="165"/>
      <c r="H113" s="165"/>
      <c r="I113" s="165"/>
      <c r="J113" s="165"/>
      <c r="K113" s="165"/>
      <c r="L113" s="165"/>
      <c r="M113" s="165"/>
      <c r="N113" s="165"/>
      <c r="O113" s="165"/>
      <c r="P113" s="165"/>
      <c r="Q113" s="165"/>
      <c r="R113" s="165"/>
      <c r="S113" s="165"/>
      <c r="T113" s="165"/>
      <c r="U113" s="165"/>
      <c r="V113" s="165"/>
      <c r="W113" s="165"/>
    </row>
    <row r="114" spans="1:23" x14ac:dyDescent="0.25">
      <c r="A114" s="1" t="str">
        <f>IF($M$12="Y",'[1]Population Definitions'!$A$9,"...")</f>
        <v>...</v>
      </c>
      <c r="B114" s="1" t="str">
        <f>IF($M$12="Y","---&gt;","...")</f>
        <v>...</v>
      </c>
      <c r="C114" s="1" t="str">
        <f>IF($M$12="Y",'[1]Population Definitions'!$A$13,"...")</f>
        <v>...</v>
      </c>
      <c r="E114" s="165"/>
      <c r="F114" s="1" t="str">
        <f>IF($M$12="Y","OR","...")</f>
        <v>...</v>
      </c>
      <c r="G114" s="165"/>
      <c r="H114" s="165"/>
      <c r="I114" s="165"/>
      <c r="J114" s="165"/>
      <c r="K114" s="165"/>
      <c r="L114" s="165"/>
      <c r="M114" s="165"/>
      <c r="N114" s="165"/>
      <c r="O114" s="165"/>
      <c r="P114" s="165"/>
      <c r="Q114" s="165"/>
      <c r="R114" s="165"/>
      <c r="S114" s="165"/>
      <c r="T114" s="165"/>
      <c r="U114" s="165"/>
      <c r="V114" s="165"/>
      <c r="W114" s="165"/>
    </row>
    <row r="115" spans="1:23" x14ac:dyDescent="0.25">
      <c r="A115" s="1" t="str">
        <f>IF($B$13="Y",'[1]Population Definitions'!$A$10,"...")</f>
        <v>...</v>
      </c>
      <c r="B115" s="1" t="str">
        <f>IF($B$13="Y","---&gt;","...")</f>
        <v>...</v>
      </c>
      <c r="C115" s="1" t="str">
        <f>IF($B$13="Y",'[1]Population Definitions'!$A$2,"...")</f>
        <v>...</v>
      </c>
      <c r="E115" s="165"/>
      <c r="F115" s="1" t="str">
        <f>IF($B$13="Y","OR","...")</f>
        <v>...</v>
      </c>
      <c r="G115" s="165"/>
      <c r="H115" s="165"/>
      <c r="I115" s="165"/>
      <c r="J115" s="165"/>
      <c r="K115" s="165"/>
      <c r="L115" s="165"/>
      <c r="M115" s="165"/>
      <c r="N115" s="165"/>
      <c r="O115" s="165"/>
      <c r="P115" s="165"/>
      <c r="Q115" s="165"/>
      <c r="R115" s="165"/>
      <c r="S115" s="165"/>
      <c r="T115" s="165"/>
      <c r="U115" s="165"/>
      <c r="V115" s="165"/>
      <c r="W115" s="165"/>
    </row>
    <row r="116" spans="1:23" x14ac:dyDescent="0.25">
      <c r="A116" s="1" t="str">
        <f>IF($C$13="Y",'[1]Population Definitions'!$A$10,"...")</f>
        <v>...</v>
      </c>
      <c r="B116" s="1" t="str">
        <f>IF($C$13="Y","---&gt;","...")</f>
        <v>...</v>
      </c>
      <c r="C116" s="1" t="str">
        <f>IF($C$13="Y",'[1]Population Definitions'!$A$3,"...")</f>
        <v>...</v>
      </c>
      <c r="E116" s="165"/>
      <c r="F116" s="1" t="str">
        <f>IF($C$13="Y","OR","...")</f>
        <v>...</v>
      </c>
      <c r="G116" s="165"/>
      <c r="H116" s="165"/>
      <c r="I116" s="165"/>
      <c r="J116" s="165"/>
      <c r="K116" s="165"/>
      <c r="L116" s="165"/>
      <c r="M116" s="165"/>
      <c r="N116" s="165"/>
      <c r="O116" s="165"/>
      <c r="P116" s="165"/>
      <c r="Q116" s="165"/>
      <c r="R116" s="165"/>
      <c r="S116" s="165"/>
      <c r="T116" s="165"/>
      <c r="U116" s="165"/>
      <c r="V116" s="165"/>
      <c r="W116" s="165"/>
    </row>
    <row r="117" spans="1:23" x14ac:dyDescent="0.25">
      <c r="A117" s="1" t="str">
        <f>IF($D$13="Y",'[1]Population Definitions'!$A$10,"...")</f>
        <v>...</v>
      </c>
      <c r="B117" s="1" t="str">
        <f>IF($D$13="Y","---&gt;","...")</f>
        <v>...</v>
      </c>
      <c r="C117" s="1" t="str">
        <f>IF($D$13="Y",'[1]Population Definitions'!$A$4,"...")</f>
        <v>...</v>
      </c>
      <c r="E117" s="165"/>
      <c r="F117" s="1" t="str">
        <f>IF($D$13="Y","OR","...")</f>
        <v>...</v>
      </c>
      <c r="G117" s="165"/>
      <c r="H117" s="165"/>
      <c r="I117" s="165"/>
      <c r="J117" s="165"/>
      <c r="K117" s="165"/>
      <c r="L117" s="165"/>
      <c r="M117" s="165"/>
      <c r="N117" s="165"/>
      <c r="O117" s="165"/>
      <c r="P117" s="165"/>
      <c r="Q117" s="165"/>
      <c r="R117" s="165"/>
      <c r="S117" s="165"/>
      <c r="T117" s="165"/>
      <c r="U117" s="165"/>
      <c r="V117" s="165"/>
      <c r="W117" s="165"/>
    </row>
    <row r="118" spans="1:23" x14ac:dyDescent="0.25">
      <c r="A118" s="1" t="str">
        <f>IF($E$13="Y",'[1]Population Definitions'!$A$10,"...")</f>
        <v>...</v>
      </c>
      <c r="B118" s="1" t="str">
        <f>IF($E$13="Y","---&gt;","...")</f>
        <v>...</v>
      </c>
      <c r="C118" s="1" t="str">
        <f>IF($E$13="Y",'[1]Population Definitions'!$A$5,"...")</f>
        <v>...</v>
      </c>
      <c r="E118" s="165"/>
      <c r="F118" s="1" t="str">
        <f>IF($E$13="Y","OR","...")</f>
        <v>...</v>
      </c>
      <c r="G118" s="165"/>
      <c r="H118" s="165"/>
      <c r="I118" s="165"/>
      <c r="J118" s="165"/>
      <c r="K118" s="165"/>
      <c r="L118" s="165"/>
      <c r="M118" s="165"/>
      <c r="N118" s="165"/>
      <c r="O118" s="165"/>
      <c r="P118" s="165"/>
      <c r="Q118" s="165"/>
      <c r="R118" s="165"/>
      <c r="S118" s="165"/>
      <c r="T118" s="165"/>
      <c r="U118" s="165"/>
      <c r="V118" s="165"/>
      <c r="W118" s="165"/>
    </row>
    <row r="119" spans="1:23" x14ac:dyDescent="0.25">
      <c r="A119" s="1" t="str">
        <f>IF($F$13="Y",'[1]Population Definitions'!$A$10,"...")</f>
        <v>...</v>
      </c>
      <c r="B119" s="1" t="str">
        <f>IF($F$13="Y","---&gt;","...")</f>
        <v>...</v>
      </c>
      <c r="C119" s="1" t="str">
        <f>IF($F$13="Y",'[1]Population Definitions'!$A$6,"...")</f>
        <v>...</v>
      </c>
      <c r="E119" s="165"/>
      <c r="F119" s="1" t="str">
        <f>IF($F$13="Y","OR","...")</f>
        <v>...</v>
      </c>
      <c r="G119" s="165"/>
      <c r="H119" s="165"/>
      <c r="I119" s="165"/>
      <c r="J119" s="165"/>
      <c r="K119" s="165"/>
      <c r="L119" s="165"/>
      <c r="M119" s="165"/>
      <c r="N119" s="165"/>
      <c r="O119" s="165"/>
      <c r="P119" s="165"/>
      <c r="Q119" s="165"/>
      <c r="R119" s="165"/>
      <c r="S119" s="165"/>
      <c r="T119" s="165"/>
      <c r="U119" s="165"/>
      <c r="V119" s="165"/>
      <c r="W119" s="165"/>
    </row>
    <row r="120" spans="1:23" x14ac:dyDescent="0.25">
      <c r="A120" s="1" t="str">
        <f>IF($G$13="Y",'[1]Population Definitions'!$A$10,"...")</f>
        <v>...</v>
      </c>
      <c r="B120" s="1" t="str">
        <f>IF($G$13="Y","---&gt;","...")</f>
        <v>...</v>
      </c>
      <c r="C120" s="1" t="str">
        <f>IF($G$13="Y",'[1]Population Definitions'!$A$7,"...")</f>
        <v>...</v>
      </c>
      <c r="E120" s="165"/>
      <c r="F120" s="1" t="str">
        <f>IF($G$13="Y","OR","...")</f>
        <v>...</v>
      </c>
      <c r="G120" s="165"/>
      <c r="H120" s="165"/>
      <c r="I120" s="165"/>
      <c r="J120" s="165"/>
      <c r="K120" s="165"/>
      <c r="L120" s="165"/>
      <c r="M120" s="165"/>
      <c r="N120" s="165"/>
      <c r="O120" s="165"/>
      <c r="P120" s="165"/>
      <c r="Q120" s="165"/>
      <c r="R120" s="165"/>
      <c r="S120" s="165"/>
      <c r="T120" s="165"/>
      <c r="U120" s="165"/>
      <c r="V120" s="165"/>
      <c r="W120" s="165"/>
    </row>
    <row r="121" spans="1:23" x14ac:dyDescent="0.25">
      <c r="A121" s="1" t="str">
        <f>IF($H$13="Y",'[1]Population Definitions'!$A$10,"...")</f>
        <v>...</v>
      </c>
      <c r="B121" s="1" t="str">
        <f>IF($H$13="Y","---&gt;","...")</f>
        <v>...</v>
      </c>
      <c r="C121" s="1" t="str">
        <f>IF($H$13="Y",'[1]Population Definitions'!$A$8,"...")</f>
        <v>...</v>
      </c>
      <c r="E121" s="165"/>
      <c r="F121" s="1" t="str">
        <f>IF($H$13="Y","OR","...")</f>
        <v>...</v>
      </c>
      <c r="G121" s="165"/>
      <c r="H121" s="165"/>
      <c r="I121" s="165"/>
      <c r="J121" s="165"/>
      <c r="K121" s="165"/>
      <c r="L121" s="165"/>
      <c r="M121" s="165"/>
      <c r="N121" s="165"/>
      <c r="O121" s="165"/>
      <c r="P121" s="165"/>
      <c r="Q121" s="165"/>
      <c r="R121" s="165"/>
      <c r="S121" s="165"/>
      <c r="T121" s="165"/>
      <c r="U121" s="165"/>
      <c r="V121" s="165"/>
      <c r="W121" s="165"/>
    </row>
    <row r="122" spans="1:23" x14ac:dyDescent="0.25">
      <c r="A122" s="1" t="str">
        <f>IF($I$13="Y",'[1]Population Definitions'!$A$10,"...")</f>
        <v>...</v>
      </c>
      <c r="B122" s="1" t="str">
        <f>IF($I$13="Y","---&gt;","...")</f>
        <v>...</v>
      </c>
      <c r="C122" s="1" t="str">
        <f>IF($I$13="Y",'[1]Population Definitions'!$A$9,"...")</f>
        <v>...</v>
      </c>
      <c r="E122" s="165"/>
      <c r="F122" s="1" t="str">
        <f>IF($I$13="Y","OR","...")</f>
        <v>...</v>
      </c>
      <c r="G122" s="165"/>
      <c r="H122" s="165"/>
      <c r="I122" s="165"/>
      <c r="J122" s="165"/>
      <c r="K122" s="165"/>
      <c r="L122" s="165"/>
      <c r="M122" s="165"/>
      <c r="N122" s="165"/>
      <c r="O122" s="165"/>
      <c r="P122" s="165"/>
      <c r="Q122" s="165"/>
      <c r="R122" s="165"/>
      <c r="S122" s="165"/>
      <c r="T122" s="165"/>
      <c r="U122" s="165"/>
      <c r="V122" s="165"/>
      <c r="W122" s="165"/>
    </row>
    <row r="123" spans="1:23" x14ac:dyDescent="0.25">
      <c r="A123" s="1" t="str">
        <f>IF($J$13="Y",'[1]Population Definitions'!$A$10,"...")</f>
        <v>...</v>
      </c>
      <c r="B123" s="1" t="str">
        <f>IF($J$13="Y","---&gt;","...")</f>
        <v>...</v>
      </c>
      <c r="C123" s="1" t="str">
        <f>IF($J$13="Y",'[1]Population Definitions'!$A$10,"...")</f>
        <v>...</v>
      </c>
      <c r="E123" s="165"/>
      <c r="F123" s="1" t="str">
        <f>IF($J$13="Y","OR","...")</f>
        <v>...</v>
      </c>
      <c r="G123" s="165"/>
      <c r="H123" s="165"/>
      <c r="I123" s="165"/>
      <c r="J123" s="165"/>
      <c r="K123" s="165"/>
      <c r="L123" s="165"/>
      <c r="M123" s="165"/>
      <c r="N123" s="165"/>
      <c r="O123" s="165"/>
      <c r="P123" s="165"/>
      <c r="Q123" s="165"/>
      <c r="R123" s="165"/>
      <c r="S123" s="165"/>
      <c r="T123" s="165"/>
      <c r="U123" s="165"/>
      <c r="V123" s="165"/>
      <c r="W123" s="165"/>
    </row>
    <row r="124" spans="1:23" x14ac:dyDescent="0.25">
      <c r="A124" s="1" t="str">
        <f>IF($K$13="Y",'[1]Population Definitions'!$A$10,"...")</f>
        <v>...</v>
      </c>
      <c r="B124" s="1" t="str">
        <f>IF($K$13="Y","---&gt;","...")</f>
        <v>...</v>
      </c>
      <c r="C124" s="1" t="str">
        <f>IF($K$13="Y",'[1]Population Definitions'!$A$11,"...")</f>
        <v>...</v>
      </c>
      <c r="E124" s="165"/>
      <c r="F124" s="1" t="str">
        <f>IF($K$13="Y","OR","...")</f>
        <v>...</v>
      </c>
      <c r="G124" s="165"/>
      <c r="H124" s="165"/>
      <c r="I124" s="165"/>
      <c r="J124" s="165"/>
      <c r="K124" s="165"/>
      <c r="L124" s="165"/>
      <c r="M124" s="165"/>
      <c r="N124" s="165"/>
      <c r="O124" s="165"/>
      <c r="P124" s="165"/>
      <c r="Q124" s="165"/>
      <c r="R124" s="165"/>
      <c r="S124" s="165"/>
      <c r="T124" s="165"/>
      <c r="U124" s="165"/>
      <c r="V124" s="165"/>
      <c r="W124" s="165"/>
    </row>
    <row r="125" spans="1:23" x14ac:dyDescent="0.25">
      <c r="A125" s="1" t="str">
        <f>IF($L$13="Y",'[1]Population Definitions'!$A$10,"...")</f>
        <v>...</v>
      </c>
      <c r="B125" s="1" t="str">
        <f>IF($L$13="Y","---&gt;","...")</f>
        <v>...</v>
      </c>
      <c r="C125" s="1" t="str">
        <f>IF($L$13="Y",'[1]Population Definitions'!$A$12,"...")</f>
        <v>...</v>
      </c>
      <c r="E125" s="165"/>
      <c r="F125" s="1" t="str">
        <f>IF($L$13="Y","OR","...")</f>
        <v>...</v>
      </c>
      <c r="G125" s="165"/>
      <c r="H125" s="165"/>
      <c r="I125" s="165"/>
      <c r="J125" s="165"/>
      <c r="K125" s="165"/>
      <c r="L125" s="165"/>
      <c r="M125" s="165"/>
      <c r="N125" s="165"/>
      <c r="O125" s="165"/>
      <c r="P125" s="165"/>
      <c r="Q125" s="165"/>
      <c r="R125" s="165"/>
      <c r="S125" s="165"/>
      <c r="T125" s="165"/>
      <c r="U125" s="165"/>
      <c r="V125" s="165"/>
      <c r="W125" s="165"/>
    </row>
    <row r="126" spans="1:23" x14ac:dyDescent="0.25">
      <c r="A126" s="1" t="str">
        <f>IF($M$13="Y",'[1]Population Definitions'!$A$10,"...")</f>
        <v>...</v>
      </c>
      <c r="B126" s="1" t="str">
        <f>IF($M$13="Y","---&gt;","...")</f>
        <v>...</v>
      </c>
      <c r="C126" s="1" t="str">
        <f>IF($M$13="Y",'[1]Population Definitions'!$A$13,"...")</f>
        <v>...</v>
      </c>
      <c r="E126" s="165"/>
      <c r="F126" s="1" t="str">
        <f>IF($M$13="Y","OR","...")</f>
        <v>...</v>
      </c>
      <c r="G126" s="165"/>
      <c r="H126" s="165"/>
      <c r="I126" s="165"/>
      <c r="J126" s="165"/>
      <c r="K126" s="165"/>
      <c r="L126" s="165"/>
      <c r="M126" s="165"/>
      <c r="N126" s="165"/>
      <c r="O126" s="165"/>
      <c r="P126" s="165"/>
      <c r="Q126" s="165"/>
      <c r="R126" s="165"/>
      <c r="S126" s="165"/>
      <c r="T126" s="165"/>
      <c r="U126" s="165"/>
      <c r="V126" s="165"/>
      <c r="W126" s="165"/>
    </row>
    <row r="127" spans="1:23" x14ac:dyDescent="0.25">
      <c r="A127" s="1" t="str">
        <f>IF($B$14="Y",'[1]Population Definitions'!$A$11,"...")</f>
        <v>...</v>
      </c>
      <c r="B127" s="1" t="str">
        <f>IF($B$14="Y","---&gt;","...")</f>
        <v>...</v>
      </c>
      <c r="C127" s="1" t="str">
        <f>IF($B$14="Y",'[1]Population Definitions'!$A$2,"...")</f>
        <v>...</v>
      </c>
      <c r="E127" s="165"/>
      <c r="F127" s="1" t="str">
        <f>IF($B$14="Y","OR","...")</f>
        <v>...</v>
      </c>
      <c r="G127" s="165"/>
      <c r="H127" s="165"/>
      <c r="I127" s="165"/>
      <c r="J127" s="165"/>
      <c r="K127" s="165"/>
      <c r="L127" s="165"/>
      <c r="M127" s="165"/>
      <c r="N127" s="165"/>
      <c r="O127" s="165"/>
      <c r="P127" s="165"/>
      <c r="Q127" s="165"/>
      <c r="R127" s="165"/>
      <c r="S127" s="165"/>
      <c r="T127" s="165"/>
      <c r="U127" s="165"/>
      <c r="V127" s="165"/>
      <c r="W127" s="165"/>
    </row>
    <row r="128" spans="1:23" x14ac:dyDescent="0.25">
      <c r="A128" s="1" t="str">
        <f>IF($C$14="Y",'[1]Population Definitions'!$A$11,"...")</f>
        <v>...</v>
      </c>
      <c r="B128" s="1" t="str">
        <f>IF($C$14="Y","---&gt;","...")</f>
        <v>...</v>
      </c>
      <c r="C128" s="1" t="str">
        <f>IF($C$14="Y",'[1]Population Definitions'!$A$3,"...")</f>
        <v>...</v>
      </c>
      <c r="E128" s="165"/>
      <c r="F128" s="1" t="str">
        <f>IF($C$14="Y","OR","...")</f>
        <v>...</v>
      </c>
      <c r="G128" s="165"/>
      <c r="H128" s="165"/>
      <c r="I128" s="165"/>
      <c r="J128" s="165"/>
      <c r="K128" s="165"/>
      <c r="L128" s="165"/>
      <c r="M128" s="165"/>
      <c r="N128" s="165"/>
      <c r="O128" s="165"/>
      <c r="P128" s="165"/>
      <c r="Q128" s="165"/>
      <c r="R128" s="165"/>
      <c r="S128" s="165"/>
      <c r="T128" s="165"/>
      <c r="U128" s="165"/>
      <c r="V128" s="165"/>
      <c r="W128" s="165"/>
    </row>
    <row r="129" spans="1:23" x14ac:dyDescent="0.25">
      <c r="A129" s="1" t="str">
        <f>IF($D$14="Y",'[1]Population Definitions'!$A$11,"...")</f>
        <v>...</v>
      </c>
      <c r="B129" s="1" t="str">
        <f>IF($D$14="Y","---&gt;","...")</f>
        <v>...</v>
      </c>
      <c r="C129" s="1" t="str">
        <f>IF($D$14="Y",'[1]Population Definitions'!$A$4,"...")</f>
        <v>...</v>
      </c>
      <c r="E129" s="165"/>
      <c r="F129" s="1" t="str">
        <f>IF($D$14="Y","OR","...")</f>
        <v>...</v>
      </c>
      <c r="G129" s="165"/>
      <c r="H129" s="165"/>
      <c r="I129" s="165"/>
      <c r="J129" s="165"/>
      <c r="K129" s="165"/>
      <c r="L129" s="165"/>
      <c r="M129" s="165"/>
      <c r="N129" s="165"/>
      <c r="O129" s="165"/>
      <c r="P129" s="165"/>
      <c r="Q129" s="165"/>
      <c r="R129" s="165"/>
      <c r="S129" s="165"/>
      <c r="T129" s="165"/>
      <c r="U129" s="165"/>
      <c r="V129" s="165"/>
      <c r="W129" s="165"/>
    </row>
    <row r="130" spans="1:23" x14ac:dyDescent="0.25">
      <c r="A130" s="1" t="str">
        <f>IF($E$14="Y",'[1]Population Definitions'!$A$11,"...")</f>
        <v>...</v>
      </c>
      <c r="B130" s="1" t="str">
        <f>IF($E$14="Y","---&gt;","...")</f>
        <v>...</v>
      </c>
      <c r="C130" s="1" t="str">
        <f>IF($E$14="Y",'[1]Population Definitions'!$A$5,"...")</f>
        <v>...</v>
      </c>
      <c r="E130" s="165"/>
      <c r="F130" s="1" t="str">
        <f>IF($E$14="Y","OR","...")</f>
        <v>...</v>
      </c>
      <c r="G130" s="165"/>
      <c r="H130" s="165"/>
      <c r="I130" s="165"/>
      <c r="J130" s="165"/>
      <c r="K130" s="165"/>
      <c r="L130" s="165"/>
      <c r="M130" s="165"/>
      <c r="N130" s="165"/>
      <c r="O130" s="165"/>
      <c r="P130" s="165"/>
      <c r="Q130" s="165"/>
      <c r="R130" s="165"/>
      <c r="S130" s="165"/>
      <c r="T130" s="165"/>
      <c r="U130" s="165"/>
      <c r="V130" s="165"/>
      <c r="W130" s="165"/>
    </row>
    <row r="131" spans="1:23" x14ac:dyDescent="0.25">
      <c r="A131" s="1" t="str">
        <f>IF($F$14="Y",'[1]Population Definitions'!$A$11,"...")</f>
        <v>...</v>
      </c>
      <c r="B131" s="1" t="str">
        <f>IF($F$14="Y","---&gt;","...")</f>
        <v>...</v>
      </c>
      <c r="C131" s="1" t="str">
        <f>IF($F$14="Y",'[1]Population Definitions'!$A$6,"...")</f>
        <v>...</v>
      </c>
      <c r="E131" s="165"/>
      <c r="F131" s="1" t="str">
        <f>IF($F$14="Y","OR","...")</f>
        <v>...</v>
      </c>
      <c r="G131" s="165"/>
      <c r="H131" s="165"/>
      <c r="I131" s="165"/>
      <c r="J131" s="165"/>
      <c r="K131" s="165"/>
      <c r="L131" s="165"/>
      <c r="M131" s="165"/>
      <c r="N131" s="165"/>
      <c r="O131" s="165"/>
      <c r="P131" s="165"/>
      <c r="Q131" s="165"/>
      <c r="R131" s="165"/>
      <c r="S131" s="165"/>
      <c r="T131" s="165"/>
      <c r="U131" s="165"/>
      <c r="V131" s="165"/>
      <c r="W131" s="165"/>
    </row>
    <row r="132" spans="1:23" x14ac:dyDescent="0.25">
      <c r="A132" s="1" t="str">
        <f>IF($G$14="Y",'[1]Population Definitions'!$A$11,"...")</f>
        <v>...</v>
      </c>
      <c r="B132" s="1" t="str">
        <f>IF($G$14="Y","---&gt;","...")</f>
        <v>...</v>
      </c>
      <c r="C132" s="1" t="str">
        <f>IF($G$14="Y",'[1]Population Definitions'!$A$7,"...")</f>
        <v>...</v>
      </c>
      <c r="E132" s="165"/>
      <c r="F132" s="1" t="str">
        <f>IF($G$14="Y","OR","...")</f>
        <v>...</v>
      </c>
      <c r="G132" s="165"/>
      <c r="H132" s="165"/>
      <c r="I132" s="165"/>
      <c r="J132" s="165"/>
      <c r="K132" s="165"/>
      <c r="L132" s="165"/>
      <c r="M132" s="165"/>
      <c r="N132" s="165"/>
      <c r="O132" s="165"/>
      <c r="P132" s="165"/>
      <c r="Q132" s="165"/>
      <c r="R132" s="165"/>
      <c r="S132" s="165"/>
      <c r="T132" s="165"/>
      <c r="U132" s="165"/>
      <c r="V132" s="165"/>
      <c r="W132" s="165"/>
    </row>
    <row r="133" spans="1:23" x14ac:dyDescent="0.25">
      <c r="A133" s="1" t="str">
        <f>IF($H$14="Y",'[1]Population Definitions'!$A$11,"...")</f>
        <v>...</v>
      </c>
      <c r="B133" s="1" t="str">
        <f>IF($H$14="Y","---&gt;","...")</f>
        <v>...</v>
      </c>
      <c r="C133" s="1" t="str">
        <f>IF($H$14="Y",'[1]Population Definitions'!$A$8,"...")</f>
        <v>...</v>
      </c>
      <c r="E133" s="165"/>
      <c r="F133" s="1" t="str">
        <f>IF($H$14="Y","OR","...")</f>
        <v>...</v>
      </c>
      <c r="G133" s="165"/>
      <c r="H133" s="165"/>
      <c r="I133" s="165"/>
      <c r="J133" s="165"/>
      <c r="K133" s="165"/>
      <c r="L133" s="165"/>
      <c r="M133" s="165"/>
      <c r="N133" s="165"/>
      <c r="O133" s="165"/>
      <c r="P133" s="165"/>
      <c r="Q133" s="165"/>
      <c r="R133" s="165"/>
      <c r="S133" s="165"/>
      <c r="T133" s="165"/>
      <c r="U133" s="165"/>
      <c r="V133" s="165"/>
      <c r="W133" s="165"/>
    </row>
    <row r="134" spans="1:23" x14ac:dyDescent="0.25">
      <c r="A134" s="1" t="str">
        <f>IF($I$14="Y",'[1]Population Definitions'!$A$11,"...")</f>
        <v>...</v>
      </c>
      <c r="B134" s="1" t="str">
        <f>IF($I$14="Y","---&gt;","...")</f>
        <v>...</v>
      </c>
      <c r="C134" s="1" t="str">
        <f>IF($I$14="Y",'[1]Population Definitions'!$A$9,"...")</f>
        <v>...</v>
      </c>
      <c r="E134" s="165"/>
      <c r="F134" s="1" t="str">
        <f>IF($I$14="Y","OR","...")</f>
        <v>...</v>
      </c>
      <c r="G134" s="165"/>
      <c r="H134" s="165"/>
      <c r="I134" s="165"/>
      <c r="J134" s="165"/>
      <c r="K134" s="165"/>
      <c r="L134" s="165"/>
      <c r="M134" s="165"/>
      <c r="N134" s="165"/>
      <c r="O134" s="165"/>
      <c r="P134" s="165"/>
      <c r="Q134" s="165"/>
      <c r="R134" s="165"/>
      <c r="S134" s="165"/>
      <c r="T134" s="165"/>
      <c r="U134" s="165"/>
      <c r="V134" s="165"/>
      <c r="W134" s="165"/>
    </row>
    <row r="135" spans="1:23" x14ac:dyDescent="0.25">
      <c r="A135" s="1" t="str">
        <f>IF($J$14="Y",'[1]Population Definitions'!$A$11,"...")</f>
        <v>...</v>
      </c>
      <c r="B135" s="1" t="str">
        <f>IF($J$14="Y","---&gt;","...")</f>
        <v>...</v>
      </c>
      <c r="C135" s="1" t="str">
        <f>IF($J$14="Y",'[1]Population Definitions'!$A$10,"...")</f>
        <v>...</v>
      </c>
      <c r="E135" s="165"/>
      <c r="F135" s="1" t="str">
        <f>IF($J$14="Y","OR","...")</f>
        <v>...</v>
      </c>
      <c r="G135" s="165"/>
      <c r="H135" s="165"/>
      <c r="I135" s="165"/>
      <c r="J135" s="165"/>
      <c r="K135" s="165"/>
      <c r="L135" s="165"/>
      <c r="M135" s="165"/>
      <c r="N135" s="165"/>
      <c r="O135" s="165"/>
      <c r="P135" s="165"/>
      <c r="Q135" s="165"/>
      <c r="R135" s="165"/>
      <c r="S135" s="165"/>
      <c r="T135" s="165"/>
      <c r="U135" s="165"/>
      <c r="V135" s="165"/>
      <c r="W135" s="165"/>
    </row>
    <row r="136" spans="1:23" x14ac:dyDescent="0.25">
      <c r="A136" s="1" t="str">
        <f>IF($K$14="Y",'[1]Population Definitions'!$A$11,"...")</f>
        <v>...</v>
      </c>
      <c r="B136" s="1" t="str">
        <f>IF($K$14="Y","---&gt;","...")</f>
        <v>...</v>
      </c>
      <c r="C136" s="1" t="str">
        <f>IF($K$14="Y",'[1]Population Definitions'!$A$11,"...")</f>
        <v>...</v>
      </c>
      <c r="E136" s="165"/>
      <c r="F136" s="1" t="str">
        <f>IF($K$14="Y","OR","...")</f>
        <v>...</v>
      </c>
      <c r="G136" s="165"/>
      <c r="H136" s="165"/>
      <c r="I136" s="165"/>
      <c r="J136" s="165"/>
      <c r="K136" s="165"/>
      <c r="L136" s="165"/>
      <c r="M136" s="165"/>
      <c r="N136" s="165"/>
      <c r="O136" s="165"/>
      <c r="P136" s="165"/>
      <c r="Q136" s="165"/>
      <c r="R136" s="165"/>
      <c r="S136" s="165"/>
      <c r="T136" s="165"/>
      <c r="U136" s="165"/>
      <c r="V136" s="165"/>
      <c r="W136" s="165"/>
    </row>
    <row r="137" spans="1:23" x14ac:dyDescent="0.25">
      <c r="A137" s="1" t="str">
        <f>IF($L$14="Y",'[1]Population Definitions'!$A$11,"...")</f>
        <v>...</v>
      </c>
      <c r="B137" s="1" t="str">
        <f>IF($L$14="Y","---&gt;","...")</f>
        <v>...</v>
      </c>
      <c r="C137" s="1" t="str">
        <f>IF($L$14="Y",'[1]Population Definitions'!$A$12,"...")</f>
        <v>...</v>
      </c>
      <c r="E137" s="165"/>
      <c r="F137" s="1" t="str">
        <f>IF($L$14="Y","OR","...")</f>
        <v>...</v>
      </c>
      <c r="G137" s="165"/>
      <c r="H137" s="165"/>
      <c r="I137" s="165"/>
      <c r="J137" s="165"/>
      <c r="K137" s="165"/>
      <c r="L137" s="165"/>
      <c r="M137" s="165"/>
      <c r="N137" s="165"/>
      <c r="O137" s="165"/>
      <c r="P137" s="165"/>
      <c r="Q137" s="165"/>
      <c r="R137" s="165"/>
      <c r="S137" s="165"/>
      <c r="T137" s="165"/>
      <c r="U137" s="165"/>
      <c r="V137" s="165"/>
      <c r="W137" s="165"/>
    </row>
    <row r="138" spans="1:23" x14ac:dyDescent="0.25">
      <c r="A138" s="1" t="str">
        <f>IF($M$14="Y",'[1]Population Definitions'!$A$11,"...")</f>
        <v>...</v>
      </c>
      <c r="B138" s="1" t="str">
        <f>IF($M$14="Y","---&gt;","...")</f>
        <v>...</v>
      </c>
      <c r="C138" s="1" t="str">
        <f>IF($M$14="Y",'[1]Population Definitions'!$A$13,"...")</f>
        <v>...</v>
      </c>
      <c r="E138" s="165"/>
      <c r="F138" s="1" t="str">
        <f>IF($M$14="Y","OR","...")</f>
        <v>...</v>
      </c>
      <c r="G138" s="165"/>
      <c r="H138" s="165"/>
      <c r="I138" s="165"/>
      <c r="J138" s="165"/>
      <c r="K138" s="165"/>
      <c r="L138" s="165"/>
      <c r="M138" s="165"/>
      <c r="N138" s="165"/>
      <c r="O138" s="165"/>
      <c r="P138" s="165"/>
      <c r="Q138" s="165"/>
      <c r="R138" s="165"/>
      <c r="S138" s="165"/>
      <c r="T138" s="165"/>
      <c r="U138" s="165"/>
      <c r="V138" s="165"/>
      <c r="W138" s="165"/>
    </row>
    <row r="139" spans="1:23" x14ac:dyDescent="0.25">
      <c r="A139" s="1" t="str">
        <f>IF($B$15="Y",'[1]Population Definitions'!$A$12,"...")</f>
        <v>...</v>
      </c>
      <c r="B139" s="1" t="str">
        <f>IF($B$15="Y","---&gt;","...")</f>
        <v>...</v>
      </c>
      <c r="C139" s="1" t="str">
        <f>IF($B$15="Y",'[1]Population Definitions'!$A$2,"...")</f>
        <v>...</v>
      </c>
      <c r="E139" s="165"/>
      <c r="F139" s="1" t="str">
        <f>IF($B$15="Y","OR","...")</f>
        <v>...</v>
      </c>
      <c r="G139" s="165"/>
      <c r="H139" s="165"/>
      <c r="I139" s="165"/>
      <c r="J139" s="165"/>
      <c r="K139" s="165"/>
      <c r="L139" s="165"/>
      <c r="M139" s="165"/>
      <c r="N139" s="165"/>
      <c r="O139" s="165"/>
      <c r="P139" s="165"/>
      <c r="Q139" s="165"/>
      <c r="R139" s="165"/>
      <c r="S139" s="165"/>
      <c r="T139" s="165"/>
      <c r="U139" s="165"/>
      <c r="V139" s="165"/>
      <c r="W139" s="165"/>
    </row>
    <row r="140" spans="1:23" x14ac:dyDescent="0.25">
      <c r="A140" s="1" t="str">
        <f>IF($C$15="Y",'[1]Population Definitions'!$A$12,"...")</f>
        <v>...</v>
      </c>
      <c r="B140" s="1" t="str">
        <f>IF($C$15="Y","---&gt;","...")</f>
        <v>...</v>
      </c>
      <c r="C140" s="1" t="str">
        <f>IF($C$15="Y",'[1]Population Definitions'!$A$3,"...")</f>
        <v>...</v>
      </c>
      <c r="E140" s="165"/>
      <c r="F140" s="1" t="str">
        <f>IF($C$15="Y","OR","...")</f>
        <v>...</v>
      </c>
      <c r="G140" s="165"/>
      <c r="H140" s="165"/>
      <c r="I140" s="165"/>
      <c r="J140" s="165"/>
      <c r="K140" s="165"/>
      <c r="L140" s="165"/>
      <c r="M140" s="165"/>
      <c r="N140" s="165"/>
      <c r="O140" s="165"/>
      <c r="P140" s="165"/>
      <c r="Q140" s="165"/>
      <c r="R140" s="165"/>
      <c r="S140" s="165"/>
      <c r="T140" s="165"/>
      <c r="U140" s="165"/>
      <c r="V140" s="165"/>
      <c r="W140" s="165"/>
    </row>
    <row r="141" spans="1:23" x14ac:dyDescent="0.25">
      <c r="A141" s="1" t="str">
        <f>IF($D$15="Y",'[1]Population Definitions'!$A$12,"...")</f>
        <v>...</v>
      </c>
      <c r="B141" s="1" t="str">
        <f>IF($D$15="Y","---&gt;","...")</f>
        <v>...</v>
      </c>
      <c r="C141" s="1" t="str">
        <f>IF($D$15="Y",'[1]Population Definitions'!$A$4,"...")</f>
        <v>...</v>
      </c>
      <c r="E141" s="165"/>
      <c r="F141" s="1" t="str">
        <f>IF($D$15="Y","OR","...")</f>
        <v>...</v>
      </c>
      <c r="G141" s="165"/>
      <c r="H141" s="165"/>
      <c r="I141" s="165"/>
      <c r="J141" s="165"/>
      <c r="K141" s="165"/>
      <c r="L141" s="165"/>
      <c r="M141" s="165"/>
      <c r="N141" s="165"/>
      <c r="O141" s="165"/>
      <c r="P141" s="165"/>
      <c r="Q141" s="165"/>
      <c r="R141" s="165"/>
      <c r="S141" s="165"/>
      <c r="T141" s="165"/>
      <c r="U141" s="165"/>
      <c r="V141" s="165"/>
      <c r="W141" s="165"/>
    </row>
    <row r="142" spans="1:23" x14ac:dyDescent="0.25">
      <c r="A142" s="1" t="str">
        <f>IF($E$15="Y",'[1]Population Definitions'!$A$12,"...")</f>
        <v>...</v>
      </c>
      <c r="B142" s="1" t="str">
        <f>IF($E$15="Y","---&gt;","...")</f>
        <v>...</v>
      </c>
      <c r="C142" s="1" t="str">
        <f>IF($E$15="Y",'[1]Population Definitions'!$A$5,"...")</f>
        <v>...</v>
      </c>
      <c r="E142" s="165"/>
      <c r="F142" s="1" t="str">
        <f>IF($E$15="Y","OR","...")</f>
        <v>...</v>
      </c>
      <c r="G142" s="165"/>
      <c r="H142" s="165"/>
      <c r="I142" s="165"/>
      <c r="J142" s="165"/>
      <c r="K142" s="165"/>
      <c r="L142" s="165"/>
      <c r="M142" s="165"/>
      <c r="N142" s="165"/>
      <c r="O142" s="165"/>
      <c r="P142" s="165"/>
      <c r="Q142" s="165"/>
      <c r="R142" s="165"/>
      <c r="S142" s="165"/>
      <c r="T142" s="165"/>
      <c r="U142" s="165"/>
      <c r="V142" s="165"/>
      <c r="W142" s="165"/>
    </row>
    <row r="143" spans="1:23" x14ac:dyDescent="0.25">
      <c r="A143" s="1" t="str">
        <f>IF($F$15="Y",'[1]Population Definitions'!$A$12,"...")</f>
        <v>...</v>
      </c>
      <c r="B143" s="1" t="str">
        <f>IF($F$15="Y","---&gt;","...")</f>
        <v>...</v>
      </c>
      <c r="C143" s="1" t="str">
        <f>IF($F$15="Y",'[1]Population Definitions'!$A$6,"...")</f>
        <v>...</v>
      </c>
      <c r="E143" s="165"/>
      <c r="F143" s="1" t="str">
        <f>IF($F$15="Y","OR","...")</f>
        <v>...</v>
      </c>
      <c r="G143" s="165"/>
      <c r="H143" s="165"/>
      <c r="I143" s="165"/>
      <c r="J143" s="165"/>
      <c r="K143" s="165"/>
      <c r="L143" s="165"/>
      <c r="M143" s="165"/>
      <c r="N143" s="165"/>
      <c r="O143" s="165"/>
      <c r="P143" s="165"/>
      <c r="Q143" s="165"/>
      <c r="R143" s="165"/>
      <c r="S143" s="165"/>
      <c r="T143" s="165"/>
      <c r="U143" s="165"/>
      <c r="V143" s="165"/>
      <c r="W143" s="165"/>
    </row>
    <row r="144" spans="1:23" x14ac:dyDescent="0.25">
      <c r="A144" s="1" t="str">
        <f>IF($G$15="Y",'[1]Population Definitions'!$A$12,"...")</f>
        <v>...</v>
      </c>
      <c r="B144" s="1" t="str">
        <f>IF($G$15="Y","---&gt;","...")</f>
        <v>...</v>
      </c>
      <c r="C144" s="1" t="str">
        <f>IF($G$15="Y",'[1]Population Definitions'!$A$7,"...")</f>
        <v>...</v>
      </c>
      <c r="E144" s="165"/>
      <c r="F144" s="1" t="str">
        <f>IF($G$15="Y","OR","...")</f>
        <v>...</v>
      </c>
      <c r="G144" s="165"/>
      <c r="H144" s="165"/>
      <c r="I144" s="165"/>
      <c r="J144" s="165"/>
      <c r="K144" s="165"/>
      <c r="L144" s="165"/>
      <c r="M144" s="165"/>
      <c r="N144" s="165"/>
      <c r="O144" s="165"/>
      <c r="P144" s="165"/>
      <c r="Q144" s="165"/>
      <c r="R144" s="165"/>
      <c r="S144" s="165"/>
      <c r="T144" s="165"/>
      <c r="U144" s="165"/>
      <c r="V144" s="165"/>
      <c r="W144" s="165"/>
    </row>
    <row r="145" spans="1:23" x14ac:dyDescent="0.25">
      <c r="A145" s="1" t="str">
        <f>IF($H$15="Y",'[1]Population Definitions'!$A$12,"...")</f>
        <v>...</v>
      </c>
      <c r="B145" s="1" t="str">
        <f>IF($H$15="Y","---&gt;","...")</f>
        <v>...</v>
      </c>
      <c r="C145" s="1" t="str">
        <f>IF($H$15="Y",'[1]Population Definitions'!$A$8,"...")</f>
        <v>...</v>
      </c>
      <c r="E145" s="165"/>
      <c r="F145" s="1" t="str">
        <f>IF($H$15="Y","OR","...")</f>
        <v>...</v>
      </c>
      <c r="G145" s="165"/>
      <c r="H145" s="165"/>
      <c r="I145" s="165"/>
      <c r="J145" s="165"/>
      <c r="K145" s="165"/>
      <c r="L145" s="165"/>
      <c r="M145" s="165"/>
      <c r="N145" s="165"/>
      <c r="O145" s="165"/>
      <c r="P145" s="165"/>
      <c r="Q145" s="165"/>
      <c r="R145" s="165"/>
      <c r="S145" s="165"/>
      <c r="T145" s="165"/>
      <c r="U145" s="165"/>
      <c r="V145" s="165"/>
      <c r="W145" s="165"/>
    </row>
    <row r="146" spans="1:23" x14ac:dyDescent="0.25">
      <c r="A146" s="1" t="str">
        <f>IF($I$15="Y",'[1]Population Definitions'!$A$12,"...")</f>
        <v>...</v>
      </c>
      <c r="B146" s="1" t="str">
        <f>IF($I$15="Y","---&gt;","...")</f>
        <v>...</v>
      </c>
      <c r="C146" s="1" t="str">
        <f>IF($I$15="Y",'[1]Population Definitions'!$A$9,"...")</f>
        <v>...</v>
      </c>
      <c r="E146" s="165"/>
      <c r="F146" s="1" t="str">
        <f>IF($I$15="Y","OR","...")</f>
        <v>...</v>
      </c>
      <c r="G146" s="165"/>
      <c r="H146" s="165"/>
      <c r="I146" s="165"/>
      <c r="J146" s="165"/>
      <c r="K146" s="165"/>
      <c r="L146" s="165"/>
      <c r="M146" s="165"/>
      <c r="N146" s="165"/>
      <c r="O146" s="165"/>
      <c r="P146" s="165"/>
      <c r="Q146" s="165"/>
      <c r="R146" s="165"/>
      <c r="S146" s="165"/>
      <c r="T146" s="165"/>
      <c r="U146" s="165"/>
      <c r="V146" s="165"/>
      <c r="W146" s="165"/>
    </row>
    <row r="147" spans="1:23" x14ac:dyDescent="0.25">
      <c r="A147" s="1" t="str">
        <f>IF($J$15="Y",'[1]Population Definitions'!$A$12,"...")</f>
        <v>...</v>
      </c>
      <c r="B147" s="1" t="str">
        <f>IF($J$15="Y","---&gt;","...")</f>
        <v>...</v>
      </c>
      <c r="C147" s="1" t="str">
        <f>IF($J$15="Y",'[1]Population Definitions'!$A$10,"...")</f>
        <v>...</v>
      </c>
      <c r="E147" s="165"/>
      <c r="F147" s="1" t="str">
        <f>IF($J$15="Y","OR","...")</f>
        <v>...</v>
      </c>
      <c r="G147" s="165"/>
      <c r="H147" s="165"/>
      <c r="I147" s="165"/>
      <c r="J147" s="165"/>
      <c r="K147" s="165"/>
      <c r="L147" s="165"/>
      <c r="M147" s="165"/>
      <c r="N147" s="165"/>
      <c r="O147" s="165"/>
      <c r="P147" s="165"/>
      <c r="Q147" s="165"/>
      <c r="R147" s="165"/>
      <c r="S147" s="165"/>
      <c r="T147" s="165"/>
      <c r="U147" s="165"/>
      <c r="V147" s="165"/>
      <c r="W147" s="165"/>
    </row>
    <row r="148" spans="1:23" x14ac:dyDescent="0.25">
      <c r="A148" s="1" t="str">
        <f>IF($K$15="Y",'[1]Population Definitions'!$A$12,"...")</f>
        <v>...</v>
      </c>
      <c r="B148" s="1" t="str">
        <f>IF($K$15="Y","---&gt;","...")</f>
        <v>...</v>
      </c>
      <c r="C148" s="1" t="str">
        <f>IF($K$15="Y",'[1]Population Definitions'!$A$11,"...")</f>
        <v>...</v>
      </c>
      <c r="E148" s="165"/>
      <c r="F148" s="1" t="str">
        <f>IF($K$15="Y","OR","...")</f>
        <v>...</v>
      </c>
      <c r="G148" s="165"/>
      <c r="H148" s="165"/>
      <c r="I148" s="165"/>
      <c r="J148" s="165"/>
      <c r="K148" s="165"/>
      <c r="L148" s="165"/>
      <c r="M148" s="165"/>
      <c r="N148" s="165"/>
      <c r="O148" s="165"/>
      <c r="P148" s="165"/>
      <c r="Q148" s="165"/>
      <c r="R148" s="165"/>
      <c r="S148" s="165"/>
      <c r="T148" s="165"/>
      <c r="U148" s="165"/>
      <c r="V148" s="165"/>
      <c r="W148" s="165"/>
    </row>
    <row r="149" spans="1:23" x14ac:dyDescent="0.25">
      <c r="A149" s="1" t="str">
        <f>IF($L$15="Y",'[1]Population Definitions'!$A$12,"...")</f>
        <v>...</v>
      </c>
      <c r="B149" s="1" t="str">
        <f>IF($L$15="Y","---&gt;","...")</f>
        <v>...</v>
      </c>
      <c r="C149" s="1" t="str">
        <f>IF($L$15="Y",'[1]Population Definitions'!$A$12,"...")</f>
        <v>...</v>
      </c>
      <c r="E149" s="165"/>
      <c r="F149" s="1" t="str">
        <f>IF($L$15="Y","OR","...")</f>
        <v>...</v>
      </c>
      <c r="G149" s="165"/>
      <c r="H149" s="165"/>
      <c r="I149" s="165"/>
      <c r="J149" s="165"/>
      <c r="K149" s="165"/>
      <c r="L149" s="165"/>
      <c r="M149" s="165"/>
      <c r="N149" s="165"/>
      <c r="O149" s="165"/>
      <c r="P149" s="165"/>
      <c r="Q149" s="165"/>
      <c r="R149" s="165"/>
      <c r="S149" s="165"/>
      <c r="T149" s="165"/>
      <c r="U149" s="165"/>
      <c r="V149" s="165"/>
      <c r="W149" s="165"/>
    </row>
    <row r="150" spans="1:23" x14ac:dyDescent="0.25">
      <c r="A150" s="1" t="str">
        <f>IF($M$15="Y",'[1]Population Definitions'!$A$12,"...")</f>
        <v>...</v>
      </c>
      <c r="B150" s="1" t="str">
        <f>IF($M$15="Y","---&gt;","...")</f>
        <v>...</v>
      </c>
      <c r="C150" s="1" t="str">
        <f>IF($M$15="Y",'[1]Population Definitions'!$A$13,"...")</f>
        <v>...</v>
      </c>
      <c r="E150" s="165"/>
      <c r="F150" s="1" t="str">
        <f>IF($M$15="Y","OR","...")</f>
        <v>...</v>
      </c>
      <c r="G150" s="165"/>
      <c r="H150" s="165"/>
      <c r="I150" s="165"/>
      <c r="J150" s="165"/>
      <c r="K150" s="165"/>
      <c r="L150" s="165"/>
      <c r="M150" s="165"/>
      <c r="N150" s="165"/>
      <c r="O150" s="165"/>
      <c r="P150" s="165"/>
      <c r="Q150" s="165"/>
      <c r="R150" s="165"/>
      <c r="S150" s="165"/>
      <c r="T150" s="165"/>
      <c r="U150" s="165"/>
      <c r="V150" s="165"/>
      <c r="W150" s="165"/>
    </row>
    <row r="151" spans="1:23" x14ac:dyDescent="0.25">
      <c r="A151" s="1" t="str">
        <f>IF($B$16="Y",'[1]Population Definitions'!$A$13,"...")</f>
        <v>...</v>
      </c>
      <c r="B151" s="1" t="str">
        <f>IF($B$16="Y","---&gt;","...")</f>
        <v>...</v>
      </c>
      <c r="C151" s="1" t="str">
        <f>IF($B$16="Y",'[1]Population Definitions'!$A$2,"...")</f>
        <v>...</v>
      </c>
      <c r="E151" s="165"/>
      <c r="F151" s="1" t="str">
        <f>IF($B$16="Y","OR","...")</f>
        <v>...</v>
      </c>
      <c r="G151" s="165"/>
      <c r="H151" s="165"/>
      <c r="I151" s="165"/>
      <c r="J151" s="165"/>
      <c r="K151" s="165"/>
      <c r="L151" s="165"/>
      <c r="M151" s="165"/>
      <c r="N151" s="165"/>
      <c r="O151" s="165"/>
      <c r="P151" s="165"/>
      <c r="Q151" s="165"/>
      <c r="R151" s="165"/>
      <c r="S151" s="165"/>
      <c r="T151" s="165"/>
      <c r="U151" s="165"/>
      <c r="V151" s="165"/>
      <c r="W151" s="165"/>
    </row>
    <row r="152" spans="1:23" x14ac:dyDescent="0.25">
      <c r="A152" s="1" t="str">
        <f>IF($C$16="Y",'[1]Population Definitions'!$A$13,"...")</f>
        <v>...</v>
      </c>
      <c r="B152" s="1" t="str">
        <f>IF($C$16="Y","---&gt;","...")</f>
        <v>...</v>
      </c>
      <c r="C152" s="1" t="str">
        <f>IF($C$16="Y",'[1]Population Definitions'!$A$3,"...")</f>
        <v>...</v>
      </c>
      <c r="E152" s="165"/>
      <c r="F152" s="1" t="str">
        <f>IF($C$16="Y","OR","...")</f>
        <v>...</v>
      </c>
      <c r="G152" s="165"/>
      <c r="H152" s="165"/>
      <c r="I152" s="165"/>
      <c r="J152" s="165"/>
      <c r="K152" s="165"/>
      <c r="L152" s="165"/>
      <c r="M152" s="165"/>
      <c r="N152" s="165"/>
      <c r="O152" s="165"/>
      <c r="P152" s="165"/>
      <c r="Q152" s="165"/>
      <c r="R152" s="165"/>
      <c r="S152" s="165"/>
      <c r="T152" s="165"/>
      <c r="U152" s="165"/>
      <c r="V152" s="165"/>
      <c r="W152" s="165"/>
    </row>
    <row r="153" spans="1:23" x14ac:dyDescent="0.25">
      <c r="A153" s="1" t="str">
        <f>IF($D$16="Y",'[1]Population Definitions'!$A$13,"...")</f>
        <v>...</v>
      </c>
      <c r="B153" s="1" t="str">
        <f>IF($D$16="Y","---&gt;","...")</f>
        <v>...</v>
      </c>
      <c r="C153" s="1" t="str">
        <f>IF($D$16="Y",'[1]Population Definitions'!$A$4,"...")</f>
        <v>...</v>
      </c>
      <c r="E153" s="165"/>
      <c r="F153" s="1" t="str">
        <f>IF($D$16="Y","OR","...")</f>
        <v>...</v>
      </c>
      <c r="G153" s="165"/>
      <c r="H153" s="165"/>
      <c r="I153" s="165"/>
      <c r="J153" s="165"/>
      <c r="K153" s="165"/>
      <c r="L153" s="165"/>
      <c r="M153" s="165"/>
      <c r="N153" s="165"/>
      <c r="O153" s="165"/>
      <c r="P153" s="165"/>
      <c r="Q153" s="165"/>
      <c r="R153" s="165"/>
      <c r="S153" s="165"/>
      <c r="T153" s="165"/>
      <c r="U153" s="165"/>
      <c r="V153" s="165"/>
      <c r="W153" s="165"/>
    </row>
    <row r="154" spans="1:23" x14ac:dyDescent="0.25">
      <c r="A154" s="1" t="str">
        <f>IF($E$16="Y",'[1]Population Definitions'!$A$13,"...")</f>
        <v>...</v>
      </c>
      <c r="B154" s="1" t="str">
        <f>IF($E$16="Y","---&gt;","...")</f>
        <v>...</v>
      </c>
      <c r="C154" s="1" t="str">
        <f>IF($E$16="Y",'[1]Population Definitions'!$A$5,"...")</f>
        <v>...</v>
      </c>
      <c r="E154" s="165"/>
      <c r="F154" s="1" t="str">
        <f>IF($E$16="Y","OR","...")</f>
        <v>...</v>
      </c>
      <c r="G154" s="165"/>
      <c r="H154" s="165"/>
      <c r="I154" s="165"/>
      <c r="J154" s="165"/>
      <c r="K154" s="165"/>
      <c r="L154" s="165"/>
      <c r="M154" s="165"/>
      <c r="N154" s="165"/>
      <c r="O154" s="165"/>
      <c r="P154" s="165"/>
      <c r="Q154" s="165"/>
      <c r="R154" s="165"/>
      <c r="S154" s="165"/>
      <c r="T154" s="165"/>
      <c r="U154" s="165"/>
      <c r="V154" s="165"/>
      <c r="W154" s="165"/>
    </row>
    <row r="155" spans="1:23" x14ac:dyDescent="0.25">
      <c r="A155" s="1" t="str">
        <f>IF($F$16="Y",'[1]Population Definitions'!$A$13,"...")</f>
        <v>...</v>
      </c>
      <c r="B155" s="1" t="str">
        <f>IF($F$16="Y","---&gt;","...")</f>
        <v>...</v>
      </c>
      <c r="C155" s="1" t="str">
        <f>IF($F$16="Y",'[1]Population Definitions'!$A$6,"...")</f>
        <v>...</v>
      </c>
      <c r="E155" s="165"/>
      <c r="F155" s="1" t="str">
        <f>IF($F$16="Y","OR","...")</f>
        <v>...</v>
      </c>
      <c r="G155" s="165"/>
      <c r="H155" s="165"/>
      <c r="I155" s="165"/>
      <c r="J155" s="165"/>
      <c r="K155" s="165"/>
      <c r="L155" s="165"/>
      <c r="M155" s="165"/>
      <c r="N155" s="165"/>
      <c r="O155" s="165"/>
      <c r="P155" s="165"/>
      <c r="Q155" s="165"/>
      <c r="R155" s="165"/>
      <c r="S155" s="165"/>
      <c r="T155" s="165"/>
      <c r="U155" s="165"/>
      <c r="V155" s="165"/>
      <c r="W155" s="165"/>
    </row>
    <row r="156" spans="1:23" x14ac:dyDescent="0.25">
      <c r="A156" s="1" t="str">
        <f>IF($G$16="Y",'[1]Population Definitions'!$A$13,"...")</f>
        <v>...</v>
      </c>
      <c r="B156" s="1" t="str">
        <f>IF($G$16="Y","---&gt;","...")</f>
        <v>...</v>
      </c>
      <c r="C156" s="1" t="str">
        <f>IF($G$16="Y",'[1]Population Definitions'!$A$7,"...")</f>
        <v>...</v>
      </c>
      <c r="E156" s="165"/>
      <c r="F156" s="1" t="str">
        <f>IF($G$16="Y","OR","...")</f>
        <v>...</v>
      </c>
      <c r="G156" s="165"/>
      <c r="H156" s="165"/>
      <c r="I156" s="165"/>
      <c r="J156" s="165"/>
      <c r="K156" s="165"/>
      <c r="L156" s="165"/>
      <c r="M156" s="165"/>
      <c r="N156" s="165"/>
      <c r="O156" s="165"/>
      <c r="P156" s="165"/>
      <c r="Q156" s="165"/>
      <c r="R156" s="165"/>
      <c r="S156" s="165"/>
      <c r="T156" s="165"/>
      <c r="U156" s="165"/>
      <c r="V156" s="165"/>
      <c r="W156" s="165"/>
    </row>
    <row r="157" spans="1:23" x14ac:dyDescent="0.25">
      <c r="A157" s="1" t="str">
        <f>IF($H$16="Y",'[1]Population Definitions'!$A$13,"...")</f>
        <v>...</v>
      </c>
      <c r="B157" s="1" t="str">
        <f>IF($H$16="Y","---&gt;","...")</f>
        <v>...</v>
      </c>
      <c r="C157" s="1" t="str">
        <f>IF($H$16="Y",'[1]Population Definitions'!$A$8,"...")</f>
        <v>...</v>
      </c>
      <c r="E157" s="165"/>
      <c r="F157" s="1" t="str">
        <f>IF($H$16="Y","OR","...")</f>
        <v>...</v>
      </c>
      <c r="G157" s="165"/>
      <c r="H157" s="165"/>
      <c r="I157" s="165"/>
      <c r="J157" s="165"/>
      <c r="K157" s="165"/>
      <c r="L157" s="165"/>
      <c r="M157" s="165"/>
      <c r="N157" s="165"/>
      <c r="O157" s="165"/>
      <c r="P157" s="165"/>
      <c r="Q157" s="165"/>
      <c r="R157" s="165"/>
      <c r="S157" s="165"/>
      <c r="T157" s="165"/>
      <c r="U157" s="165"/>
      <c r="V157" s="165"/>
      <c r="W157" s="165"/>
    </row>
    <row r="158" spans="1:23" x14ac:dyDescent="0.25">
      <c r="A158" s="1" t="str">
        <f>IF($I$16="Y",'[1]Population Definitions'!$A$13,"...")</f>
        <v>...</v>
      </c>
      <c r="B158" s="1" t="str">
        <f>IF($I$16="Y","---&gt;","...")</f>
        <v>...</v>
      </c>
      <c r="C158" s="1" t="str">
        <f>IF($I$16="Y",'[1]Population Definitions'!$A$9,"...")</f>
        <v>...</v>
      </c>
      <c r="E158" s="165"/>
      <c r="F158" s="1" t="str">
        <f>IF($I$16="Y","OR","...")</f>
        <v>...</v>
      </c>
      <c r="G158" s="165"/>
      <c r="H158" s="165"/>
      <c r="I158" s="165"/>
      <c r="J158" s="165"/>
      <c r="K158" s="165"/>
      <c r="L158" s="165"/>
      <c r="M158" s="165"/>
      <c r="N158" s="165"/>
      <c r="O158" s="165"/>
      <c r="P158" s="165"/>
      <c r="Q158" s="165"/>
      <c r="R158" s="165"/>
      <c r="S158" s="165"/>
      <c r="T158" s="165"/>
      <c r="U158" s="165"/>
      <c r="V158" s="165"/>
      <c r="W158" s="165"/>
    </row>
    <row r="159" spans="1:23" x14ac:dyDescent="0.25">
      <c r="A159" s="1" t="str">
        <f>IF($J$16="Y",'[1]Population Definitions'!$A$13,"...")</f>
        <v>...</v>
      </c>
      <c r="B159" s="1" t="str">
        <f>IF($J$16="Y","---&gt;","...")</f>
        <v>...</v>
      </c>
      <c r="C159" s="1" t="str">
        <f>IF($J$16="Y",'[1]Population Definitions'!$A$10,"...")</f>
        <v>...</v>
      </c>
      <c r="E159" s="165"/>
      <c r="F159" s="1" t="str">
        <f>IF($J$16="Y","OR","...")</f>
        <v>...</v>
      </c>
      <c r="G159" s="165"/>
      <c r="H159" s="165"/>
      <c r="I159" s="165"/>
      <c r="J159" s="165"/>
      <c r="K159" s="165"/>
      <c r="L159" s="165"/>
      <c r="M159" s="165"/>
      <c r="N159" s="165"/>
      <c r="O159" s="165"/>
      <c r="P159" s="165"/>
      <c r="Q159" s="165"/>
      <c r="R159" s="165"/>
      <c r="S159" s="165"/>
      <c r="T159" s="165"/>
      <c r="U159" s="165"/>
      <c r="V159" s="165"/>
      <c r="W159" s="165"/>
    </row>
    <row r="160" spans="1:23" x14ac:dyDescent="0.25">
      <c r="A160" s="1" t="str">
        <f>IF($K$16="Y",'[1]Population Definitions'!$A$13,"...")</f>
        <v>...</v>
      </c>
      <c r="B160" s="1" t="str">
        <f>IF($K$16="Y","---&gt;","...")</f>
        <v>...</v>
      </c>
      <c r="C160" s="1" t="str">
        <f>IF($K$16="Y",'[1]Population Definitions'!$A$11,"...")</f>
        <v>...</v>
      </c>
      <c r="E160" s="165"/>
      <c r="F160" s="1" t="str">
        <f>IF($K$16="Y","OR","...")</f>
        <v>...</v>
      </c>
      <c r="G160" s="165"/>
      <c r="H160" s="165"/>
      <c r="I160" s="165"/>
      <c r="J160" s="165"/>
      <c r="K160" s="165"/>
      <c r="L160" s="165"/>
      <c r="M160" s="165"/>
      <c r="N160" s="165"/>
      <c r="O160" s="165"/>
      <c r="P160" s="165"/>
      <c r="Q160" s="165"/>
      <c r="R160" s="165"/>
      <c r="S160" s="165"/>
      <c r="T160" s="165"/>
      <c r="U160" s="165"/>
      <c r="V160" s="165"/>
      <c r="W160" s="165"/>
    </row>
    <row r="161" spans="1:23" x14ac:dyDescent="0.25">
      <c r="A161" s="1" t="str">
        <f>IF($L$16="Y",'[1]Population Definitions'!$A$13,"...")</f>
        <v>...</v>
      </c>
      <c r="B161" s="1" t="str">
        <f>IF($L$16="Y","---&gt;","...")</f>
        <v>...</v>
      </c>
      <c r="C161" s="1" t="str">
        <f>IF($L$16="Y",'[1]Population Definitions'!$A$12,"...")</f>
        <v>...</v>
      </c>
      <c r="E161" s="165"/>
      <c r="F161" s="1" t="str">
        <f>IF($L$16="Y","OR","...")</f>
        <v>...</v>
      </c>
      <c r="G161" s="165"/>
      <c r="H161" s="165"/>
      <c r="I161" s="165"/>
      <c r="J161" s="165"/>
      <c r="K161" s="165"/>
      <c r="L161" s="165"/>
      <c r="M161" s="165"/>
      <c r="N161" s="165"/>
      <c r="O161" s="165"/>
      <c r="P161" s="165"/>
      <c r="Q161" s="165"/>
      <c r="R161" s="165"/>
      <c r="S161" s="165"/>
      <c r="T161" s="165"/>
      <c r="U161" s="165"/>
      <c r="V161" s="165"/>
      <c r="W161" s="165"/>
    </row>
    <row r="162" spans="1:23" x14ac:dyDescent="0.25">
      <c r="A162" s="1" t="str">
        <f>IF($M$16="Y",'[1]Population Definitions'!$A$13,"...")</f>
        <v>...</v>
      </c>
      <c r="B162" s="1" t="str">
        <f>IF($M$16="Y","---&gt;","...")</f>
        <v>...</v>
      </c>
      <c r="C162" s="1" t="str">
        <f>IF($M$16="Y",'[1]Population Definitions'!$A$13,"...")</f>
        <v>...</v>
      </c>
      <c r="E162" s="165"/>
      <c r="F162" s="1" t="str">
        <f>IF($M$16="Y","OR","...")</f>
        <v>...</v>
      </c>
      <c r="G162" s="165"/>
      <c r="H162" s="165"/>
      <c r="I162" s="165"/>
      <c r="J162" s="165"/>
      <c r="K162" s="165"/>
      <c r="L162" s="165"/>
      <c r="M162" s="165"/>
      <c r="N162" s="165"/>
      <c r="O162" s="165"/>
      <c r="P162" s="165"/>
      <c r="Q162" s="165"/>
      <c r="R162" s="165"/>
      <c r="S162" s="165"/>
      <c r="T162" s="165"/>
      <c r="U162" s="165"/>
      <c r="V162" s="165"/>
      <c r="W162" s="165"/>
    </row>
    <row r="164" spans="1:23" x14ac:dyDescent="0.25">
      <c r="A164" s="1" t="s">
        <v>0</v>
      </c>
      <c r="B164" s="1" t="s">
        <v>1</v>
      </c>
    </row>
    <row r="165" spans="1:23" x14ac:dyDescent="0.25">
      <c r="A165" s="132" t="s">
        <v>141</v>
      </c>
      <c r="B165" s="132"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8" t="s">
        <v>41</v>
      </c>
      <c r="C168" s="164" t="s">
        <v>145</v>
      </c>
      <c r="D168" s="164" t="s">
        <v>145</v>
      </c>
      <c r="E168" s="164" t="s">
        <v>145</v>
      </c>
      <c r="F168" s="164" t="s">
        <v>145</v>
      </c>
      <c r="G168" s="164" t="s">
        <v>145</v>
      </c>
      <c r="H168" s="164" t="s">
        <v>145</v>
      </c>
      <c r="I168" s="164" t="s">
        <v>145</v>
      </c>
      <c r="J168" s="164" t="s">
        <v>145</v>
      </c>
      <c r="K168" s="164" t="s">
        <v>145</v>
      </c>
      <c r="L168" s="164" t="s">
        <v>145</v>
      </c>
      <c r="M168" s="164" t="s">
        <v>145</v>
      </c>
    </row>
    <row r="169" spans="1:23" x14ac:dyDescent="0.25">
      <c r="A169" s="1" t="str">
        <f>'[1]Population Definitions'!$A$3</f>
        <v>5-14</v>
      </c>
      <c r="B169" s="164" t="s">
        <v>145</v>
      </c>
      <c r="C169" s="38" t="s">
        <v>41</v>
      </c>
      <c r="D169" s="164" t="s">
        <v>145</v>
      </c>
      <c r="E169" s="164" t="s">
        <v>145</v>
      </c>
      <c r="F169" s="164" t="s">
        <v>145</v>
      </c>
      <c r="G169" s="164" t="s">
        <v>145</v>
      </c>
      <c r="H169" s="164" t="s">
        <v>145</v>
      </c>
      <c r="I169" s="164" t="s">
        <v>145</v>
      </c>
      <c r="J169" s="164" t="s">
        <v>145</v>
      </c>
      <c r="K169" s="164" t="s">
        <v>145</v>
      </c>
      <c r="L169" s="164" t="s">
        <v>145</v>
      </c>
      <c r="M169" s="164" t="s">
        <v>145</v>
      </c>
    </row>
    <row r="170" spans="1:23" x14ac:dyDescent="0.25">
      <c r="A170" s="1" t="str">
        <f>'[1]Population Definitions'!$A$4</f>
        <v>15-64</v>
      </c>
      <c r="B170" s="164" t="s">
        <v>145</v>
      </c>
      <c r="C170" s="164" t="s">
        <v>145</v>
      </c>
      <c r="D170" s="38" t="s">
        <v>41</v>
      </c>
      <c r="E170" s="164" t="s">
        <v>145</v>
      </c>
      <c r="F170" s="164" t="s">
        <v>144</v>
      </c>
      <c r="G170" s="164" t="s">
        <v>145</v>
      </c>
      <c r="H170" s="164" t="s">
        <v>145</v>
      </c>
      <c r="I170" s="164" t="s">
        <v>145</v>
      </c>
      <c r="J170" s="164" t="s">
        <v>145</v>
      </c>
      <c r="K170" s="164" t="s">
        <v>145</v>
      </c>
      <c r="L170" s="164" t="s">
        <v>145</v>
      </c>
      <c r="M170" s="164" t="s">
        <v>145</v>
      </c>
    </row>
    <row r="171" spans="1:23" x14ac:dyDescent="0.25">
      <c r="A171" s="1" t="str">
        <f>'[1]Population Definitions'!$A$5</f>
        <v>65+</v>
      </c>
      <c r="B171" s="164" t="s">
        <v>145</v>
      </c>
      <c r="C171" s="164" t="s">
        <v>145</v>
      </c>
      <c r="D171" s="164" t="s">
        <v>145</v>
      </c>
      <c r="E171" s="38" t="s">
        <v>41</v>
      </c>
      <c r="F171" s="164" t="s">
        <v>145</v>
      </c>
      <c r="G171" s="164" t="s">
        <v>144</v>
      </c>
      <c r="H171" s="164" t="s">
        <v>145</v>
      </c>
      <c r="I171" s="164" t="s">
        <v>145</v>
      </c>
      <c r="J171" s="164" t="s">
        <v>145</v>
      </c>
      <c r="K171" s="164" t="s">
        <v>145</v>
      </c>
      <c r="L171" s="164" t="s">
        <v>145</v>
      </c>
      <c r="M171" s="164" t="s">
        <v>145</v>
      </c>
    </row>
    <row r="172" spans="1:23" x14ac:dyDescent="0.25">
      <c r="A172" s="1" t="str">
        <f>'[1]Population Definitions'!$A$6</f>
        <v>15-64 (HIV+)</v>
      </c>
      <c r="B172" s="164" t="s">
        <v>145</v>
      </c>
      <c r="C172" s="164" t="s">
        <v>145</v>
      </c>
      <c r="D172" s="164" t="s">
        <v>145</v>
      </c>
      <c r="E172" s="164" t="s">
        <v>145</v>
      </c>
      <c r="F172" s="38" t="s">
        <v>41</v>
      </c>
      <c r="G172" s="164" t="s">
        <v>145</v>
      </c>
      <c r="H172" s="164" t="s">
        <v>145</v>
      </c>
      <c r="I172" s="164" t="s">
        <v>145</v>
      </c>
      <c r="J172" s="164" t="s">
        <v>145</v>
      </c>
      <c r="K172" s="164" t="s">
        <v>145</v>
      </c>
      <c r="L172" s="164" t="s">
        <v>145</v>
      </c>
      <c r="M172" s="164" t="s">
        <v>145</v>
      </c>
    </row>
    <row r="173" spans="1:23" x14ac:dyDescent="0.25">
      <c r="A173" s="1" t="str">
        <f>'[1]Population Definitions'!$A$7</f>
        <v>65+ (HIV+)</v>
      </c>
      <c r="B173" s="164" t="s">
        <v>145</v>
      </c>
      <c r="C173" s="164" t="s">
        <v>145</v>
      </c>
      <c r="D173" s="164" t="s">
        <v>145</v>
      </c>
      <c r="E173" s="164" t="s">
        <v>145</v>
      </c>
      <c r="F173" s="164" t="s">
        <v>145</v>
      </c>
      <c r="G173" s="38" t="s">
        <v>41</v>
      </c>
      <c r="H173" s="164" t="s">
        <v>145</v>
      </c>
      <c r="I173" s="164" t="s">
        <v>145</v>
      </c>
      <c r="J173" s="164" t="s">
        <v>145</v>
      </c>
      <c r="K173" s="164" t="s">
        <v>145</v>
      </c>
      <c r="L173" s="164" t="s">
        <v>145</v>
      </c>
      <c r="M173" s="164" t="s">
        <v>145</v>
      </c>
    </row>
    <row r="174" spans="1:23" x14ac:dyDescent="0.25">
      <c r="A174" s="1" t="str">
        <f>'[1]Population Definitions'!$A$8</f>
        <v>Pris</v>
      </c>
      <c r="B174" s="164" t="s">
        <v>145</v>
      </c>
      <c r="C174" s="164" t="s">
        <v>145</v>
      </c>
      <c r="D174" s="164" t="s">
        <v>145</v>
      </c>
      <c r="E174" s="164" t="s">
        <v>145</v>
      </c>
      <c r="F174" s="164" t="s">
        <v>145</v>
      </c>
      <c r="G174" s="164" t="s">
        <v>145</v>
      </c>
      <c r="H174" s="38" t="s">
        <v>41</v>
      </c>
      <c r="I174" s="164" t="s">
        <v>144</v>
      </c>
      <c r="J174" s="164" t="s">
        <v>145</v>
      </c>
      <c r="K174" s="164" t="s">
        <v>145</v>
      </c>
      <c r="L174" s="164" t="s">
        <v>145</v>
      </c>
      <c r="M174" s="164" t="s">
        <v>145</v>
      </c>
    </row>
    <row r="175" spans="1:23" x14ac:dyDescent="0.25">
      <c r="A175" s="1" t="str">
        <f>'[1]Population Definitions'!$A$9</f>
        <v>Pris (HIV+)</v>
      </c>
      <c r="B175" s="164" t="s">
        <v>145</v>
      </c>
      <c r="C175" s="164" t="s">
        <v>145</v>
      </c>
      <c r="D175" s="164" t="s">
        <v>145</v>
      </c>
      <c r="E175" s="164" t="s">
        <v>145</v>
      </c>
      <c r="F175" s="164" t="s">
        <v>145</v>
      </c>
      <c r="G175" s="164" t="s">
        <v>145</v>
      </c>
      <c r="H175" s="164" t="s">
        <v>145</v>
      </c>
      <c r="I175" s="38" t="s">
        <v>41</v>
      </c>
      <c r="J175" s="164" t="s">
        <v>145</v>
      </c>
      <c r="K175" s="164" t="s">
        <v>145</v>
      </c>
      <c r="L175" s="164" t="s">
        <v>145</v>
      </c>
      <c r="M175" s="164" t="s">
        <v>145</v>
      </c>
    </row>
    <row r="176" spans="1:23" x14ac:dyDescent="0.25">
      <c r="A176" s="1" t="str">
        <f>'[1]Population Definitions'!$A$10</f>
        <v>HCW</v>
      </c>
      <c r="B176" s="164" t="s">
        <v>145</v>
      </c>
      <c r="C176" s="164" t="s">
        <v>145</v>
      </c>
      <c r="D176" s="164" t="s">
        <v>145</v>
      </c>
      <c r="E176" s="164" t="s">
        <v>145</v>
      </c>
      <c r="F176" s="164" t="s">
        <v>145</v>
      </c>
      <c r="G176" s="164" t="s">
        <v>145</v>
      </c>
      <c r="H176" s="164" t="s">
        <v>145</v>
      </c>
      <c r="I176" s="164" t="s">
        <v>145</v>
      </c>
      <c r="J176" s="38" t="s">
        <v>41</v>
      </c>
      <c r="K176" s="164" t="s">
        <v>144</v>
      </c>
      <c r="L176" s="164" t="s">
        <v>145</v>
      </c>
      <c r="M176" s="164" t="s">
        <v>145</v>
      </c>
    </row>
    <row r="177" spans="1:23" x14ac:dyDescent="0.25">
      <c r="A177" s="1" t="str">
        <f>'[1]Population Definitions'!$A$11</f>
        <v>HCW (HIV+)</v>
      </c>
      <c r="B177" s="164" t="s">
        <v>145</v>
      </c>
      <c r="C177" s="164" t="s">
        <v>145</v>
      </c>
      <c r="D177" s="164" t="s">
        <v>145</v>
      </c>
      <c r="E177" s="164" t="s">
        <v>145</v>
      </c>
      <c r="F177" s="164" t="s">
        <v>145</v>
      </c>
      <c r="G177" s="164" t="s">
        <v>145</v>
      </c>
      <c r="H177" s="164" t="s">
        <v>145</v>
      </c>
      <c r="I177" s="164" t="s">
        <v>145</v>
      </c>
      <c r="J177" s="164" t="s">
        <v>145</v>
      </c>
      <c r="K177" s="38" t="s">
        <v>41</v>
      </c>
      <c r="L177" s="164" t="s">
        <v>145</v>
      </c>
      <c r="M177" s="164" t="s">
        <v>145</v>
      </c>
    </row>
    <row r="178" spans="1:23" x14ac:dyDescent="0.25">
      <c r="A178" s="1" t="str">
        <f>'[1]Population Definitions'!$A$12</f>
        <v>Mine</v>
      </c>
      <c r="B178" s="164" t="s">
        <v>145</v>
      </c>
      <c r="C178" s="164" t="s">
        <v>145</v>
      </c>
      <c r="D178" s="164" t="s">
        <v>145</v>
      </c>
      <c r="E178" s="164" t="s">
        <v>145</v>
      </c>
      <c r="F178" s="164" t="s">
        <v>145</v>
      </c>
      <c r="G178" s="164" t="s">
        <v>145</v>
      </c>
      <c r="H178" s="164" t="s">
        <v>145</v>
      </c>
      <c r="I178" s="164" t="s">
        <v>145</v>
      </c>
      <c r="J178" s="164" t="s">
        <v>145</v>
      </c>
      <c r="K178" s="164" t="s">
        <v>145</v>
      </c>
      <c r="L178" s="38" t="s">
        <v>41</v>
      </c>
      <c r="M178" s="164" t="s">
        <v>144</v>
      </c>
    </row>
    <row r="179" spans="1:23" x14ac:dyDescent="0.25">
      <c r="A179" s="1" t="str">
        <f>'[1]Population Definitions'!$A$13</f>
        <v>Mine (HIV+)</v>
      </c>
      <c r="B179" s="164" t="s">
        <v>145</v>
      </c>
      <c r="C179" s="164" t="s">
        <v>145</v>
      </c>
      <c r="D179" s="164" t="s">
        <v>145</v>
      </c>
      <c r="E179" s="164" t="s">
        <v>145</v>
      </c>
      <c r="F179" s="164" t="s">
        <v>145</v>
      </c>
      <c r="G179" s="164" t="s">
        <v>145</v>
      </c>
      <c r="H179" s="164" t="s">
        <v>145</v>
      </c>
      <c r="I179" s="164" t="s">
        <v>145</v>
      </c>
      <c r="J179" s="164" t="s">
        <v>145</v>
      </c>
      <c r="K179" s="164" t="s">
        <v>145</v>
      </c>
      <c r="L179" s="164" t="s">
        <v>145</v>
      </c>
      <c r="M179" s="38" t="s">
        <v>41</v>
      </c>
    </row>
    <row r="181" spans="1:23"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row>
    <row r="182" spans="1:23" x14ac:dyDescent="0.25">
      <c r="A182" s="1" t="str">
        <f>IF($B$168="Y",'[1]Population Definitions'!$A$2,"...")</f>
        <v>...</v>
      </c>
      <c r="B182" s="1" t="str">
        <f>IF($B$168="Y","---&gt;","...")</f>
        <v>...</v>
      </c>
      <c r="C182" s="1" t="str">
        <f>IF($B$168="Y",'[1]Population Definitions'!$A$2,"...")</f>
        <v>...</v>
      </c>
      <c r="E182" s="165"/>
      <c r="F182" s="1" t="str">
        <f>IF($B$168="Y","OR","...")</f>
        <v>...</v>
      </c>
      <c r="G182" s="165"/>
      <c r="H182" s="165"/>
      <c r="I182" s="165"/>
      <c r="J182" s="165"/>
      <c r="K182" s="165"/>
      <c r="L182" s="165"/>
      <c r="M182" s="165"/>
      <c r="N182" s="165"/>
      <c r="O182" s="165"/>
      <c r="P182" s="165"/>
      <c r="Q182" s="165"/>
      <c r="R182" s="165"/>
      <c r="S182" s="165"/>
      <c r="T182" s="165"/>
      <c r="U182" s="165"/>
      <c r="V182" s="165"/>
      <c r="W182" s="165"/>
    </row>
    <row r="183" spans="1:23" x14ac:dyDescent="0.25">
      <c r="A183" s="1" t="str">
        <f>IF($C$168="Y",'[1]Population Definitions'!$A$2,"...")</f>
        <v>...</v>
      </c>
      <c r="B183" s="1" t="str">
        <f>IF($C$168="Y","---&gt;","...")</f>
        <v>...</v>
      </c>
      <c r="C183" s="1" t="str">
        <f>IF($C$168="Y",'[1]Population Definitions'!$A$3,"...")</f>
        <v>...</v>
      </c>
      <c r="E183" s="165"/>
      <c r="F183" s="1" t="str">
        <f>IF($C$168="Y","OR","...")</f>
        <v>...</v>
      </c>
      <c r="G183" s="165"/>
      <c r="H183" s="165"/>
      <c r="I183" s="165"/>
      <c r="J183" s="165"/>
      <c r="K183" s="165"/>
      <c r="L183" s="165"/>
      <c r="M183" s="165"/>
      <c r="N183" s="165"/>
      <c r="O183" s="165"/>
      <c r="P183" s="165"/>
      <c r="Q183" s="165"/>
      <c r="R183" s="165"/>
      <c r="S183" s="165"/>
      <c r="T183" s="165"/>
      <c r="U183" s="165"/>
      <c r="V183" s="165"/>
      <c r="W183" s="165"/>
    </row>
    <row r="184" spans="1:23" x14ac:dyDescent="0.25">
      <c r="A184" s="1" t="str">
        <f>IF($D$168="Y",'[1]Population Definitions'!$A$2,"...")</f>
        <v>...</v>
      </c>
      <c r="B184" s="1" t="str">
        <f>IF($D$168="Y","---&gt;","...")</f>
        <v>...</v>
      </c>
      <c r="C184" s="1" t="str">
        <f>IF($D$168="Y",'[1]Population Definitions'!$A$4,"...")</f>
        <v>...</v>
      </c>
      <c r="E184" s="165"/>
      <c r="F184" s="1" t="str">
        <f>IF($D$168="Y","OR","...")</f>
        <v>...</v>
      </c>
      <c r="G184" s="165"/>
      <c r="H184" s="165"/>
      <c r="I184" s="165"/>
      <c r="J184" s="165"/>
      <c r="K184" s="165"/>
      <c r="L184" s="165"/>
      <c r="M184" s="165"/>
      <c r="N184" s="165"/>
      <c r="O184" s="165"/>
      <c r="P184" s="165"/>
      <c r="Q184" s="165"/>
      <c r="R184" s="165"/>
      <c r="S184" s="165"/>
      <c r="T184" s="165"/>
      <c r="U184" s="165"/>
      <c r="V184" s="165"/>
      <c r="W184" s="165"/>
    </row>
    <row r="185" spans="1:23" x14ac:dyDescent="0.25">
      <c r="A185" s="1" t="str">
        <f>IF($E$168="Y",'[1]Population Definitions'!$A$2,"...")</f>
        <v>...</v>
      </c>
      <c r="B185" s="1" t="str">
        <f>IF($E$168="Y","---&gt;","...")</f>
        <v>...</v>
      </c>
      <c r="C185" s="1" t="str">
        <f>IF($E$168="Y",'[1]Population Definitions'!$A$5,"...")</f>
        <v>...</v>
      </c>
      <c r="E185" s="165"/>
      <c r="F185" s="1" t="str">
        <f>IF($E$168="Y","OR","...")</f>
        <v>...</v>
      </c>
      <c r="G185" s="165"/>
      <c r="H185" s="165"/>
      <c r="I185" s="165"/>
      <c r="J185" s="165"/>
      <c r="K185" s="165"/>
      <c r="L185" s="165"/>
      <c r="M185" s="165"/>
      <c r="N185" s="165"/>
      <c r="O185" s="165"/>
      <c r="P185" s="165"/>
      <c r="Q185" s="165"/>
      <c r="R185" s="165"/>
      <c r="S185" s="165"/>
      <c r="T185" s="165"/>
      <c r="U185" s="165"/>
      <c r="V185" s="165"/>
      <c r="W185" s="165"/>
    </row>
    <row r="186" spans="1:23" x14ac:dyDescent="0.25">
      <c r="A186" s="1" t="str">
        <f>IF($F$168="Y",'[1]Population Definitions'!$A$2,"...")</f>
        <v>...</v>
      </c>
      <c r="B186" s="1" t="str">
        <f>IF($F$168="Y","---&gt;","...")</f>
        <v>...</v>
      </c>
      <c r="C186" s="1" t="str">
        <f>IF($F$168="Y",'[1]Population Definitions'!$A$6,"...")</f>
        <v>...</v>
      </c>
      <c r="E186" s="165"/>
      <c r="F186" s="1" t="str">
        <f>IF($F$168="Y","OR","...")</f>
        <v>...</v>
      </c>
      <c r="G186" s="165"/>
      <c r="H186" s="165"/>
      <c r="I186" s="165"/>
      <c r="J186" s="165"/>
      <c r="K186" s="165"/>
      <c r="L186" s="165"/>
      <c r="M186" s="165"/>
      <c r="N186" s="165"/>
      <c r="O186" s="165"/>
      <c r="P186" s="165"/>
      <c r="Q186" s="165"/>
      <c r="R186" s="165"/>
      <c r="S186" s="165"/>
      <c r="T186" s="165"/>
      <c r="U186" s="165"/>
      <c r="V186" s="165"/>
      <c r="W186" s="165"/>
    </row>
    <row r="187" spans="1:23" x14ac:dyDescent="0.25">
      <c r="A187" s="1" t="str">
        <f>IF($G$168="Y",'[1]Population Definitions'!$A$2,"...")</f>
        <v>...</v>
      </c>
      <c r="B187" s="1" t="str">
        <f>IF($G$168="Y","---&gt;","...")</f>
        <v>...</v>
      </c>
      <c r="C187" s="1" t="str">
        <f>IF($G$168="Y",'[1]Population Definitions'!$A$7,"...")</f>
        <v>...</v>
      </c>
      <c r="E187" s="165"/>
      <c r="F187" s="1" t="str">
        <f>IF($G$168="Y","OR","...")</f>
        <v>...</v>
      </c>
      <c r="G187" s="165"/>
      <c r="H187" s="165"/>
      <c r="I187" s="165"/>
      <c r="J187" s="165"/>
      <c r="K187" s="165"/>
      <c r="L187" s="165"/>
      <c r="M187" s="165"/>
      <c r="N187" s="165"/>
      <c r="O187" s="165"/>
      <c r="P187" s="165"/>
      <c r="Q187" s="165"/>
      <c r="R187" s="165"/>
      <c r="S187" s="165"/>
      <c r="T187" s="165"/>
      <c r="U187" s="165"/>
      <c r="V187" s="165"/>
      <c r="W187" s="165"/>
    </row>
    <row r="188" spans="1:23" x14ac:dyDescent="0.25">
      <c r="A188" s="1" t="str">
        <f>IF($H$168="Y",'[1]Population Definitions'!$A$2,"...")</f>
        <v>...</v>
      </c>
      <c r="B188" s="1" t="str">
        <f>IF($H$168="Y","---&gt;","...")</f>
        <v>...</v>
      </c>
      <c r="C188" s="1" t="str">
        <f>IF($H$168="Y",'[1]Population Definitions'!$A$8,"...")</f>
        <v>...</v>
      </c>
      <c r="E188" s="165"/>
      <c r="F188" s="1" t="str">
        <f>IF($H$168="Y","OR","...")</f>
        <v>...</v>
      </c>
      <c r="G188" s="165"/>
      <c r="H188" s="165"/>
      <c r="I188" s="165"/>
      <c r="J188" s="165"/>
      <c r="K188" s="165"/>
      <c r="L188" s="165"/>
      <c r="M188" s="165"/>
      <c r="N188" s="165"/>
      <c r="O188" s="165"/>
      <c r="P188" s="165"/>
      <c r="Q188" s="165"/>
      <c r="R188" s="165"/>
      <c r="S188" s="165"/>
      <c r="T188" s="165"/>
      <c r="U188" s="165"/>
      <c r="V188" s="165"/>
      <c r="W188" s="165"/>
    </row>
    <row r="189" spans="1:23" x14ac:dyDescent="0.25">
      <c r="A189" s="1" t="str">
        <f>IF($I$168="Y",'[1]Population Definitions'!$A$2,"...")</f>
        <v>...</v>
      </c>
      <c r="B189" s="1" t="str">
        <f>IF($I$168="Y","---&gt;","...")</f>
        <v>...</v>
      </c>
      <c r="C189" s="1" t="str">
        <f>IF($I$168="Y",'[1]Population Definitions'!$A$9,"...")</f>
        <v>...</v>
      </c>
      <c r="E189" s="165"/>
      <c r="F189" s="1" t="str">
        <f>IF($I$168="Y","OR","...")</f>
        <v>...</v>
      </c>
      <c r="G189" s="165"/>
      <c r="H189" s="165"/>
      <c r="I189" s="165"/>
      <c r="J189" s="165"/>
      <c r="K189" s="165"/>
      <c r="L189" s="165"/>
      <c r="M189" s="165"/>
      <c r="N189" s="165"/>
      <c r="O189" s="165"/>
      <c r="P189" s="165"/>
      <c r="Q189" s="165"/>
      <c r="R189" s="165"/>
      <c r="S189" s="165"/>
      <c r="T189" s="165"/>
      <c r="U189" s="165"/>
      <c r="V189" s="165"/>
      <c r="W189" s="165"/>
    </row>
    <row r="190" spans="1:23" x14ac:dyDescent="0.25">
      <c r="A190" s="1" t="str">
        <f>IF($J$168="Y",'[1]Population Definitions'!$A$2,"...")</f>
        <v>...</v>
      </c>
      <c r="B190" s="1" t="str">
        <f>IF($J$168="Y","---&gt;","...")</f>
        <v>...</v>
      </c>
      <c r="C190" s="1" t="str">
        <f>IF($J$168="Y",'[1]Population Definitions'!$A$10,"...")</f>
        <v>...</v>
      </c>
      <c r="E190" s="165"/>
      <c r="F190" s="1" t="str">
        <f>IF($J$168="Y","OR","...")</f>
        <v>...</v>
      </c>
      <c r="G190" s="165"/>
      <c r="H190" s="165"/>
      <c r="I190" s="165"/>
      <c r="J190" s="165"/>
      <c r="K190" s="165"/>
      <c r="L190" s="165"/>
      <c r="M190" s="165"/>
      <c r="N190" s="165"/>
      <c r="O190" s="165"/>
      <c r="P190" s="165"/>
      <c r="Q190" s="165"/>
      <c r="R190" s="165"/>
      <c r="S190" s="165"/>
      <c r="T190" s="165"/>
      <c r="U190" s="165"/>
      <c r="V190" s="165"/>
      <c r="W190" s="165"/>
    </row>
    <row r="191" spans="1:23" x14ac:dyDescent="0.25">
      <c r="A191" s="1" t="str">
        <f>IF($K$168="Y",'[1]Population Definitions'!$A$2,"...")</f>
        <v>...</v>
      </c>
      <c r="B191" s="1" t="str">
        <f>IF($K$168="Y","---&gt;","...")</f>
        <v>...</v>
      </c>
      <c r="C191" s="1" t="str">
        <f>IF($K$168="Y",'[1]Population Definitions'!$A$11,"...")</f>
        <v>...</v>
      </c>
      <c r="E191" s="165"/>
      <c r="F191" s="1" t="str">
        <f>IF($K$168="Y","OR","...")</f>
        <v>...</v>
      </c>
      <c r="G191" s="165"/>
      <c r="H191" s="165"/>
      <c r="I191" s="165"/>
      <c r="J191" s="165"/>
      <c r="K191" s="165"/>
      <c r="L191" s="165"/>
      <c r="M191" s="165"/>
      <c r="N191" s="165"/>
      <c r="O191" s="165"/>
      <c r="P191" s="165"/>
      <c r="Q191" s="165"/>
      <c r="R191" s="165"/>
      <c r="S191" s="165"/>
      <c r="T191" s="165"/>
      <c r="U191" s="165"/>
      <c r="V191" s="165"/>
      <c r="W191" s="165"/>
    </row>
    <row r="192" spans="1:23" x14ac:dyDescent="0.25">
      <c r="A192" s="1" t="str">
        <f>IF($L$168="Y",'[1]Population Definitions'!$A$2,"...")</f>
        <v>...</v>
      </c>
      <c r="B192" s="1" t="str">
        <f>IF($L$168="Y","---&gt;","...")</f>
        <v>...</v>
      </c>
      <c r="C192" s="1" t="str">
        <f>IF($L$168="Y",'[1]Population Definitions'!$A$12,"...")</f>
        <v>...</v>
      </c>
      <c r="E192" s="165"/>
      <c r="F192" s="1" t="str">
        <f>IF($L$168="Y","OR","...")</f>
        <v>...</v>
      </c>
      <c r="G192" s="165"/>
      <c r="H192" s="165"/>
      <c r="I192" s="165"/>
      <c r="J192" s="165"/>
      <c r="K192" s="165"/>
      <c r="L192" s="165"/>
      <c r="M192" s="165"/>
      <c r="N192" s="165"/>
      <c r="O192" s="165"/>
      <c r="P192" s="165"/>
      <c r="Q192" s="165"/>
      <c r="R192" s="165"/>
      <c r="S192" s="165"/>
      <c r="T192" s="165"/>
      <c r="U192" s="165"/>
      <c r="V192" s="165"/>
      <c r="W192" s="165"/>
    </row>
    <row r="193" spans="1:23" x14ac:dyDescent="0.25">
      <c r="A193" s="1" t="str">
        <f>IF($M$168="Y",'[1]Population Definitions'!$A$2,"...")</f>
        <v>...</v>
      </c>
      <c r="B193" s="1" t="str">
        <f>IF($M$168="Y","---&gt;","...")</f>
        <v>...</v>
      </c>
      <c r="C193" s="1" t="str">
        <f>IF($M$168="Y",'[1]Population Definitions'!$A$13,"...")</f>
        <v>...</v>
      </c>
      <c r="E193" s="165"/>
      <c r="F193" s="1" t="str">
        <f>IF($M$168="Y","OR","...")</f>
        <v>...</v>
      </c>
      <c r="G193" s="165"/>
      <c r="H193" s="165"/>
      <c r="I193" s="165"/>
      <c r="J193" s="165"/>
      <c r="K193" s="165"/>
      <c r="L193" s="165"/>
      <c r="M193" s="165"/>
      <c r="N193" s="165"/>
      <c r="O193" s="165"/>
      <c r="P193" s="165"/>
      <c r="Q193" s="165"/>
      <c r="R193" s="165"/>
      <c r="S193" s="165"/>
      <c r="T193" s="165"/>
      <c r="U193" s="165"/>
      <c r="V193" s="165"/>
      <c r="W193" s="165"/>
    </row>
    <row r="194" spans="1:23" x14ac:dyDescent="0.25">
      <c r="A194" s="1" t="str">
        <f>IF($B$169="Y",'[1]Population Definitions'!$A$3,"...")</f>
        <v>...</v>
      </c>
      <c r="B194" s="1" t="str">
        <f>IF($B$169="Y","---&gt;","...")</f>
        <v>...</v>
      </c>
      <c r="C194" s="1" t="str">
        <f>IF($B$169="Y",'[1]Population Definitions'!$A$2,"...")</f>
        <v>...</v>
      </c>
      <c r="E194" s="165"/>
      <c r="F194" s="1" t="str">
        <f>IF($B$169="Y","OR","...")</f>
        <v>...</v>
      </c>
      <c r="G194" s="165"/>
      <c r="H194" s="165"/>
      <c r="I194" s="165"/>
      <c r="J194" s="165"/>
      <c r="K194" s="165"/>
      <c r="L194" s="165"/>
      <c r="M194" s="165"/>
      <c r="N194" s="165"/>
      <c r="O194" s="165"/>
      <c r="P194" s="165"/>
      <c r="Q194" s="165"/>
      <c r="R194" s="165"/>
      <c r="S194" s="165"/>
      <c r="T194" s="165"/>
      <c r="U194" s="165"/>
      <c r="V194" s="165"/>
      <c r="W194" s="165"/>
    </row>
    <row r="195" spans="1:23" x14ac:dyDescent="0.25">
      <c r="A195" s="1" t="str">
        <f>IF($C$169="Y",'[1]Population Definitions'!$A$3,"...")</f>
        <v>...</v>
      </c>
      <c r="B195" s="1" t="str">
        <f>IF($C$169="Y","---&gt;","...")</f>
        <v>...</v>
      </c>
      <c r="C195" s="1" t="str">
        <f>IF($C$169="Y",'[1]Population Definitions'!$A$3,"...")</f>
        <v>...</v>
      </c>
      <c r="E195" s="165"/>
      <c r="F195" s="1" t="str">
        <f>IF($C$169="Y","OR","...")</f>
        <v>...</v>
      </c>
      <c r="G195" s="165"/>
      <c r="H195" s="165"/>
      <c r="I195" s="165"/>
      <c r="J195" s="165"/>
      <c r="K195" s="165"/>
      <c r="L195" s="165"/>
      <c r="M195" s="165"/>
      <c r="N195" s="165"/>
      <c r="O195" s="165"/>
      <c r="P195" s="165"/>
      <c r="Q195" s="165"/>
      <c r="R195" s="165"/>
      <c r="S195" s="165"/>
      <c r="T195" s="165"/>
      <c r="U195" s="165"/>
      <c r="V195" s="165"/>
      <c r="W195" s="165"/>
    </row>
    <row r="196" spans="1:23" x14ac:dyDescent="0.25">
      <c r="A196" s="1" t="str">
        <f>IF($D$169="Y",'[1]Population Definitions'!$A$3,"...")</f>
        <v>...</v>
      </c>
      <c r="B196" s="1" t="str">
        <f>IF($D$169="Y","---&gt;","...")</f>
        <v>...</v>
      </c>
      <c r="C196" s="1" t="str">
        <f>IF($D$169="Y",'[1]Population Definitions'!$A$4,"...")</f>
        <v>...</v>
      </c>
      <c r="E196" s="165"/>
      <c r="F196" s="1" t="str">
        <f>IF($D$169="Y","OR","...")</f>
        <v>...</v>
      </c>
      <c r="G196" s="165"/>
      <c r="H196" s="165"/>
      <c r="I196" s="165"/>
      <c r="J196" s="165"/>
      <c r="K196" s="165"/>
      <c r="L196" s="165"/>
      <c r="M196" s="165"/>
      <c r="N196" s="165"/>
      <c r="O196" s="165"/>
      <c r="P196" s="165"/>
      <c r="Q196" s="165"/>
      <c r="R196" s="165"/>
      <c r="S196" s="165"/>
      <c r="T196" s="165"/>
      <c r="U196" s="165"/>
      <c r="V196" s="165"/>
      <c r="W196" s="165"/>
    </row>
    <row r="197" spans="1:23" x14ac:dyDescent="0.25">
      <c r="A197" s="1" t="str">
        <f>IF($E$169="Y",'[1]Population Definitions'!$A$3,"...")</f>
        <v>...</v>
      </c>
      <c r="B197" s="1" t="str">
        <f>IF($E$169="Y","---&gt;","...")</f>
        <v>...</v>
      </c>
      <c r="C197" s="1" t="str">
        <f>IF($E$169="Y",'[1]Population Definitions'!$A$5,"...")</f>
        <v>...</v>
      </c>
      <c r="E197" s="165"/>
      <c r="F197" s="1" t="str">
        <f>IF($E$169="Y","OR","...")</f>
        <v>...</v>
      </c>
      <c r="G197" s="165"/>
      <c r="H197" s="165"/>
      <c r="I197" s="165"/>
      <c r="J197" s="165"/>
      <c r="K197" s="165"/>
      <c r="L197" s="165"/>
      <c r="M197" s="165"/>
      <c r="N197" s="165"/>
      <c r="O197" s="165"/>
      <c r="P197" s="165"/>
      <c r="Q197" s="165"/>
      <c r="R197" s="165"/>
      <c r="S197" s="165"/>
      <c r="T197" s="165"/>
      <c r="U197" s="165"/>
      <c r="V197" s="165"/>
      <c r="W197" s="165"/>
    </row>
    <row r="198" spans="1:23" x14ac:dyDescent="0.25">
      <c r="A198" s="1" t="str">
        <f>IF($F$169="Y",'[1]Population Definitions'!$A$3,"...")</f>
        <v>...</v>
      </c>
      <c r="B198" s="1" t="str">
        <f>IF($F$169="Y","---&gt;","...")</f>
        <v>...</v>
      </c>
      <c r="C198" s="1" t="str">
        <f>IF($F$169="Y",'[1]Population Definitions'!$A$6,"...")</f>
        <v>...</v>
      </c>
      <c r="E198" s="165"/>
      <c r="F198" s="1" t="str">
        <f>IF($F$169="Y","OR","...")</f>
        <v>...</v>
      </c>
      <c r="G198" s="165"/>
      <c r="H198" s="165"/>
      <c r="I198" s="165"/>
      <c r="J198" s="165"/>
      <c r="K198" s="165"/>
      <c r="L198" s="165"/>
      <c r="M198" s="165"/>
      <c r="N198" s="165"/>
      <c r="O198" s="165"/>
      <c r="P198" s="165"/>
      <c r="Q198" s="165"/>
      <c r="R198" s="165"/>
      <c r="S198" s="165"/>
      <c r="T198" s="165"/>
      <c r="U198" s="165"/>
      <c r="V198" s="165"/>
      <c r="W198" s="165"/>
    </row>
    <row r="199" spans="1:23" x14ac:dyDescent="0.25">
      <c r="A199" s="1" t="str">
        <f>IF($G$169="Y",'[1]Population Definitions'!$A$3,"...")</f>
        <v>...</v>
      </c>
      <c r="B199" s="1" t="str">
        <f>IF($G$169="Y","---&gt;","...")</f>
        <v>...</v>
      </c>
      <c r="C199" s="1" t="str">
        <f>IF($G$169="Y",'[1]Population Definitions'!$A$7,"...")</f>
        <v>...</v>
      </c>
      <c r="E199" s="165"/>
      <c r="F199" s="1" t="str">
        <f>IF($G$169="Y","OR","...")</f>
        <v>...</v>
      </c>
      <c r="G199" s="165"/>
      <c r="H199" s="165"/>
      <c r="I199" s="165"/>
      <c r="J199" s="165"/>
      <c r="K199" s="165"/>
      <c r="L199" s="165"/>
      <c r="M199" s="165"/>
      <c r="N199" s="165"/>
      <c r="O199" s="165"/>
      <c r="P199" s="165"/>
      <c r="Q199" s="165"/>
      <c r="R199" s="165"/>
      <c r="S199" s="165"/>
      <c r="T199" s="165"/>
      <c r="U199" s="165"/>
      <c r="V199" s="165"/>
      <c r="W199" s="165"/>
    </row>
    <row r="200" spans="1:23" x14ac:dyDescent="0.25">
      <c r="A200" s="1" t="str">
        <f>IF($H$169="Y",'[1]Population Definitions'!$A$3,"...")</f>
        <v>...</v>
      </c>
      <c r="B200" s="1" t="str">
        <f>IF($H$169="Y","---&gt;","...")</f>
        <v>...</v>
      </c>
      <c r="C200" s="1" t="str">
        <f>IF($H$169="Y",'[1]Population Definitions'!$A$8,"...")</f>
        <v>...</v>
      </c>
      <c r="E200" s="165"/>
      <c r="F200" s="1" t="str">
        <f>IF($H$169="Y","OR","...")</f>
        <v>...</v>
      </c>
      <c r="G200" s="165"/>
      <c r="H200" s="165"/>
      <c r="I200" s="165"/>
      <c r="J200" s="165"/>
      <c r="K200" s="165"/>
      <c r="L200" s="165"/>
      <c r="M200" s="165"/>
      <c r="N200" s="165"/>
      <c r="O200" s="165"/>
      <c r="P200" s="165"/>
      <c r="Q200" s="165"/>
      <c r="R200" s="165"/>
      <c r="S200" s="165"/>
      <c r="T200" s="165"/>
      <c r="U200" s="165"/>
      <c r="V200" s="165"/>
      <c r="W200" s="165"/>
    </row>
    <row r="201" spans="1:23" x14ac:dyDescent="0.25">
      <c r="A201" s="1" t="str">
        <f>IF($I$169="Y",'[1]Population Definitions'!$A$3,"...")</f>
        <v>...</v>
      </c>
      <c r="B201" s="1" t="str">
        <f>IF($I$169="Y","---&gt;","...")</f>
        <v>...</v>
      </c>
      <c r="C201" s="1" t="str">
        <f>IF($I$169="Y",'[1]Population Definitions'!$A$9,"...")</f>
        <v>...</v>
      </c>
      <c r="E201" s="165"/>
      <c r="F201" s="1" t="str">
        <f>IF($I$169="Y","OR","...")</f>
        <v>...</v>
      </c>
      <c r="G201" s="165"/>
      <c r="H201" s="165"/>
      <c r="I201" s="165"/>
      <c r="J201" s="165"/>
      <c r="K201" s="165"/>
      <c r="L201" s="165"/>
      <c r="M201" s="165"/>
      <c r="N201" s="165"/>
      <c r="O201" s="165"/>
      <c r="P201" s="165"/>
      <c r="Q201" s="165"/>
      <c r="R201" s="165"/>
      <c r="S201" s="165"/>
      <c r="T201" s="165"/>
      <c r="U201" s="165"/>
      <c r="V201" s="165"/>
      <c r="W201" s="165"/>
    </row>
    <row r="202" spans="1:23" x14ac:dyDescent="0.25">
      <c r="A202" s="1" t="str">
        <f>IF($J$169="Y",'[1]Population Definitions'!$A$3,"...")</f>
        <v>...</v>
      </c>
      <c r="B202" s="1" t="str">
        <f>IF($J$169="Y","---&gt;","...")</f>
        <v>...</v>
      </c>
      <c r="C202" s="1" t="str">
        <f>IF($J$169="Y",'[1]Population Definitions'!$A$10,"...")</f>
        <v>...</v>
      </c>
      <c r="E202" s="165"/>
      <c r="F202" s="1" t="str">
        <f>IF($J$169="Y","OR","...")</f>
        <v>...</v>
      </c>
      <c r="G202" s="165"/>
      <c r="H202" s="165"/>
      <c r="I202" s="165"/>
      <c r="J202" s="165"/>
      <c r="K202" s="165"/>
      <c r="L202" s="165"/>
      <c r="M202" s="165"/>
      <c r="N202" s="165"/>
      <c r="O202" s="165"/>
      <c r="P202" s="165"/>
      <c r="Q202" s="165"/>
      <c r="R202" s="165"/>
      <c r="S202" s="165"/>
      <c r="T202" s="165"/>
      <c r="U202" s="165"/>
      <c r="V202" s="165"/>
      <c r="W202" s="165"/>
    </row>
    <row r="203" spans="1:23" x14ac:dyDescent="0.25">
      <c r="A203" s="1" t="str">
        <f>IF($K$169="Y",'[1]Population Definitions'!$A$3,"...")</f>
        <v>...</v>
      </c>
      <c r="B203" s="1" t="str">
        <f>IF($K$169="Y","---&gt;","...")</f>
        <v>...</v>
      </c>
      <c r="C203" s="1" t="str">
        <f>IF($K$169="Y",'[1]Population Definitions'!$A$11,"...")</f>
        <v>...</v>
      </c>
      <c r="E203" s="165"/>
      <c r="F203" s="1" t="str">
        <f>IF($K$169="Y","OR","...")</f>
        <v>...</v>
      </c>
      <c r="G203" s="165"/>
      <c r="H203" s="165"/>
      <c r="I203" s="165"/>
      <c r="J203" s="165"/>
      <c r="K203" s="165"/>
      <c r="L203" s="165"/>
      <c r="M203" s="165"/>
      <c r="N203" s="165"/>
      <c r="O203" s="165"/>
      <c r="P203" s="165"/>
      <c r="Q203" s="165"/>
      <c r="R203" s="165"/>
      <c r="S203" s="165"/>
      <c r="T203" s="165"/>
      <c r="U203" s="165"/>
      <c r="V203" s="165"/>
      <c r="W203" s="165"/>
    </row>
    <row r="204" spans="1:23" x14ac:dyDescent="0.25">
      <c r="A204" s="1" t="str">
        <f>IF($L$169="Y",'[1]Population Definitions'!$A$3,"...")</f>
        <v>...</v>
      </c>
      <c r="B204" s="1" t="str">
        <f>IF($L$169="Y","---&gt;","...")</f>
        <v>...</v>
      </c>
      <c r="C204" s="1" t="str">
        <f>IF($L$169="Y",'[1]Population Definitions'!$A$12,"...")</f>
        <v>...</v>
      </c>
      <c r="E204" s="165"/>
      <c r="F204" s="1" t="str">
        <f>IF($L$169="Y","OR","...")</f>
        <v>...</v>
      </c>
      <c r="G204" s="165"/>
      <c r="H204" s="165"/>
      <c r="I204" s="165"/>
      <c r="J204" s="165"/>
      <c r="K204" s="165"/>
      <c r="L204" s="165"/>
      <c r="M204" s="165"/>
      <c r="N204" s="165"/>
      <c r="O204" s="165"/>
      <c r="P204" s="165"/>
      <c r="Q204" s="165"/>
      <c r="R204" s="165"/>
      <c r="S204" s="165"/>
      <c r="T204" s="165"/>
      <c r="U204" s="165"/>
      <c r="V204" s="165"/>
      <c r="W204" s="165"/>
    </row>
    <row r="205" spans="1:23" x14ac:dyDescent="0.25">
      <c r="A205" s="1" t="str">
        <f>IF($M$169="Y",'[1]Population Definitions'!$A$3,"...")</f>
        <v>...</v>
      </c>
      <c r="B205" s="1" t="str">
        <f>IF($M$169="Y","---&gt;","...")</f>
        <v>...</v>
      </c>
      <c r="C205" s="1" t="str">
        <f>IF($M$169="Y",'[1]Population Definitions'!$A$13,"...")</f>
        <v>...</v>
      </c>
      <c r="E205" s="165"/>
      <c r="F205" s="1" t="str">
        <f>IF($M$169="Y","OR","...")</f>
        <v>...</v>
      </c>
      <c r="G205" s="165"/>
      <c r="H205" s="165"/>
      <c r="I205" s="165"/>
      <c r="J205" s="165"/>
      <c r="K205" s="165"/>
      <c r="L205" s="165"/>
      <c r="M205" s="165"/>
      <c r="N205" s="165"/>
      <c r="O205" s="165"/>
      <c r="P205" s="165"/>
      <c r="Q205" s="165"/>
      <c r="R205" s="165"/>
      <c r="S205" s="165"/>
      <c r="T205" s="165"/>
      <c r="U205" s="165"/>
      <c r="V205" s="165"/>
      <c r="W205" s="165"/>
    </row>
    <row r="206" spans="1:23" x14ac:dyDescent="0.25">
      <c r="A206" s="1" t="str">
        <f>IF($B$170="Y",'[1]Population Definitions'!$A$4,"...")</f>
        <v>...</v>
      </c>
      <c r="B206" s="1" t="str">
        <f>IF($B$170="Y","---&gt;","...")</f>
        <v>...</v>
      </c>
      <c r="C206" s="1" t="str">
        <f>IF($B$170="Y",'[1]Population Definitions'!$A$2,"...")</f>
        <v>...</v>
      </c>
      <c r="E206" s="165"/>
      <c r="F206" s="1" t="str">
        <f>IF($B$170="Y","OR","...")</f>
        <v>...</v>
      </c>
      <c r="G206" s="165"/>
      <c r="H206" s="165"/>
      <c r="I206" s="165"/>
      <c r="J206" s="165"/>
      <c r="K206" s="165"/>
      <c r="L206" s="165"/>
      <c r="M206" s="165"/>
      <c r="N206" s="165"/>
      <c r="O206" s="165"/>
      <c r="P206" s="165"/>
      <c r="Q206" s="165"/>
      <c r="R206" s="165"/>
      <c r="S206" s="165"/>
      <c r="T206" s="165"/>
      <c r="U206" s="165"/>
      <c r="V206" s="165"/>
      <c r="W206" s="165"/>
    </row>
    <row r="207" spans="1:23" x14ac:dyDescent="0.25">
      <c r="A207" s="1" t="str">
        <f>IF($C$170="Y",'[1]Population Definitions'!$A$4,"...")</f>
        <v>...</v>
      </c>
      <c r="B207" s="1" t="str">
        <f>IF($C$170="Y","---&gt;","...")</f>
        <v>...</v>
      </c>
      <c r="C207" s="1" t="str">
        <f>IF($C$170="Y",'[1]Population Definitions'!$A$3,"...")</f>
        <v>...</v>
      </c>
      <c r="E207" s="165"/>
      <c r="F207" s="1" t="str">
        <f>IF($C$170="Y","OR","...")</f>
        <v>...</v>
      </c>
      <c r="G207" s="165"/>
      <c r="H207" s="165"/>
      <c r="I207" s="165"/>
      <c r="J207" s="165"/>
      <c r="K207" s="165"/>
      <c r="L207" s="165"/>
      <c r="M207" s="165"/>
      <c r="N207" s="165"/>
      <c r="O207" s="165"/>
      <c r="P207" s="165"/>
      <c r="Q207" s="165"/>
      <c r="R207" s="165"/>
      <c r="S207" s="165"/>
      <c r="T207" s="165"/>
      <c r="U207" s="165"/>
      <c r="V207" s="165"/>
      <c r="W207" s="165"/>
    </row>
    <row r="208" spans="1:23" x14ac:dyDescent="0.25">
      <c r="A208" s="1" t="str">
        <f>IF($D$170="Y",'[1]Population Definitions'!$A$4,"...")</f>
        <v>...</v>
      </c>
      <c r="B208" s="1" t="str">
        <f>IF($D$170="Y","---&gt;","...")</f>
        <v>...</v>
      </c>
      <c r="C208" s="1" t="str">
        <f>IF($D$170="Y",'[1]Population Definitions'!$A$4,"...")</f>
        <v>...</v>
      </c>
      <c r="E208" s="165"/>
      <c r="F208" s="1" t="str">
        <f>IF($D$170="Y","OR","...")</f>
        <v>...</v>
      </c>
      <c r="G208" s="165"/>
      <c r="H208" s="165"/>
      <c r="I208" s="165"/>
      <c r="J208" s="165"/>
      <c r="K208" s="165"/>
      <c r="L208" s="165"/>
      <c r="M208" s="165"/>
      <c r="N208" s="165"/>
      <c r="O208" s="165"/>
      <c r="P208" s="165"/>
      <c r="Q208" s="165"/>
      <c r="R208" s="165"/>
      <c r="S208" s="165"/>
      <c r="T208" s="165"/>
      <c r="U208" s="165"/>
      <c r="V208" s="165"/>
      <c r="W208" s="165"/>
    </row>
    <row r="209" spans="1:23" x14ac:dyDescent="0.25">
      <c r="A209" s="1" t="str">
        <f>IF($E$170="Y",'[1]Population Definitions'!$A$4,"...")</f>
        <v>...</v>
      </c>
      <c r="B209" s="1" t="str">
        <f>IF($E$170="Y","---&gt;","...")</f>
        <v>...</v>
      </c>
      <c r="C209" s="1" t="str">
        <f>IF($E$170="Y",'[1]Population Definitions'!$A$5,"...")</f>
        <v>...</v>
      </c>
      <c r="E209" s="165"/>
      <c r="F209" s="1" t="str">
        <f>IF($E$170="Y","OR","...")</f>
        <v>...</v>
      </c>
      <c r="G209" s="165"/>
      <c r="H209" s="165"/>
      <c r="I209" s="165"/>
      <c r="J209" s="165"/>
      <c r="K209" s="165"/>
      <c r="L209" s="165"/>
      <c r="M209" s="165"/>
      <c r="N209" s="165"/>
      <c r="O209" s="165"/>
      <c r="P209" s="165"/>
      <c r="Q209" s="165"/>
      <c r="R209" s="165"/>
      <c r="S209" s="165"/>
      <c r="T209" s="165"/>
      <c r="U209" s="165"/>
      <c r="V209" s="165"/>
      <c r="W209" s="165"/>
    </row>
    <row r="210" spans="1:23" x14ac:dyDescent="0.25">
      <c r="A210" s="1" t="str">
        <f>IF($F$170="Y",'[1]Population Definitions'!$A$4,"...")</f>
        <v>15-64</v>
      </c>
      <c r="B210" s="1" t="str">
        <f>IF($F$170="Y","---&gt;","...")</f>
        <v>---&gt;</v>
      </c>
      <c r="C210" s="1" t="str">
        <f>IF($F$170="Y",'[1]Population Definitions'!$A$6,"...")</f>
        <v>15-64 (HIV+)</v>
      </c>
      <c r="D210" s="132" t="s">
        <v>163</v>
      </c>
      <c r="E210" s="165"/>
      <c r="F210" s="1" t="str">
        <f>IF($F$170="Y","OR","...")</f>
        <v>OR</v>
      </c>
      <c r="G210" s="165">
        <v>4.1174226091461423E-2</v>
      </c>
      <c r="H210" s="165">
        <v>3.8647205222181229E-2</v>
      </c>
      <c r="I210" s="165">
        <v>3.6647199661541612E-2</v>
      </c>
      <c r="J210" s="165">
        <v>3.5171845864170097E-2</v>
      </c>
      <c r="K210" s="165">
        <v>3.3938908472140449E-2</v>
      </c>
      <c r="L210" s="165">
        <v>3.2695365821476779E-2</v>
      </c>
      <c r="M210" s="165">
        <v>3.2244997956803093E-2</v>
      </c>
      <c r="N210" s="165">
        <v>3.1382424580005702E-2</v>
      </c>
      <c r="O210" s="165">
        <v>3.0972051504516599E-2</v>
      </c>
      <c r="P210" s="165">
        <v>2.9513325624458801E-2</v>
      </c>
      <c r="Q210" s="165">
        <v>2.7316723664228999E-2</v>
      </c>
      <c r="R210" s="165">
        <v>2.57758603817635E-2</v>
      </c>
      <c r="S210" s="165">
        <v>2.3888760967028501E-2</v>
      </c>
      <c r="T210" s="165">
        <v>2.2613616951209899E-2</v>
      </c>
      <c r="U210" s="165">
        <v>2.1952266003720598E-2</v>
      </c>
      <c r="V210" s="165">
        <v>2.1089044857872202E-2</v>
      </c>
      <c r="W210" s="165">
        <v>1.8750626922530302E-2</v>
      </c>
    </row>
    <row r="211" spans="1:23" x14ac:dyDescent="0.25">
      <c r="A211" s="1" t="str">
        <f>IF($G$170="Y",'[1]Population Definitions'!$A$4,"...")</f>
        <v>...</v>
      </c>
      <c r="B211" s="1" t="str">
        <f>IF($G$170="Y","---&gt;","...")</f>
        <v>...</v>
      </c>
      <c r="C211" s="1" t="str">
        <f>IF($G$170="Y",'[1]Population Definitions'!$A$7,"...")</f>
        <v>...</v>
      </c>
      <c r="E211" s="165"/>
      <c r="F211" s="1" t="str">
        <f>IF($G$170="Y","OR","...")</f>
        <v>...</v>
      </c>
      <c r="G211" s="165"/>
      <c r="H211" s="165"/>
      <c r="I211" s="165"/>
      <c r="J211" s="165"/>
      <c r="K211" s="165"/>
      <c r="L211" s="165"/>
      <c r="M211" s="165"/>
      <c r="N211" s="165"/>
      <c r="O211" s="165"/>
      <c r="P211" s="165"/>
      <c r="Q211" s="165"/>
      <c r="R211" s="165"/>
      <c r="S211" s="165"/>
      <c r="T211" s="165"/>
      <c r="U211" s="165"/>
      <c r="V211" s="165"/>
      <c r="W211" s="165"/>
    </row>
    <row r="212" spans="1:23" x14ac:dyDescent="0.25">
      <c r="A212" s="1" t="str">
        <f>IF($H$170="Y",'[1]Population Definitions'!$A$4,"...")</f>
        <v>...</v>
      </c>
      <c r="B212" s="1" t="str">
        <f>IF($H$170="Y","---&gt;","...")</f>
        <v>...</v>
      </c>
      <c r="C212" s="1" t="str">
        <f>IF($H$170="Y",'[1]Population Definitions'!$A$8,"...")</f>
        <v>...</v>
      </c>
      <c r="E212" s="165"/>
      <c r="F212" s="1" t="str">
        <f>IF($H$170="Y","OR","...")</f>
        <v>...</v>
      </c>
      <c r="G212" s="165"/>
      <c r="H212" s="165"/>
      <c r="I212" s="165"/>
      <c r="J212" s="165"/>
      <c r="K212" s="165"/>
      <c r="L212" s="165"/>
      <c r="M212" s="165"/>
      <c r="N212" s="165"/>
      <c r="O212" s="165"/>
      <c r="P212" s="165"/>
      <c r="Q212" s="165"/>
      <c r="R212" s="165"/>
      <c r="S212" s="165"/>
      <c r="T212" s="165"/>
      <c r="U212" s="165"/>
      <c r="V212" s="165"/>
      <c r="W212" s="165"/>
    </row>
    <row r="213" spans="1:23" x14ac:dyDescent="0.25">
      <c r="A213" s="1" t="str">
        <f>IF($I$170="Y",'[1]Population Definitions'!$A$4,"...")</f>
        <v>...</v>
      </c>
      <c r="B213" s="1" t="str">
        <f>IF($I$170="Y","---&gt;","...")</f>
        <v>...</v>
      </c>
      <c r="C213" s="1" t="str">
        <f>IF($I$170="Y",'[1]Population Definitions'!$A$9,"...")</f>
        <v>...</v>
      </c>
      <c r="E213" s="165"/>
      <c r="F213" s="1" t="str">
        <f>IF($I$170="Y","OR","...")</f>
        <v>...</v>
      </c>
      <c r="G213" s="165"/>
      <c r="H213" s="165"/>
      <c r="I213" s="165"/>
      <c r="J213" s="165"/>
      <c r="K213" s="165"/>
      <c r="L213" s="165"/>
      <c r="M213" s="165"/>
      <c r="N213" s="165"/>
      <c r="O213" s="165"/>
      <c r="P213" s="165"/>
      <c r="Q213" s="165"/>
      <c r="R213" s="165"/>
      <c r="S213" s="165"/>
      <c r="T213" s="165"/>
      <c r="U213" s="165"/>
      <c r="V213" s="165"/>
      <c r="W213" s="165"/>
    </row>
    <row r="214" spans="1:23" x14ac:dyDescent="0.25">
      <c r="A214" s="1" t="str">
        <f>IF($J$170="Y",'[1]Population Definitions'!$A$4,"...")</f>
        <v>...</v>
      </c>
      <c r="B214" s="1" t="str">
        <f>IF($J$170="Y","---&gt;","...")</f>
        <v>...</v>
      </c>
      <c r="C214" s="1" t="str">
        <f>IF($J$170="Y",'[1]Population Definitions'!$A$10,"...")</f>
        <v>...</v>
      </c>
      <c r="E214" s="165"/>
      <c r="F214" s="1" t="str">
        <f>IF($J$170="Y","OR","...")</f>
        <v>...</v>
      </c>
      <c r="G214" s="165"/>
      <c r="H214" s="165"/>
      <c r="I214" s="165"/>
      <c r="J214" s="165"/>
      <c r="K214" s="165"/>
      <c r="L214" s="165"/>
      <c r="M214" s="165"/>
      <c r="N214" s="165"/>
      <c r="O214" s="165"/>
      <c r="P214" s="165"/>
      <c r="Q214" s="165"/>
      <c r="R214" s="165"/>
      <c r="S214" s="165"/>
      <c r="T214" s="165"/>
      <c r="U214" s="165"/>
      <c r="V214" s="165"/>
      <c r="W214" s="165"/>
    </row>
    <row r="215" spans="1:23" x14ac:dyDescent="0.25">
      <c r="A215" s="1" t="str">
        <f>IF($K$170="Y",'[1]Population Definitions'!$A$4,"...")</f>
        <v>...</v>
      </c>
      <c r="B215" s="1" t="str">
        <f>IF($K$170="Y","---&gt;","...")</f>
        <v>...</v>
      </c>
      <c r="C215" s="1" t="str">
        <f>IF($K$170="Y",'[1]Population Definitions'!$A$11,"...")</f>
        <v>...</v>
      </c>
      <c r="E215" s="165"/>
      <c r="F215" s="1" t="str">
        <f>IF($K$170="Y","OR","...")</f>
        <v>...</v>
      </c>
      <c r="G215" s="165"/>
      <c r="H215" s="165"/>
      <c r="I215" s="165"/>
      <c r="J215" s="165"/>
      <c r="K215" s="165"/>
      <c r="L215" s="165"/>
      <c r="M215" s="165"/>
      <c r="N215" s="165"/>
      <c r="O215" s="165"/>
      <c r="P215" s="165"/>
      <c r="Q215" s="165"/>
      <c r="R215" s="165"/>
      <c r="S215" s="165"/>
      <c r="T215" s="165"/>
      <c r="U215" s="165"/>
      <c r="V215" s="165"/>
      <c r="W215" s="165"/>
    </row>
    <row r="216" spans="1:23" x14ac:dyDescent="0.25">
      <c r="A216" s="1" t="str">
        <f>IF($L$170="Y",'[1]Population Definitions'!$A$4,"...")</f>
        <v>...</v>
      </c>
      <c r="B216" s="1" t="str">
        <f>IF($L$170="Y","---&gt;","...")</f>
        <v>...</v>
      </c>
      <c r="C216" s="1" t="str">
        <f>IF($L$170="Y",'[1]Population Definitions'!$A$12,"...")</f>
        <v>...</v>
      </c>
      <c r="E216" s="165"/>
      <c r="F216" s="1" t="str">
        <f>IF($L$170="Y","OR","...")</f>
        <v>...</v>
      </c>
      <c r="G216" s="165"/>
      <c r="H216" s="165"/>
      <c r="I216" s="165"/>
      <c r="J216" s="165"/>
      <c r="K216" s="165"/>
      <c r="L216" s="165"/>
      <c r="M216" s="165"/>
      <c r="N216" s="165"/>
      <c r="O216" s="165"/>
      <c r="P216" s="165"/>
      <c r="Q216" s="165"/>
      <c r="R216" s="165"/>
      <c r="S216" s="165"/>
      <c r="T216" s="165"/>
      <c r="U216" s="165"/>
      <c r="V216" s="165"/>
      <c r="W216" s="165"/>
    </row>
    <row r="217" spans="1:23" x14ac:dyDescent="0.25">
      <c r="A217" s="1" t="str">
        <f>IF($M$170="Y",'[1]Population Definitions'!$A$4,"...")</f>
        <v>...</v>
      </c>
      <c r="B217" s="1" t="str">
        <f>IF($M$170="Y","---&gt;","...")</f>
        <v>...</v>
      </c>
      <c r="C217" s="1" t="str">
        <f>IF($M$170="Y",'[1]Population Definitions'!$A$13,"...")</f>
        <v>...</v>
      </c>
      <c r="E217" s="165"/>
      <c r="F217" s="1" t="str">
        <f>IF($M$170="Y","OR","...")</f>
        <v>...</v>
      </c>
      <c r="G217" s="165"/>
      <c r="H217" s="165"/>
      <c r="I217" s="165"/>
      <c r="J217" s="165"/>
      <c r="K217" s="165"/>
      <c r="L217" s="165"/>
      <c r="M217" s="165"/>
      <c r="N217" s="165"/>
      <c r="O217" s="165"/>
      <c r="P217" s="165"/>
      <c r="Q217" s="165"/>
      <c r="R217" s="165"/>
      <c r="S217" s="165"/>
      <c r="T217" s="165"/>
      <c r="U217" s="165"/>
      <c r="V217" s="165"/>
      <c r="W217" s="165"/>
    </row>
    <row r="218" spans="1:23" x14ac:dyDescent="0.25">
      <c r="A218" s="1" t="str">
        <f>IF($B$171="Y",'[1]Population Definitions'!$A$5,"...")</f>
        <v>...</v>
      </c>
      <c r="B218" s="1" t="str">
        <f>IF($B$171="Y","---&gt;","...")</f>
        <v>...</v>
      </c>
      <c r="C218" s="1" t="str">
        <f>IF($B$171="Y",'[1]Population Definitions'!$A$2,"...")</f>
        <v>...</v>
      </c>
      <c r="E218" s="165"/>
      <c r="F218" s="1" t="str">
        <f>IF($B$171="Y","OR","...")</f>
        <v>...</v>
      </c>
      <c r="G218" s="165"/>
      <c r="H218" s="165"/>
      <c r="I218" s="165"/>
      <c r="J218" s="165"/>
      <c r="K218" s="165"/>
      <c r="L218" s="165"/>
      <c r="M218" s="165"/>
      <c r="N218" s="165"/>
      <c r="O218" s="165"/>
      <c r="P218" s="165"/>
      <c r="Q218" s="165"/>
      <c r="R218" s="165"/>
      <c r="S218" s="165"/>
      <c r="T218" s="165"/>
      <c r="U218" s="165"/>
      <c r="V218" s="165"/>
      <c r="W218" s="165"/>
    </row>
    <row r="219" spans="1:23" x14ac:dyDescent="0.25">
      <c r="A219" s="1" t="str">
        <f>IF($C$171="Y",'[1]Population Definitions'!$A$5,"...")</f>
        <v>...</v>
      </c>
      <c r="B219" s="1" t="str">
        <f>IF($C$171="Y","---&gt;","...")</f>
        <v>...</v>
      </c>
      <c r="C219" s="1" t="str">
        <f>IF($C$171="Y",'[1]Population Definitions'!$A$3,"...")</f>
        <v>...</v>
      </c>
      <c r="E219" s="165"/>
      <c r="F219" s="1" t="str">
        <f>IF($C$171="Y","OR","...")</f>
        <v>...</v>
      </c>
      <c r="G219" s="165"/>
      <c r="H219" s="165"/>
      <c r="I219" s="165"/>
      <c r="J219" s="165"/>
      <c r="K219" s="165"/>
      <c r="L219" s="165"/>
      <c r="M219" s="165"/>
      <c r="N219" s="165"/>
      <c r="O219" s="165"/>
      <c r="P219" s="165"/>
      <c r="Q219" s="165"/>
      <c r="R219" s="165"/>
      <c r="S219" s="165"/>
      <c r="T219" s="165"/>
      <c r="U219" s="165"/>
      <c r="V219" s="165"/>
      <c r="W219" s="165"/>
    </row>
    <row r="220" spans="1:23" x14ac:dyDescent="0.25">
      <c r="A220" s="1" t="str">
        <f>IF($D$171="Y",'[1]Population Definitions'!$A$5,"...")</f>
        <v>...</v>
      </c>
      <c r="B220" s="1" t="str">
        <f>IF($D$171="Y","---&gt;","...")</f>
        <v>...</v>
      </c>
      <c r="C220" s="1" t="str">
        <f>IF($D$171="Y",'[1]Population Definitions'!$A$4,"...")</f>
        <v>...</v>
      </c>
      <c r="E220" s="165"/>
      <c r="F220" s="1" t="str">
        <f>IF($D$171="Y","OR","...")</f>
        <v>...</v>
      </c>
      <c r="G220" s="165"/>
      <c r="H220" s="165"/>
      <c r="I220" s="165"/>
      <c r="J220" s="165"/>
      <c r="K220" s="165"/>
      <c r="L220" s="165"/>
      <c r="M220" s="165"/>
      <c r="N220" s="165"/>
      <c r="O220" s="165"/>
      <c r="P220" s="165"/>
      <c r="Q220" s="165"/>
      <c r="R220" s="165"/>
      <c r="S220" s="165"/>
      <c r="T220" s="165"/>
      <c r="U220" s="165"/>
      <c r="V220" s="165"/>
      <c r="W220" s="165"/>
    </row>
    <row r="221" spans="1:23" x14ac:dyDescent="0.25">
      <c r="A221" s="1" t="str">
        <f>IF($E$171="Y",'[1]Population Definitions'!$A$5,"...")</f>
        <v>...</v>
      </c>
      <c r="B221" s="1" t="str">
        <f>IF($E$171="Y","---&gt;","...")</f>
        <v>...</v>
      </c>
      <c r="C221" s="1" t="str">
        <f>IF($E$171="Y",'[1]Population Definitions'!$A$5,"...")</f>
        <v>...</v>
      </c>
      <c r="E221" s="165"/>
      <c r="F221" s="1" t="str">
        <f>IF($E$171="Y","OR","...")</f>
        <v>...</v>
      </c>
      <c r="G221" s="165"/>
      <c r="H221" s="165"/>
      <c r="I221" s="165"/>
      <c r="J221" s="165"/>
      <c r="K221" s="165"/>
      <c r="L221" s="165"/>
      <c r="M221" s="165"/>
      <c r="N221" s="165"/>
      <c r="O221" s="165"/>
      <c r="P221" s="165"/>
      <c r="Q221" s="165"/>
      <c r="R221" s="165"/>
      <c r="S221" s="165"/>
      <c r="T221" s="165"/>
      <c r="U221" s="165"/>
      <c r="V221" s="165"/>
      <c r="W221" s="165"/>
    </row>
    <row r="222" spans="1:23" x14ac:dyDescent="0.25">
      <c r="A222" s="1" t="str">
        <f>IF($F$171="Y",'[1]Population Definitions'!$A$5,"...")</f>
        <v>...</v>
      </c>
      <c r="B222" s="1" t="str">
        <f>IF($F$171="Y","---&gt;","...")</f>
        <v>...</v>
      </c>
      <c r="C222" s="1" t="str">
        <f>IF($F$171="Y",'[1]Population Definitions'!$A$6,"...")</f>
        <v>...</v>
      </c>
      <c r="E222" s="165"/>
      <c r="F222" s="1" t="str">
        <f>IF($F$171="Y","OR","...")</f>
        <v>...</v>
      </c>
      <c r="G222" s="165"/>
      <c r="H222" s="165"/>
      <c r="I222" s="165"/>
      <c r="J222" s="165"/>
      <c r="K222" s="165"/>
      <c r="L222" s="165"/>
      <c r="M222" s="165"/>
      <c r="N222" s="165"/>
      <c r="O222" s="165"/>
      <c r="P222" s="165"/>
      <c r="Q222" s="165"/>
      <c r="R222" s="165"/>
      <c r="S222" s="165"/>
      <c r="T222" s="165"/>
      <c r="U222" s="165"/>
      <c r="V222" s="165"/>
      <c r="W222" s="165"/>
    </row>
    <row r="223" spans="1:23" x14ac:dyDescent="0.25">
      <c r="A223" s="1" t="str">
        <f>IF($G$171="Y",'[1]Population Definitions'!$A$5,"...")</f>
        <v>65+</v>
      </c>
      <c r="B223" s="1" t="str">
        <f>IF($G$171="Y","---&gt;","...")</f>
        <v>---&gt;</v>
      </c>
      <c r="C223" s="1" t="str">
        <f>IF($G$171="Y",'[1]Population Definitions'!$A$7,"...")</f>
        <v>65+ (HIV+)</v>
      </c>
      <c r="D223" s="132" t="s">
        <v>163</v>
      </c>
      <c r="E223" s="165"/>
      <c r="F223" s="1" t="str">
        <f>IF($G$171="Y","OR","...")</f>
        <v>OR</v>
      </c>
      <c r="G223" s="165">
        <v>4.0000000000000001E-3</v>
      </c>
      <c r="H223" s="165"/>
      <c r="I223" s="165"/>
      <c r="J223" s="165"/>
      <c r="K223" s="165"/>
      <c r="L223" s="165"/>
      <c r="M223" s="165"/>
      <c r="N223" s="165"/>
      <c r="O223" s="165"/>
      <c r="P223" s="165"/>
      <c r="Q223" s="165">
        <v>4.0000000000000001E-3</v>
      </c>
      <c r="R223" s="165"/>
      <c r="S223" s="165"/>
      <c r="T223" s="165"/>
      <c r="U223" s="165"/>
      <c r="V223" s="165"/>
      <c r="W223" s="165">
        <v>3.5000000000000001E-3</v>
      </c>
    </row>
    <row r="224" spans="1:23" x14ac:dyDescent="0.25">
      <c r="A224" s="1" t="str">
        <f>IF($H$171="Y",'[1]Population Definitions'!$A$5,"...")</f>
        <v>...</v>
      </c>
      <c r="B224" s="1" t="str">
        <f>IF($H$171="Y","---&gt;","...")</f>
        <v>...</v>
      </c>
      <c r="C224" s="1" t="str">
        <f>IF($H$171="Y",'[1]Population Definitions'!$A$8,"...")</f>
        <v>...</v>
      </c>
      <c r="E224" s="165"/>
      <c r="F224" s="1" t="str">
        <f>IF($H$171="Y","OR","...")</f>
        <v>...</v>
      </c>
      <c r="G224" s="165"/>
      <c r="H224" s="165"/>
      <c r="I224" s="165"/>
      <c r="J224" s="165"/>
      <c r="K224" s="165"/>
      <c r="L224" s="165"/>
      <c r="M224" s="165"/>
      <c r="N224" s="165"/>
      <c r="O224" s="165"/>
      <c r="P224" s="165"/>
      <c r="Q224" s="165"/>
      <c r="R224" s="165"/>
      <c r="S224" s="165"/>
      <c r="T224" s="165"/>
      <c r="U224" s="165"/>
      <c r="V224" s="165"/>
      <c r="W224" s="165"/>
    </row>
    <row r="225" spans="1:23" x14ac:dyDescent="0.25">
      <c r="A225" s="1" t="str">
        <f>IF($I$171="Y",'[1]Population Definitions'!$A$5,"...")</f>
        <v>...</v>
      </c>
      <c r="B225" s="1" t="str">
        <f>IF($I$171="Y","---&gt;","...")</f>
        <v>...</v>
      </c>
      <c r="C225" s="1" t="str">
        <f>IF($I$171="Y",'[1]Population Definitions'!$A$9,"...")</f>
        <v>...</v>
      </c>
      <c r="E225" s="165"/>
      <c r="F225" s="1" t="str">
        <f>IF($I$171="Y","OR","...")</f>
        <v>...</v>
      </c>
      <c r="G225" s="165"/>
      <c r="H225" s="165"/>
      <c r="I225" s="165"/>
      <c r="J225" s="165"/>
      <c r="K225" s="165"/>
      <c r="L225" s="165"/>
      <c r="M225" s="165"/>
      <c r="N225" s="165"/>
      <c r="O225" s="165"/>
      <c r="P225" s="165"/>
      <c r="Q225" s="165"/>
      <c r="R225" s="165"/>
      <c r="S225" s="165"/>
      <c r="T225" s="165"/>
      <c r="U225" s="165"/>
      <c r="V225" s="165"/>
      <c r="W225" s="165"/>
    </row>
    <row r="226" spans="1:23" x14ac:dyDescent="0.25">
      <c r="A226" s="1" t="str">
        <f>IF($J$171="Y",'[1]Population Definitions'!$A$5,"...")</f>
        <v>...</v>
      </c>
      <c r="B226" s="1" t="str">
        <f>IF($J$171="Y","---&gt;","...")</f>
        <v>...</v>
      </c>
      <c r="C226" s="1" t="str">
        <f>IF($J$171="Y",'[1]Population Definitions'!$A$10,"...")</f>
        <v>...</v>
      </c>
      <c r="E226" s="165"/>
      <c r="F226" s="1" t="str">
        <f>IF($J$171="Y","OR","...")</f>
        <v>...</v>
      </c>
      <c r="G226" s="165"/>
      <c r="H226" s="165"/>
      <c r="I226" s="165"/>
      <c r="J226" s="165"/>
      <c r="K226" s="165"/>
      <c r="L226" s="165"/>
      <c r="M226" s="165"/>
      <c r="N226" s="165"/>
      <c r="O226" s="165"/>
      <c r="P226" s="165"/>
      <c r="Q226" s="165"/>
      <c r="R226" s="165"/>
      <c r="S226" s="165"/>
      <c r="T226" s="165"/>
      <c r="U226" s="165"/>
      <c r="V226" s="165"/>
      <c r="W226" s="165"/>
    </row>
    <row r="227" spans="1:23" x14ac:dyDescent="0.25">
      <c r="A227" s="1" t="str">
        <f>IF($K$171="Y",'[1]Population Definitions'!$A$5,"...")</f>
        <v>...</v>
      </c>
      <c r="B227" s="1" t="str">
        <f>IF($K$171="Y","---&gt;","...")</f>
        <v>...</v>
      </c>
      <c r="C227" s="1" t="str">
        <f>IF($K$171="Y",'[1]Population Definitions'!$A$11,"...")</f>
        <v>...</v>
      </c>
      <c r="E227" s="165"/>
      <c r="F227" s="1" t="str">
        <f>IF($K$171="Y","OR","...")</f>
        <v>...</v>
      </c>
      <c r="G227" s="165"/>
      <c r="H227" s="165"/>
      <c r="I227" s="165"/>
      <c r="J227" s="165"/>
      <c r="K227" s="165"/>
      <c r="L227" s="165"/>
      <c r="M227" s="165"/>
      <c r="N227" s="165"/>
      <c r="O227" s="165"/>
      <c r="P227" s="165"/>
      <c r="Q227" s="165"/>
      <c r="R227" s="165"/>
      <c r="S227" s="165"/>
      <c r="T227" s="165"/>
      <c r="U227" s="165"/>
      <c r="V227" s="165"/>
      <c r="W227" s="165"/>
    </row>
    <row r="228" spans="1:23" x14ac:dyDescent="0.25">
      <c r="A228" s="1" t="str">
        <f>IF($L$171="Y",'[1]Population Definitions'!$A$5,"...")</f>
        <v>...</v>
      </c>
      <c r="B228" s="1" t="str">
        <f>IF($L$171="Y","---&gt;","...")</f>
        <v>...</v>
      </c>
      <c r="C228" s="1" t="str">
        <f>IF($L$171="Y",'[1]Population Definitions'!$A$12,"...")</f>
        <v>...</v>
      </c>
      <c r="E228" s="165"/>
      <c r="F228" s="1" t="str">
        <f>IF($L$171="Y","OR","...")</f>
        <v>...</v>
      </c>
      <c r="G228" s="165"/>
      <c r="H228" s="165"/>
      <c r="I228" s="165"/>
      <c r="J228" s="165"/>
      <c r="K228" s="165"/>
      <c r="L228" s="165"/>
      <c r="M228" s="165"/>
      <c r="N228" s="165"/>
      <c r="O228" s="165"/>
      <c r="P228" s="165"/>
      <c r="Q228" s="165"/>
      <c r="R228" s="165"/>
      <c r="S228" s="165"/>
      <c r="T228" s="165"/>
      <c r="U228" s="165"/>
      <c r="V228" s="165"/>
      <c r="W228" s="165"/>
    </row>
    <row r="229" spans="1:23" x14ac:dyDescent="0.25">
      <c r="A229" s="1" t="str">
        <f>IF($M$171="Y",'[1]Population Definitions'!$A$5,"...")</f>
        <v>...</v>
      </c>
      <c r="B229" s="1" t="str">
        <f>IF($M$171="Y","---&gt;","...")</f>
        <v>...</v>
      </c>
      <c r="C229" s="1" t="str">
        <f>IF($M$171="Y",'[1]Population Definitions'!$A$13,"...")</f>
        <v>...</v>
      </c>
      <c r="E229" s="165"/>
      <c r="F229" s="1" t="str">
        <f>IF($M$171="Y","OR","...")</f>
        <v>...</v>
      </c>
      <c r="G229" s="165"/>
      <c r="H229" s="165"/>
      <c r="I229" s="165"/>
      <c r="J229" s="165"/>
      <c r="K229" s="165"/>
      <c r="L229" s="165"/>
      <c r="M229" s="165"/>
      <c r="N229" s="165"/>
      <c r="O229" s="165"/>
      <c r="P229" s="165"/>
      <c r="Q229" s="165"/>
      <c r="R229" s="165"/>
      <c r="S229" s="165"/>
      <c r="T229" s="165"/>
      <c r="U229" s="165"/>
      <c r="V229" s="165"/>
      <c r="W229" s="165"/>
    </row>
    <row r="230" spans="1:23" x14ac:dyDescent="0.25">
      <c r="A230" s="1" t="str">
        <f>IF($B$172="Y",'[1]Population Definitions'!$A$6,"...")</f>
        <v>...</v>
      </c>
      <c r="B230" s="1" t="str">
        <f>IF($B$172="Y","---&gt;","...")</f>
        <v>...</v>
      </c>
      <c r="C230" s="1" t="str">
        <f>IF($B$172="Y",'[1]Population Definitions'!$A$2,"...")</f>
        <v>...</v>
      </c>
      <c r="E230" s="165"/>
      <c r="F230" s="1" t="str">
        <f>IF($B$172="Y","OR","...")</f>
        <v>...</v>
      </c>
      <c r="G230" s="165"/>
      <c r="H230" s="165"/>
      <c r="I230" s="165"/>
      <c r="J230" s="165"/>
      <c r="K230" s="165"/>
      <c r="L230" s="165"/>
      <c r="M230" s="165"/>
      <c r="N230" s="165"/>
      <c r="O230" s="165"/>
      <c r="P230" s="165"/>
      <c r="Q230" s="165"/>
      <c r="R230" s="165"/>
      <c r="S230" s="165"/>
      <c r="T230" s="165"/>
      <c r="U230" s="165"/>
      <c r="V230" s="165"/>
      <c r="W230" s="165"/>
    </row>
    <row r="231" spans="1:23" x14ac:dyDescent="0.25">
      <c r="A231" s="1" t="str">
        <f>IF($C$172="Y",'[1]Population Definitions'!$A$6,"...")</f>
        <v>...</v>
      </c>
      <c r="B231" s="1" t="str">
        <f>IF($C$172="Y","---&gt;","...")</f>
        <v>...</v>
      </c>
      <c r="C231" s="1" t="str">
        <f>IF($C$172="Y",'[1]Population Definitions'!$A$3,"...")</f>
        <v>...</v>
      </c>
      <c r="E231" s="165"/>
      <c r="F231" s="1" t="str">
        <f>IF($C$172="Y","OR","...")</f>
        <v>...</v>
      </c>
      <c r="G231" s="165"/>
      <c r="H231" s="165"/>
      <c r="I231" s="165"/>
      <c r="J231" s="165"/>
      <c r="K231" s="165"/>
      <c r="L231" s="165"/>
      <c r="M231" s="165"/>
      <c r="N231" s="165"/>
      <c r="O231" s="165"/>
      <c r="P231" s="165"/>
      <c r="Q231" s="165"/>
      <c r="R231" s="165"/>
      <c r="S231" s="165"/>
      <c r="T231" s="165"/>
      <c r="U231" s="165"/>
      <c r="V231" s="165"/>
      <c r="W231" s="165"/>
    </row>
    <row r="232" spans="1:23" x14ac:dyDescent="0.25">
      <c r="A232" s="1" t="str">
        <f>IF($D$172="Y",'[1]Population Definitions'!$A$6,"...")</f>
        <v>...</v>
      </c>
      <c r="B232" s="1" t="str">
        <f>IF($D$172="Y","---&gt;","...")</f>
        <v>...</v>
      </c>
      <c r="C232" s="1" t="str">
        <f>IF($D$172="Y",'[1]Population Definitions'!$A$4,"...")</f>
        <v>...</v>
      </c>
      <c r="E232" s="165"/>
      <c r="F232" s="1" t="str">
        <f>IF($D$172="Y","OR","...")</f>
        <v>...</v>
      </c>
      <c r="G232" s="165"/>
      <c r="H232" s="165"/>
      <c r="I232" s="165"/>
      <c r="J232" s="165"/>
      <c r="K232" s="165"/>
      <c r="L232" s="165"/>
      <c r="M232" s="165"/>
      <c r="N232" s="165"/>
      <c r="O232" s="165"/>
      <c r="P232" s="165"/>
      <c r="Q232" s="165"/>
      <c r="R232" s="165"/>
      <c r="S232" s="165"/>
      <c r="T232" s="165"/>
      <c r="U232" s="165"/>
      <c r="V232" s="165"/>
      <c r="W232" s="165"/>
    </row>
    <row r="233" spans="1:23" x14ac:dyDescent="0.25">
      <c r="A233" s="1" t="str">
        <f>IF($E$172="Y",'[1]Population Definitions'!$A$6,"...")</f>
        <v>...</v>
      </c>
      <c r="B233" s="1" t="str">
        <f>IF($E$172="Y","---&gt;","...")</f>
        <v>...</v>
      </c>
      <c r="C233" s="1" t="str">
        <f>IF($E$172="Y",'[1]Population Definitions'!$A$5,"...")</f>
        <v>...</v>
      </c>
      <c r="E233" s="165"/>
      <c r="F233" s="1" t="str">
        <f>IF($E$172="Y","OR","...")</f>
        <v>...</v>
      </c>
      <c r="G233" s="165"/>
      <c r="H233" s="165"/>
      <c r="I233" s="165"/>
      <c r="J233" s="165"/>
      <c r="K233" s="165"/>
      <c r="L233" s="165"/>
      <c r="M233" s="165"/>
      <c r="N233" s="165"/>
      <c r="O233" s="165"/>
      <c r="P233" s="165"/>
      <c r="Q233" s="165"/>
      <c r="R233" s="165"/>
      <c r="S233" s="165"/>
      <c r="T233" s="165"/>
      <c r="U233" s="165"/>
      <c r="V233" s="165"/>
      <c r="W233" s="165"/>
    </row>
    <row r="234" spans="1:23" x14ac:dyDescent="0.25">
      <c r="A234" s="1" t="str">
        <f>IF($F$172="Y",'[1]Population Definitions'!$A$6,"...")</f>
        <v>...</v>
      </c>
      <c r="B234" s="1" t="str">
        <f>IF($F$172="Y","---&gt;","...")</f>
        <v>...</v>
      </c>
      <c r="C234" s="1" t="str">
        <f>IF($F$172="Y",'[1]Population Definitions'!$A$6,"...")</f>
        <v>...</v>
      </c>
      <c r="E234" s="165"/>
      <c r="F234" s="1" t="str">
        <f>IF($F$172="Y","OR","...")</f>
        <v>...</v>
      </c>
      <c r="G234" s="165"/>
      <c r="H234" s="165"/>
      <c r="I234" s="165"/>
      <c r="J234" s="165"/>
      <c r="K234" s="165"/>
      <c r="L234" s="165"/>
      <c r="M234" s="165"/>
      <c r="N234" s="165"/>
      <c r="O234" s="165"/>
      <c r="P234" s="165"/>
      <c r="Q234" s="165"/>
      <c r="R234" s="165"/>
      <c r="S234" s="165"/>
      <c r="T234" s="165"/>
      <c r="U234" s="165"/>
      <c r="V234" s="165"/>
      <c r="W234" s="165"/>
    </row>
    <row r="235" spans="1:23" x14ac:dyDescent="0.25">
      <c r="A235" s="1" t="str">
        <f>IF($G$172="Y",'[1]Population Definitions'!$A$6,"...")</f>
        <v>...</v>
      </c>
      <c r="B235" s="1" t="str">
        <f>IF($G$172="Y","---&gt;","...")</f>
        <v>...</v>
      </c>
      <c r="C235" s="1" t="str">
        <f>IF($G$172="Y",'[1]Population Definitions'!$A$7,"...")</f>
        <v>...</v>
      </c>
      <c r="E235" s="165"/>
      <c r="F235" s="1" t="str">
        <f>IF($G$172="Y","OR","...")</f>
        <v>...</v>
      </c>
      <c r="G235" s="165"/>
      <c r="H235" s="165"/>
      <c r="I235" s="165"/>
      <c r="J235" s="165"/>
      <c r="K235" s="165"/>
      <c r="L235" s="165"/>
      <c r="M235" s="165"/>
      <c r="N235" s="165"/>
      <c r="O235" s="165"/>
      <c r="P235" s="165"/>
      <c r="Q235" s="165"/>
      <c r="R235" s="165"/>
      <c r="S235" s="165"/>
      <c r="T235" s="165"/>
      <c r="U235" s="165"/>
      <c r="V235" s="165"/>
      <c r="W235" s="165"/>
    </row>
    <row r="236" spans="1:23" x14ac:dyDescent="0.25">
      <c r="A236" s="1" t="str">
        <f>IF($H$172="Y",'[1]Population Definitions'!$A$6,"...")</f>
        <v>...</v>
      </c>
      <c r="B236" s="1" t="str">
        <f>IF($H$172="Y","---&gt;","...")</f>
        <v>...</v>
      </c>
      <c r="C236" s="1" t="str">
        <f>IF($H$172="Y",'[1]Population Definitions'!$A$8,"...")</f>
        <v>...</v>
      </c>
      <c r="E236" s="165"/>
      <c r="F236" s="1" t="str">
        <f>IF($H$172="Y","OR","...")</f>
        <v>...</v>
      </c>
      <c r="G236" s="165"/>
      <c r="H236" s="165"/>
      <c r="I236" s="165"/>
      <c r="J236" s="165"/>
      <c r="K236" s="165"/>
      <c r="L236" s="165"/>
      <c r="M236" s="165"/>
      <c r="N236" s="165"/>
      <c r="O236" s="165"/>
      <c r="P236" s="165"/>
      <c r="Q236" s="165"/>
      <c r="R236" s="165"/>
      <c r="S236" s="165"/>
      <c r="T236" s="165"/>
      <c r="U236" s="165"/>
      <c r="V236" s="165"/>
      <c r="W236" s="165"/>
    </row>
    <row r="237" spans="1:23" x14ac:dyDescent="0.25">
      <c r="A237" s="1" t="str">
        <f>IF($I$172="Y",'[1]Population Definitions'!$A$6,"...")</f>
        <v>...</v>
      </c>
      <c r="B237" s="1" t="str">
        <f>IF($I$172="Y","---&gt;","...")</f>
        <v>...</v>
      </c>
      <c r="C237" s="1" t="str">
        <f>IF($I$172="Y",'[1]Population Definitions'!$A$9,"...")</f>
        <v>...</v>
      </c>
      <c r="E237" s="165"/>
      <c r="F237" s="1" t="str">
        <f>IF($I$172="Y","OR","...")</f>
        <v>...</v>
      </c>
      <c r="G237" s="165"/>
      <c r="H237" s="165"/>
      <c r="I237" s="165"/>
      <c r="J237" s="165"/>
      <c r="K237" s="165"/>
      <c r="L237" s="165"/>
      <c r="M237" s="165"/>
      <c r="N237" s="165"/>
      <c r="O237" s="165"/>
      <c r="P237" s="165"/>
      <c r="Q237" s="165"/>
      <c r="R237" s="165"/>
      <c r="S237" s="165"/>
      <c r="T237" s="165"/>
      <c r="U237" s="165"/>
      <c r="V237" s="165"/>
      <c r="W237" s="165"/>
    </row>
    <row r="238" spans="1:23" x14ac:dyDescent="0.25">
      <c r="A238" s="1" t="str">
        <f>IF($J$172="Y",'[1]Population Definitions'!$A$6,"...")</f>
        <v>...</v>
      </c>
      <c r="B238" s="1" t="str">
        <f>IF($J$172="Y","---&gt;","...")</f>
        <v>...</v>
      </c>
      <c r="C238" s="1" t="str">
        <f>IF($J$172="Y",'[1]Population Definitions'!$A$10,"...")</f>
        <v>...</v>
      </c>
      <c r="E238" s="165"/>
      <c r="F238" s="1" t="str">
        <f>IF($J$172="Y","OR","...")</f>
        <v>...</v>
      </c>
      <c r="G238" s="165"/>
      <c r="H238" s="165"/>
      <c r="I238" s="165"/>
      <c r="J238" s="165"/>
      <c r="K238" s="165"/>
      <c r="L238" s="165"/>
      <c r="M238" s="165"/>
      <c r="N238" s="165"/>
      <c r="O238" s="165"/>
      <c r="P238" s="165"/>
      <c r="Q238" s="165"/>
      <c r="R238" s="165"/>
      <c r="S238" s="165"/>
      <c r="T238" s="165"/>
      <c r="U238" s="165"/>
      <c r="V238" s="165"/>
      <c r="W238" s="165"/>
    </row>
    <row r="239" spans="1:23" x14ac:dyDescent="0.25">
      <c r="A239" s="1" t="str">
        <f>IF($K$172="Y",'[1]Population Definitions'!$A$6,"...")</f>
        <v>...</v>
      </c>
      <c r="B239" s="1" t="str">
        <f>IF($K$172="Y","---&gt;","...")</f>
        <v>...</v>
      </c>
      <c r="C239" s="1" t="str">
        <f>IF($K$172="Y",'[1]Population Definitions'!$A$11,"...")</f>
        <v>...</v>
      </c>
      <c r="E239" s="165"/>
      <c r="F239" s="1" t="str">
        <f>IF($K$172="Y","OR","...")</f>
        <v>...</v>
      </c>
      <c r="G239" s="165"/>
      <c r="H239" s="165"/>
      <c r="I239" s="165"/>
      <c r="J239" s="165"/>
      <c r="K239" s="165"/>
      <c r="L239" s="165"/>
      <c r="M239" s="165"/>
      <c r="N239" s="165"/>
      <c r="O239" s="165"/>
      <c r="P239" s="165"/>
      <c r="Q239" s="165"/>
      <c r="R239" s="165"/>
      <c r="S239" s="165"/>
      <c r="T239" s="165"/>
      <c r="U239" s="165"/>
      <c r="V239" s="165"/>
      <c r="W239" s="165"/>
    </row>
    <row r="240" spans="1:23" x14ac:dyDescent="0.25">
      <c r="A240" s="1" t="str">
        <f>IF($L$172="Y",'[1]Population Definitions'!$A$6,"...")</f>
        <v>...</v>
      </c>
      <c r="B240" s="1" t="str">
        <f>IF($L$172="Y","---&gt;","...")</f>
        <v>...</v>
      </c>
      <c r="C240" s="1" t="str">
        <f>IF($L$172="Y",'[1]Population Definitions'!$A$12,"...")</f>
        <v>...</v>
      </c>
      <c r="E240" s="165"/>
      <c r="F240" s="1" t="str">
        <f>IF($L$172="Y","OR","...")</f>
        <v>...</v>
      </c>
      <c r="G240" s="165"/>
      <c r="H240" s="165"/>
      <c r="I240" s="165"/>
      <c r="J240" s="165"/>
      <c r="K240" s="165"/>
      <c r="L240" s="165"/>
      <c r="M240" s="165"/>
      <c r="N240" s="165"/>
      <c r="O240" s="165"/>
      <c r="P240" s="165"/>
      <c r="Q240" s="165"/>
      <c r="R240" s="165"/>
      <c r="S240" s="165"/>
      <c r="T240" s="165"/>
      <c r="U240" s="165"/>
      <c r="V240" s="165"/>
      <c r="W240" s="165"/>
    </row>
    <row r="241" spans="1:23" x14ac:dyDescent="0.25">
      <c r="A241" s="1" t="str">
        <f>IF($M$172="Y",'[1]Population Definitions'!$A$6,"...")</f>
        <v>...</v>
      </c>
      <c r="B241" s="1" t="str">
        <f>IF($M$172="Y","---&gt;","...")</f>
        <v>...</v>
      </c>
      <c r="C241" s="1" t="str">
        <f>IF($M$172="Y",'[1]Population Definitions'!$A$13,"...")</f>
        <v>...</v>
      </c>
      <c r="E241" s="165"/>
      <c r="F241" s="1" t="str">
        <f>IF($M$172="Y","OR","...")</f>
        <v>...</v>
      </c>
      <c r="G241" s="165"/>
      <c r="H241" s="165"/>
      <c r="I241" s="165"/>
      <c r="J241" s="165"/>
      <c r="K241" s="165"/>
      <c r="L241" s="165"/>
      <c r="M241" s="165"/>
      <c r="N241" s="165"/>
      <c r="O241" s="165"/>
      <c r="P241" s="165"/>
      <c r="Q241" s="165"/>
      <c r="R241" s="165"/>
      <c r="S241" s="165"/>
      <c r="T241" s="165"/>
      <c r="U241" s="165"/>
      <c r="V241" s="165"/>
      <c r="W241" s="165"/>
    </row>
    <row r="242" spans="1:23" x14ac:dyDescent="0.25">
      <c r="A242" s="1" t="str">
        <f>IF($B$173="Y",'[1]Population Definitions'!$A$7,"...")</f>
        <v>...</v>
      </c>
      <c r="B242" s="1" t="str">
        <f>IF($B$173="Y","---&gt;","...")</f>
        <v>...</v>
      </c>
      <c r="C242" s="1" t="str">
        <f>IF($B$173="Y",'[1]Population Definitions'!$A$2,"...")</f>
        <v>...</v>
      </c>
      <c r="E242" s="165"/>
      <c r="F242" s="1" t="str">
        <f>IF($B$173="Y","OR","...")</f>
        <v>...</v>
      </c>
      <c r="G242" s="165"/>
      <c r="H242" s="165"/>
      <c r="I242" s="165"/>
      <c r="J242" s="165"/>
      <c r="K242" s="165"/>
      <c r="L242" s="165"/>
      <c r="M242" s="165"/>
      <c r="N242" s="165"/>
      <c r="O242" s="165"/>
      <c r="P242" s="165"/>
      <c r="Q242" s="165"/>
      <c r="R242" s="165"/>
      <c r="S242" s="165"/>
      <c r="T242" s="165"/>
      <c r="U242" s="165"/>
      <c r="V242" s="165"/>
      <c r="W242" s="165"/>
    </row>
    <row r="243" spans="1:23" x14ac:dyDescent="0.25">
      <c r="A243" s="1" t="str">
        <f>IF($C$173="Y",'[1]Population Definitions'!$A$7,"...")</f>
        <v>...</v>
      </c>
      <c r="B243" s="1" t="str">
        <f>IF($C$173="Y","---&gt;","...")</f>
        <v>...</v>
      </c>
      <c r="C243" s="1" t="str">
        <f>IF($C$173="Y",'[1]Population Definitions'!$A$3,"...")</f>
        <v>...</v>
      </c>
      <c r="E243" s="165"/>
      <c r="F243" s="1" t="str">
        <f>IF($C$173="Y","OR","...")</f>
        <v>...</v>
      </c>
      <c r="G243" s="165"/>
      <c r="H243" s="165"/>
      <c r="I243" s="165"/>
      <c r="J243" s="165"/>
      <c r="K243" s="165"/>
      <c r="L243" s="165"/>
      <c r="M243" s="165"/>
      <c r="N243" s="165"/>
      <c r="O243" s="165"/>
      <c r="P243" s="165"/>
      <c r="Q243" s="165"/>
      <c r="R243" s="165"/>
      <c r="S243" s="165"/>
      <c r="T243" s="165"/>
      <c r="U243" s="165"/>
      <c r="V243" s="165"/>
      <c r="W243" s="165"/>
    </row>
    <row r="244" spans="1:23" x14ac:dyDescent="0.25">
      <c r="A244" s="1" t="str">
        <f>IF($D$173="Y",'[1]Population Definitions'!$A$7,"...")</f>
        <v>...</v>
      </c>
      <c r="B244" s="1" t="str">
        <f>IF($D$173="Y","---&gt;","...")</f>
        <v>...</v>
      </c>
      <c r="C244" s="1" t="str">
        <f>IF($D$173="Y",'[1]Population Definitions'!$A$4,"...")</f>
        <v>...</v>
      </c>
      <c r="E244" s="165"/>
      <c r="F244" s="1" t="str">
        <f>IF($D$173="Y","OR","...")</f>
        <v>...</v>
      </c>
      <c r="G244" s="165"/>
      <c r="H244" s="165"/>
      <c r="I244" s="165"/>
      <c r="J244" s="165"/>
      <c r="K244" s="165"/>
      <c r="L244" s="165"/>
      <c r="M244" s="165"/>
      <c r="N244" s="165"/>
      <c r="O244" s="165"/>
      <c r="P244" s="165"/>
      <c r="Q244" s="165"/>
      <c r="R244" s="165"/>
      <c r="S244" s="165"/>
      <c r="T244" s="165"/>
      <c r="U244" s="165"/>
      <c r="V244" s="165"/>
      <c r="W244" s="165"/>
    </row>
    <row r="245" spans="1:23" x14ac:dyDescent="0.25">
      <c r="A245" s="1" t="str">
        <f>IF($E$173="Y",'[1]Population Definitions'!$A$7,"...")</f>
        <v>...</v>
      </c>
      <c r="B245" s="1" t="str">
        <f>IF($E$173="Y","---&gt;","...")</f>
        <v>...</v>
      </c>
      <c r="C245" s="1" t="str">
        <f>IF($E$173="Y",'[1]Population Definitions'!$A$5,"...")</f>
        <v>...</v>
      </c>
      <c r="E245" s="165"/>
      <c r="F245" s="1" t="str">
        <f>IF($E$173="Y","OR","...")</f>
        <v>...</v>
      </c>
      <c r="G245" s="165"/>
      <c r="H245" s="165"/>
      <c r="I245" s="165"/>
      <c r="J245" s="165"/>
      <c r="K245" s="165"/>
      <c r="L245" s="165"/>
      <c r="M245" s="165"/>
      <c r="N245" s="165"/>
      <c r="O245" s="165"/>
      <c r="P245" s="165"/>
      <c r="Q245" s="165"/>
      <c r="R245" s="165"/>
      <c r="S245" s="165"/>
      <c r="T245" s="165"/>
      <c r="U245" s="165"/>
      <c r="V245" s="165"/>
      <c r="W245" s="165"/>
    </row>
    <row r="246" spans="1:23" x14ac:dyDescent="0.25">
      <c r="A246" s="1" t="str">
        <f>IF($F$173="Y",'[1]Population Definitions'!$A$7,"...")</f>
        <v>...</v>
      </c>
      <c r="B246" s="1" t="str">
        <f>IF($F$173="Y","---&gt;","...")</f>
        <v>...</v>
      </c>
      <c r="C246" s="1" t="str">
        <f>IF($F$173="Y",'[1]Population Definitions'!$A$6,"...")</f>
        <v>...</v>
      </c>
      <c r="E246" s="165"/>
      <c r="F246" s="1" t="str">
        <f>IF($F$173="Y","OR","...")</f>
        <v>...</v>
      </c>
      <c r="G246" s="165"/>
      <c r="H246" s="165"/>
      <c r="I246" s="165"/>
      <c r="J246" s="165"/>
      <c r="K246" s="165"/>
      <c r="L246" s="165"/>
      <c r="M246" s="165"/>
      <c r="N246" s="165"/>
      <c r="O246" s="165"/>
      <c r="P246" s="165"/>
      <c r="Q246" s="165"/>
      <c r="R246" s="165"/>
      <c r="S246" s="165"/>
      <c r="T246" s="165"/>
      <c r="U246" s="165"/>
      <c r="V246" s="165"/>
      <c r="W246" s="165"/>
    </row>
    <row r="247" spans="1:23" x14ac:dyDescent="0.25">
      <c r="A247" s="1" t="str">
        <f>IF($G$173="Y",'[1]Population Definitions'!$A$7,"...")</f>
        <v>...</v>
      </c>
      <c r="B247" s="1" t="str">
        <f>IF($G$173="Y","---&gt;","...")</f>
        <v>...</v>
      </c>
      <c r="C247" s="1" t="str">
        <f>IF($G$173="Y",'[1]Population Definitions'!$A$7,"...")</f>
        <v>...</v>
      </c>
      <c r="E247" s="165"/>
      <c r="F247" s="1" t="str">
        <f>IF($G$173="Y","OR","...")</f>
        <v>...</v>
      </c>
      <c r="G247" s="165"/>
      <c r="H247" s="165"/>
      <c r="I247" s="165"/>
      <c r="J247" s="165"/>
      <c r="K247" s="165"/>
      <c r="L247" s="165"/>
      <c r="M247" s="165"/>
      <c r="N247" s="165"/>
      <c r="O247" s="165"/>
      <c r="P247" s="165"/>
      <c r="Q247" s="165"/>
      <c r="R247" s="165"/>
      <c r="S247" s="165"/>
      <c r="T247" s="165"/>
      <c r="U247" s="165"/>
      <c r="V247" s="165"/>
      <c r="W247" s="165"/>
    </row>
    <row r="248" spans="1:23" x14ac:dyDescent="0.25">
      <c r="A248" s="1" t="str">
        <f>IF($H$173="Y",'[1]Population Definitions'!$A$7,"...")</f>
        <v>...</v>
      </c>
      <c r="B248" s="1" t="str">
        <f>IF($H$173="Y","---&gt;","...")</f>
        <v>...</v>
      </c>
      <c r="C248" s="1" t="str">
        <f>IF($H$173="Y",'[1]Population Definitions'!$A$8,"...")</f>
        <v>...</v>
      </c>
      <c r="E248" s="165"/>
      <c r="F248" s="1" t="str">
        <f>IF($H$173="Y","OR","...")</f>
        <v>...</v>
      </c>
      <c r="G248" s="165"/>
      <c r="H248" s="165"/>
      <c r="I248" s="165"/>
      <c r="J248" s="165"/>
      <c r="K248" s="165"/>
      <c r="L248" s="165"/>
      <c r="M248" s="165"/>
      <c r="N248" s="165"/>
      <c r="O248" s="165"/>
      <c r="P248" s="165"/>
      <c r="Q248" s="165"/>
      <c r="R248" s="165"/>
      <c r="S248" s="165"/>
      <c r="T248" s="165"/>
      <c r="U248" s="165"/>
      <c r="V248" s="165"/>
      <c r="W248" s="165"/>
    </row>
    <row r="249" spans="1:23" x14ac:dyDescent="0.25">
      <c r="A249" s="1" t="str">
        <f>IF($I$173="Y",'[1]Population Definitions'!$A$7,"...")</f>
        <v>...</v>
      </c>
      <c r="B249" s="1" t="str">
        <f>IF($I$173="Y","---&gt;","...")</f>
        <v>...</v>
      </c>
      <c r="C249" s="1" t="str">
        <f>IF($I$173="Y",'[1]Population Definitions'!$A$9,"...")</f>
        <v>...</v>
      </c>
      <c r="E249" s="165"/>
      <c r="F249" s="1" t="str">
        <f>IF($I$173="Y","OR","...")</f>
        <v>...</v>
      </c>
      <c r="G249" s="165"/>
      <c r="H249" s="165"/>
      <c r="I249" s="165"/>
      <c r="J249" s="165"/>
      <c r="K249" s="165"/>
      <c r="L249" s="165"/>
      <c r="M249" s="165"/>
      <c r="N249" s="165"/>
      <c r="O249" s="165"/>
      <c r="P249" s="165"/>
      <c r="Q249" s="165"/>
      <c r="R249" s="165"/>
      <c r="S249" s="165"/>
      <c r="T249" s="165"/>
      <c r="U249" s="165"/>
      <c r="V249" s="165"/>
      <c r="W249" s="165"/>
    </row>
    <row r="250" spans="1:23" x14ac:dyDescent="0.25">
      <c r="A250" s="1" t="str">
        <f>IF($J$173="Y",'[1]Population Definitions'!$A$7,"...")</f>
        <v>...</v>
      </c>
      <c r="B250" s="1" t="str">
        <f>IF($J$173="Y","---&gt;","...")</f>
        <v>...</v>
      </c>
      <c r="C250" s="1" t="str">
        <f>IF($J$173="Y",'[1]Population Definitions'!$A$10,"...")</f>
        <v>...</v>
      </c>
      <c r="E250" s="165"/>
      <c r="F250" s="1" t="str">
        <f>IF($J$173="Y","OR","...")</f>
        <v>...</v>
      </c>
      <c r="G250" s="165"/>
      <c r="H250" s="165"/>
      <c r="I250" s="165"/>
      <c r="J250" s="165"/>
      <c r="K250" s="165"/>
      <c r="L250" s="165"/>
      <c r="M250" s="165"/>
      <c r="N250" s="165"/>
      <c r="O250" s="165"/>
      <c r="P250" s="165"/>
      <c r="Q250" s="165"/>
      <c r="R250" s="165"/>
      <c r="S250" s="165"/>
      <c r="T250" s="165"/>
      <c r="U250" s="165"/>
      <c r="V250" s="165"/>
      <c r="W250" s="165"/>
    </row>
    <row r="251" spans="1:23" x14ac:dyDescent="0.25">
      <c r="A251" s="1" t="str">
        <f>IF($K$173="Y",'[1]Population Definitions'!$A$7,"...")</f>
        <v>...</v>
      </c>
      <c r="B251" s="1" t="str">
        <f>IF($K$173="Y","---&gt;","...")</f>
        <v>...</v>
      </c>
      <c r="C251" s="1" t="str">
        <f>IF($K$173="Y",'[1]Population Definitions'!$A$11,"...")</f>
        <v>...</v>
      </c>
      <c r="E251" s="165"/>
      <c r="F251" s="1" t="str">
        <f>IF($K$173="Y","OR","...")</f>
        <v>...</v>
      </c>
      <c r="G251" s="165"/>
      <c r="H251" s="165"/>
      <c r="I251" s="165"/>
      <c r="J251" s="165"/>
      <c r="K251" s="165"/>
      <c r="L251" s="165"/>
      <c r="M251" s="165"/>
      <c r="N251" s="165"/>
      <c r="O251" s="165"/>
      <c r="P251" s="165"/>
      <c r="Q251" s="165"/>
      <c r="R251" s="165"/>
      <c r="S251" s="165"/>
      <c r="T251" s="165"/>
      <c r="U251" s="165"/>
      <c r="V251" s="165"/>
      <c r="W251" s="165"/>
    </row>
    <row r="252" spans="1:23" x14ac:dyDescent="0.25">
      <c r="A252" s="1" t="str">
        <f>IF($L$173="Y",'[1]Population Definitions'!$A$7,"...")</f>
        <v>...</v>
      </c>
      <c r="B252" s="1" t="str">
        <f>IF($L$173="Y","---&gt;","...")</f>
        <v>...</v>
      </c>
      <c r="C252" s="1" t="str">
        <f>IF($L$173="Y",'[1]Population Definitions'!$A$12,"...")</f>
        <v>...</v>
      </c>
      <c r="E252" s="165"/>
      <c r="F252" s="1" t="str">
        <f>IF($L$173="Y","OR","...")</f>
        <v>...</v>
      </c>
      <c r="G252" s="165"/>
      <c r="H252" s="165"/>
      <c r="I252" s="165"/>
      <c r="J252" s="165"/>
      <c r="K252" s="165"/>
      <c r="L252" s="165"/>
      <c r="M252" s="165"/>
      <c r="N252" s="165"/>
      <c r="O252" s="165"/>
      <c r="P252" s="165"/>
      <c r="Q252" s="165"/>
      <c r="R252" s="165"/>
      <c r="S252" s="165"/>
      <c r="T252" s="165"/>
      <c r="U252" s="165"/>
      <c r="V252" s="165"/>
      <c r="W252" s="165"/>
    </row>
    <row r="253" spans="1:23" x14ac:dyDescent="0.25">
      <c r="A253" s="1" t="str">
        <f>IF($M$173="Y",'[1]Population Definitions'!$A$7,"...")</f>
        <v>...</v>
      </c>
      <c r="B253" s="1" t="str">
        <f>IF($M$173="Y","---&gt;","...")</f>
        <v>...</v>
      </c>
      <c r="C253" s="1" t="str">
        <f>IF($M$173="Y",'[1]Population Definitions'!$A$13,"...")</f>
        <v>...</v>
      </c>
      <c r="E253" s="165"/>
      <c r="F253" s="1" t="str">
        <f>IF($M$173="Y","OR","...")</f>
        <v>...</v>
      </c>
      <c r="G253" s="165"/>
      <c r="H253" s="165"/>
      <c r="I253" s="165"/>
      <c r="J253" s="165"/>
      <c r="K253" s="165"/>
      <c r="L253" s="165"/>
      <c r="M253" s="165"/>
      <c r="N253" s="165"/>
      <c r="O253" s="165"/>
      <c r="P253" s="165"/>
      <c r="Q253" s="165"/>
      <c r="R253" s="165"/>
      <c r="S253" s="165"/>
      <c r="T253" s="165"/>
      <c r="U253" s="165"/>
      <c r="V253" s="165"/>
      <c r="W253" s="165"/>
    </row>
    <row r="254" spans="1:23" x14ac:dyDescent="0.25">
      <c r="A254" s="1" t="str">
        <f>IF($B$174="Y",'[1]Population Definitions'!$A$8,"...")</f>
        <v>...</v>
      </c>
      <c r="B254" s="1" t="str">
        <f>IF($B$174="Y","---&gt;","...")</f>
        <v>...</v>
      </c>
      <c r="C254" s="1" t="str">
        <f>IF($B$174="Y",'[1]Population Definitions'!$A$2,"...")</f>
        <v>...</v>
      </c>
      <c r="E254" s="165"/>
      <c r="F254" s="1" t="str">
        <f>IF($B$174="Y","OR","...")</f>
        <v>...</v>
      </c>
      <c r="G254" s="165"/>
      <c r="H254" s="165"/>
      <c r="I254" s="165"/>
      <c r="J254" s="165"/>
      <c r="K254" s="165"/>
      <c r="L254" s="165"/>
      <c r="M254" s="165"/>
      <c r="N254" s="165"/>
      <c r="O254" s="165"/>
      <c r="P254" s="165"/>
      <c r="Q254" s="165"/>
      <c r="R254" s="165"/>
      <c r="S254" s="165"/>
      <c r="T254" s="165"/>
      <c r="U254" s="165"/>
      <c r="V254" s="165"/>
      <c r="W254" s="165"/>
    </row>
    <row r="255" spans="1:23" x14ac:dyDescent="0.25">
      <c r="A255" s="1" t="str">
        <f>IF($C$174="Y",'[1]Population Definitions'!$A$8,"...")</f>
        <v>...</v>
      </c>
      <c r="B255" s="1" t="str">
        <f>IF($C$174="Y","---&gt;","...")</f>
        <v>...</v>
      </c>
      <c r="C255" s="1" t="str">
        <f>IF($C$174="Y",'[1]Population Definitions'!$A$3,"...")</f>
        <v>...</v>
      </c>
      <c r="E255" s="165"/>
      <c r="F255" s="1" t="str">
        <f>IF($C$174="Y","OR","...")</f>
        <v>...</v>
      </c>
      <c r="G255" s="165"/>
      <c r="H255" s="165"/>
      <c r="I255" s="165"/>
      <c r="J255" s="165"/>
      <c r="K255" s="165"/>
      <c r="L255" s="165"/>
      <c r="M255" s="165"/>
      <c r="N255" s="165"/>
      <c r="O255" s="165"/>
      <c r="P255" s="165"/>
      <c r="Q255" s="165"/>
      <c r="R255" s="165"/>
      <c r="S255" s="165"/>
      <c r="T255" s="165"/>
      <c r="U255" s="165"/>
      <c r="V255" s="165"/>
      <c r="W255" s="165"/>
    </row>
    <row r="256" spans="1:23" x14ac:dyDescent="0.25">
      <c r="A256" s="1" t="str">
        <f>IF($D$174="Y",'[1]Population Definitions'!$A$8,"...")</f>
        <v>...</v>
      </c>
      <c r="B256" s="1" t="str">
        <f>IF($D$174="Y","---&gt;","...")</f>
        <v>...</v>
      </c>
      <c r="C256" s="1" t="str">
        <f>IF($D$174="Y",'[1]Population Definitions'!$A$4,"...")</f>
        <v>...</v>
      </c>
      <c r="E256" s="165"/>
      <c r="F256" s="1" t="str">
        <f>IF($D$174="Y","OR","...")</f>
        <v>...</v>
      </c>
      <c r="G256" s="165"/>
      <c r="H256" s="165"/>
      <c r="I256" s="165"/>
      <c r="J256" s="165"/>
      <c r="K256" s="165"/>
      <c r="L256" s="165"/>
      <c r="M256" s="165"/>
      <c r="N256" s="165"/>
      <c r="O256" s="165"/>
      <c r="P256" s="165"/>
      <c r="Q256" s="165"/>
      <c r="R256" s="165"/>
      <c r="S256" s="165"/>
      <c r="T256" s="165"/>
      <c r="U256" s="165"/>
      <c r="V256" s="165"/>
      <c r="W256" s="165"/>
    </row>
    <row r="257" spans="1:23" x14ac:dyDescent="0.25">
      <c r="A257" s="1" t="str">
        <f>IF($E$174="Y",'[1]Population Definitions'!$A$8,"...")</f>
        <v>...</v>
      </c>
      <c r="B257" s="1" t="str">
        <f>IF($E$174="Y","---&gt;","...")</f>
        <v>...</v>
      </c>
      <c r="C257" s="1" t="str">
        <f>IF($E$174="Y",'[1]Population Definitions'!$A$5,"...")</f>
        <v>...</v>
      </c>
      <c r="E257" s="165"/>
      <c r="F257" s="1" t="str">
        <f>IF($E$174="Y","OR","...")</f>
        <v>...</v>
      </c>
      <c r="G257" s="165"/>
      <c r="H257" s="165"/>
      <c r="I257" s="165"/>
      <c r="J257" s="165"/>
      <c r="K257" s="165"/>
      <c r="L257" s="165"/>
      <c r="M257" s="165"/>
      <c r="N257" s="165"/>
      <c r="O257" s="165"/>
      <c r="P257" s="165"/>
      <c r="Q257" s="165"/>
      <c r="R257" s="165"/>
      <c r="S257" s="165"/>
      <c r="T257" s="165"/>
      <c r="U257" s="165"/>
      <c r="V257" s="165"/>
      <c r="W257" s="165"/>
    </row>
    <row r="258" spans="1:23" x14ac:dyDescent="0.25">
      <c r="A258" s="1" t="str">
        <f>IF($F$174="Y",'[1]Population Definitions'!$A$8,"...")</f>
        <v>...</v>
      </c>
      <c r="B258" s="1" t="str">
        <f>IF($F$174="Y","---&gt;","...")</f>
        <v>...</v>
      </c>
      <c r="C258" s="1" t="str">
        <f>IF($F$174="Y",'[1]Population Definitions'!$A$6,"...")</f>
        <v>...</v>
      </c>
      <c r="E258" s="165"/>
      <c r="F258" s="1" t="str">
        <f>IF($F$174="Y","OR","...")</f>
        <v>...</v>
      </c>
      <c r="G258" s="165"/>
      <c r="H258" s="165"/>
      <c r="I258" s="165"/>
      <c r="J258" s="165"/>
      <c r="K258" s="165"/>
      <c r="L258" s="165"/>
      <c r="M258" s="165"/>
      <c r="N258" s="165"/>
      <c r="O258" s="165"/>
      <c r="P258" s="165"/>
      <c r="Q258" s="165"/>
      <c r="R258" s="165"/>
      <c r="S258" s="165"/>
      <c r="T258" s="165"/>
      <c r="U258" s="165"/>
      <c r="V258" s="165"/>
      <c r="W258" s="165"/>
    </row>
    <row r="259" spans="1:23" x14ac:dyDescent="0.25">
      <c r="A259" s="1" t="str">
        <f>IF($G$174="Y",'[1]Population Definitions'!$A$8,"...")</f>
        <v>...</v>
      </c>
      <c r="B259" s="1" t="str">
        <f>IF($G$174="Y","---&gt;","...")</f>
        <v>...</v>
      </c>
      <c r="C259" s="1" t="str">
        <f>IF($G$174="Y",'[1]Population Definitions'!$A$7,"...")</f>
        <v>...</v>
      </c>
      <c r="E259" s="165"/>
      <c r="F259" s="1" t="str">
        <f>IF($G$174="Y","OR","...")</f>
        <v>...</v>
      </c>
      <c r="G259" s="165"/>
      <c r="H259" s="165"/>
      <c r="I259" s="165"/>
      <c r="J259" s="165"/>
      <c r="K259" s="165"/>
      <c r="L259" s="165"/>
      <c r="M259" s="165"/>
      <c r="N259" s="165"/>
      <c r="O259" s="165"/>
      <c r="P259" s="165"/>
      <c r="Q259" s="165"/>
      <c r="R259" s="165"/>
      <c r="S259" s="165"/>
      <c r="T259" s="165"/>
      <c r="U259" s="165"/>
      <c r="V259" s="165"/>
      <c r="W259" s="165"/>
    </row>
    <row r="260" spans="1:23" x14ac:dyDescent="0.25">
      <c r="A260" s="1" t="str">
        <f>IF($H$174="Y",'[1]Population Definitions'!$A$8,"...")</f>
        <v>...</v>
      </c>
      <c r="B260" s="1" t="str">
        <f>IF($H$174="Y","---&gt;","...")</f>
        <v>...</v>
      </c>
      <c r="C260" s="1" t="str">
        <f>IF($H$174="Y",'[1]Population Definitions'!$A$8,"...")</f>
        <v>...</v>
      </c>
      <c r="E260" s="165"/>
      <c r="F260" s="1" t="str">
        <f>IF($H$174="Y","OR","...")</f>
        <v>...</v>
      </c>
      <c r="G260" s="165"/>
      <c r="H260" s="165"/>
      <c r="I260" s="165"/>
      <c r="J260" s="165"/>
      <c r="K260" s="165"/>
      <c r="L260" s="165"/>
      <c r="M260" s="165"/>
      <c r="N260" s="165"/>
      <c r="O260" s="165"/>
      <c r="P260" s="165"/>
      <c r="Q260" s="165"/>
      <c r="R260" s="165"/>
      <c r="S260" s="165"/>
      <c r="T260" s="165"/>
      <c r="U260" s="165"/>
      <c r="V260" s="165"/>
      <c r="W260" s="165"/>
    </row>
    <row r="261" spans="1:23" x14ac:dyDescent="0.25">
      <c r="A261" s="1" t="str">
        <f>IF($I$174="Y",'[1]Population Definitions'!$A$8,"...")</f>
        <v>Pris</v>
      </c>
      <c r="B261" s="1" t="str">
        <f>IF($I$174="Y","---&gt;","...")</f>
        <v>---&gt;</v>
      </c>
      <c r="C261" s="1" t="str">
        <f>IF($I$174="Y",'[1]Population Definitions'!$A$9,"...")</f>
        <v>Pris (HIV+)</v>
      </c>
      <c r="D261" s="132" t="s">
        <v>163</v>
      </c>
      <c r="E261" s="165"/>
      <c r="F261" s="1" t="str">
        <f>IF($I$174="Y","OR","...")</f>
        <v>OR</v>
      </c>
      <c r="G261" s="165">
        <v>2.9808209607967359E-2</v>
      </c>
      <c r="H261" s="165">
        <v>2.822273906359641E-2</v>
      </c>
      <c r="I261" s="165">
        <v>2.6982918230214079E-2</v>
      </c>
      <c r="J261" s="165">
        <v>2.6091868711020781E-2</v>
      </c>
      <c r="K261" s="165">
        <v>2.5363817755597141E-2</v>
      </c>
      <c r="L261" s="165">
        <v>2.4606467899693979E-2</v>
      </c>
      <c r="M261" s="165">
        <v>2.3743946074686859E-2</v>
      </c>
      <c r="N261" s="165">
        <v>2.3563893604651311E-2</v>
      </c>
      <c r="O261" s="165">
        <v>2.3204880739884481E-2</v>
      </c>
      <c r="P261" s="165">
        <v>2.249979666014882E-2</v>
      </c>
      <c r="Q261" s="165">
        <v>2.1136153801070812E-2</v>
      </c>
      <c r="R261" s="165">
        <v>1.940793655846643E-2</v>
      </c>
      <c r="S261" s="165">
        <v>1.7982715157469711E-2</v>
      </c>
      <c r="T261" s="165">
        <v>1.7028637506606471E-2</v>
      </c>
      <c r="U261" s="165">
        <v>1.6549703462333039E-2</v>
      </c>
      <c r="V261" s="165">
        <v>1.58987964571905E-2</v>
      </c>
      <c r="W261" s="165">
        <v>1.485022081526944E-2</v>
      </c>
    </row>
    <row r="262" spans="1:23" x14ac:dyDescent="0.25">
      <c r="A262" s="1" t="str">
        <f>IF($J$174="Y",'[1]Population Definitions'!$A$8,"...")</f>
        <v>...</v>
      </c>
      <c r="B262" s="1" t="str">
        <f>IF($J$174="Y","---&gt;","...")</f>
        <v>...</v>
      </c>
      <c r="C262" s="1" t="str">
        <f>IF($J$174="Y",'[1]Population Definitions'!$A$10,"...")</f>
        <v>...</v>
      </c>
      <c r="E262" s="165"/>
      <c r="F262" s="1" t="str">
        <f>IF($J$174="Y","OR","...")</f>
        <v>...</v>
      </c>
      <c r="G262" s="165"/>
      <c r="H262" s="165"/>
      <c r="I262" s="165"/>
      <c r="J262" s="165"/>
      <c r="K262" s="165"/>
      <c r="L262" s="165"/>
      <c r="M262" s="165"/>
      <c r="N262" s="165"/>
      <c r="O262" s="165"/>
      <c r="P262" s="165"/>
      <c r="Q262" s="165"/>
      <c r="R262" s="165"/>
      <c r="S262" s="165"/>
      <c r="T262" s="165"/>
      <c r="U262" s="165"/>
      <c r="V262" s="165"/>
      <c r="W262" s="165"/>
    </row>
    <row r="263" spans="1:23" x14ac:dyDescent="0.25">
      <c r="A263" s="1" t="str">
        <f>IF($K$174="Y",'[1]Population Definitions'!$A$8,"...")</f>
        <v>...</v>
      </c>
      <c r="B263" s="1" t="str">
        <f>IF($K$174="Y","---&gt;","...")</f>
        <v>...</v>
      </c>
      <c r="C263" s="1" t="str">
        <f>IF($K$174="Y",'[1]Population Definitions'!$A$11,"...")</f>
        <v>...</v>
      </c>
      <c r="E263" s="165"/>
      <c r="F263" s="1" t="str">
        <f>IF($K$174="Y","OR","...")</f>
        <v>...</v>
      </c>
      <c r="G263" s="165"/>
      <c r="H263" s="165"/>
      <c r="I263" s="165"/>
      <c r="J263" s="165"/>
      <c r="K263" s="165"/>
      <c r="L263" s="165"/>
      <c r="M263" s="165"/>
      <c r="N263" s="165"/>
      <c r="O263" s="165"/>
      <c r="P263" s="165"/>
      <c r="Q263" s="165"/>
      <c r="R263" s="165"/>
      <c r="S263" s="165"/>
      <c r="T263" s="165"/>
      <c r="U263" s="165"/>
      <c r="V263" s="165"/>
      <c r="W263" s="165"/>
    </row>
    <row r="264" spans="1:23" x14ac:dyDescent="0.25">
      <c r="A264" s="1" t="str">
        <f>IF($L$174="Y",'[1]Population Definitions'!$A$8,"...")</f>
        <v>...</v>
      </c>
      <c r="B264" s="1" t="str">
        <f>IF($L$174="Y","---&gt;","...")</f>
        <v>...</v>
      </c>
      <c r="C264" s="1" t="str">
        <f>IF($L$174="Y",'[1]Population Definitions'!$A$12,"...")</f>
        <v>...</v>
      </c>
      <c r="E264" s="165"/>
      <c r="F264" s="1" t="str">
        <f>IF($L$174="Y","OR","...")</f>
        <v>...</v>
      </c>
      <c r="G264" s="165"/>
      <c r="H264" s="165"/>
      <c r="I264" s="165"/>
      <c r="J264" s="165"/>
      <c r="K264" s="165"/>
      <c r="L264" s="165"/>
      <c r="M264" s="165"/>
      <c r="N264" s="165"/>
      <c r="O264" s="165"/>
      <c r="P264" s="165"/>
      <c r="Q264" s="165"/>
      <c r="R264" s="165"/>
      <c r="S264" s="165"/>
      <c r="T264" s="165"/>
      <c r="U264" s="165"/>
      <c r="V264" s="165"/>
      <c r="W264" s="165"/>
    </row>
    <row r="265" spans="1:23" x14ac:dyDescent="0.25">
      <c r="A265" s="1" t="str">
        <f>IF($M$174="Y",'[1]Population Definitions'!$A$8,"...")</f>
        <v>...</v>
      </c>
      <c r="B265" s="1" t="str">
        <f>IF($M$174="Y","---&gt;","...")</f>
        <v>...</v>
      </c>
      <c r="C265" s="1" t="str">
        <f>IF($M$174="Y",'[1]Population Definitions'!$A$13,"...")</f>
        <v>...</v>
      </c>
      <c r="E265" s="165"/>
      <c r="F265" s="1" t="str">
        <f>IF($M$174="Y","OR","...")</f>
        <v>...</v>
      </c>
      <c r="G265" s="165"/>
      <c r="H265" s="165"/>
      <c r="I265" s="165"/>
      <c r="J265" s="165"/>
      <c r="K265" s="165"/>
      <c r="L265" s="165"/>
      <c r="M265" s="165"/>
      <c r="N265" s="165"/>
      <c r="O265" s="165"/>
      <c r="P265" s="165"/>
      <c r="Q265" s="165"/>
      <c r="R265" s="165"/>
      <c r="S265" s="165"/>
      <c r="T265" s="165"/>
      <c r="U265" s="165"/>
      <c r="V265" s="165"/>
      <c r="W265" s="165"/>
    </row>
    <row r="266" spans="1:23" x14ac:dyDescent="0.25">
      <c r="A266" s="1" t="str">
        <f>IF($B$175="Y",'[1]Population Definitions'!$A$9,"...")</f>
        <v>...</v>
      </c>
      <c r="B266" s="1" t="str">
        <f>IF($B$175="Y","---&gt;","...")</f>
        <v>...</v>
      </c>
      <c r="C266" s="1" t="str">
        <f>IF($B$175="Y",'[1]Population Definitions'!$A$2,"...")</f>
        <v>...</v>
      </c>
      <c r="E266" s="165"/>
      <c r="F266" s="1" t="str">
        <f>IF($B$175="Y","OR","...")</f>
        <v>...</v>
      </c>
      <c r="G266" s="165"/>
      <c r="H266" s="165"/>
      <c r="I266" s="165"/>
      <c r="J266" s="165"/>
      <c r="K266" s="165"/>
      <c r="L266" s="165"/>
      <c r="M266" s="165"/>
      <c r="N266" s="165"/>
      <c r="O266" s="165"/>
      <c r="P266" s="165"/>
      <c r="Q266" s="165"/>
      <c r="R266" s="165"/>
      <c r="S266" s="165"/>
      <c r="T266" s="165"/>
      <c r="U266" s="165"/>
      <c r="V266" s="165"/>
      <c r="W266" s="165"/>
    </row>
    <row r="267" spans="1:23" x14ac:dyDescent="0.25">
      <c r="A267" s="1" t="str">
        <f>IF($C$175="Y",'[1]Population Definitions'!$A$9,"...")</f>
        <v>...</v>
      </c>
      <c r="B267" s="1" t="str">
        <f>IF($C$175="Y","---&gt;","...")</f>
        <v>...</v>
      </c>
      <c r="C267" s="1" t="str">
        <f>IF($C$175="Y",'[1]Population Definitions'!$A$3,"...")</f>
        <v>...</v>
      </c>
      <c r="E267" s="165"/>
      <c r="F267" s="1" t="str">
        <f>IF($C$175="Y","OR","...")</f>
        <v>...</v>
      </c>
      <c r="G267" s="165"/>
      <c r="H267" s="165"/>
      <c r="I267" s="165"/>
      <c r="J267" s="165"/>
      <c r="K267" s="165"/>
      <c r="L267" s="165"/>
      <c r="M267" s="165"/>
      <c r="N267" s="165"/>
      <c r="O267" s="165"/>
      <c r="P267" s="165"/>
      <c r="Q267" s="165"/>
      <c r="R267" s="165"/>
      <c r="S267" s="165"/>
      <c r="T267" s="165"/>
      <c r="U267" s="165"/>
      <c r="V267" s="165"/>
      <c r="W267" s="165"/>
    </row>
    <row r="268" spans="1:23" x14ac:dyDescent="0.25">
      <c r="A268" s="1" t="str">
        <f>IF($D$175="Y",'[1]Population Definitions'!$A$9,"...")</f>
        <v>...</v>
      </c>
      <c r="B268" s="1" t="str">
        <f>IF($D$175="Y","---&gt;","...")</f>
        <v>...</v>
      </c>
      <c r="C268" s="1" t="str">
        <f>IF($D$175="Y",'[1]Population Definitions'!$A$4,"...")</f>
        <v>...</v>
      </c>
      <c r="E268" s="165"/>
      <c r="F268" s="1" t="str">
        <f>IF($D$175="Y","OR","...")</f>
        <v>...</v>
      </c>
      <c r="G268" s="165"/>
      <c r="H268" s="165"/>
      <c r="I268" s="165"/>
      <c r="J268" s="165"/>
      <c r="K268" s="165"/>
      <c r="L268" s="165"/>
      <c r="M268" s="165"/>
      <c r="N268" s="165"/>
      <c r="O268" s="165"/>
      <c r="P268" s="165"/>
      <c r="Q268" s="165"/>
      <c r="R268" s="165"/>
      <c r="S268" s="165"/>
      <c r="T268" s="165"/>
      <c r="U268" s="165"/>
      <c r="V268" s="165"/>
      <c r="W268" s="165"/>
    </row>
    <row r="269" spans="1:23" x14ac:dyDescent="0.25">
      <c r="A269" s="1" t="str">
        <f>IF($E$175="Y",'[1]Population Definitions'!$A$9,"...")</f>
        <v>...</v>
      </c>
      <c r="B269" s="1" t="str">
        <f>IF($E$175="Y","---&gt;","...")</f>
        <v>...</v>
      </c>
      <c r="C269" s="1" t="str">
        <f>IF($E$175="Y",'[1]Population Definitions'!$A$5,"...")</f>
        <v>...</v>
      </c>
      <c r="E269" s="165"/>
      <c r="F269" s="1" t="str">
        <f>IF($E$175="Y","OR","...")</f>
        <v>...</v>
      </c>
      <c r="G269" s="165"/>
      <c r="H269" s="165"/>
      <c r="I269" s="165"/>
      <c r="J269" s="165"/>
      <c r="K269" s="165"/>
      <c r="L269" s="165"/>
      <c r="M269" s="165"/>
      <c r="N269" s="165"/>
      <c r="O269" s="165"/>
      <c r="P269" s="165"/>
      <c r="Q269" s="165"/>
      <c r="R269" s="165"/>
      <c r="S269" s="165"/>
      <c r="T269" s="165"/>
      <c r="U269" s="165"/>
      <c r="V269" s="165"/>
      <c r="W269" s="165"/>
    </row>
    <row r="270" spans="1:23" x14ac:dyDescent="0.25">
      <c r="A270" s="1" t="str">
        <f>IF($F$175="Y",'[1]Population Definitions'!$A$9,"...")</f>
        <v>...</v>
      </c>
      <c r="B270" s="1" t="str">
        <f>IF($F$175="Y","---&gt;","...")</f>
        <v>...</v>
      </c>
      <c r="C270" s="1" t="str">
        <f>IF($F$175="Y",'[1]Population Definitions'!$A$6,"...")</f>
        <v>...</v>
      </c>
      <c r="E270" s="165"/>
      <c r="F270" s="1" t="str">
        <f>IF($F$175="Y","OR","...")</f>
        <v>...</v>
      </c>
      <c r="G270" s="165"/>
      <c r="H270" s="165"/>
      <c r="I270" s="165"/>
      <c r="J270" s="165"/>
      <c r="K270" s="165"/>
      <c r="L270" s="165"/>
      <c r="M270" s="165"/>
      <c r="N270" s="165"/>
      <c r="O270" s="165"/>
      <c r="P270" s="165"/>
      <c r="Q270" s="165"/>
      <c r="R270" s="165"/>
      <c r="S270" s="165"/>
      <c r="T270" s="165"/>
      <c r="U270" s="165"/>
      <c r="V270" s="165"/>
      <c r="W270" s="165"/>
    </row>
    <row r="271" spans="1:23" x14ac:dyDescent="0.25">
      <c r="A271" s="1" t="str">
        <f>IF($G$175="Y",'[1]Population Definitions'!$A$9,"...")</f>
        <v>...</v>
      </c>
      <c r="B271" s="1" t="str">
        <f>IF($G$175="Y","---&gt;","...")</f>
        <v>...</v>
      </c>
      <c r="C271" s="1" t="str">
        <f>IF($G$175="Y",'[1]Population Definitions'!$A$7,"...")</f>
        <v>...</v>
      </c>
      <c r="E271" s="165"/>
      <c r="F271" s="1" t="str">
        <f>IF($G$175="Y","OR","...")</f>
        <v>...</v>
      </c>
      <c r="G271" s="165"/>
      <c r="H271" s="165"/>
      <c r="I271" s="165"/>
      <c r="J271" s="165"/>
      <c r="K271" s="165"/>
      <c r="L271" s="165"/>
      <c r="M271" s="165"/>
      <c r="N271" s="165"/>
      <c r="O271" s="165"/>
      <c r="P271" s="165"/>
      <c r="Q271" s="165"/>
      <c r="R271" s="165"/>
      <c r="S271" s="165"/>
      <c r="T271" s="165"/>
      <c r="U271" s="165"/>
      <c r="V271" s="165"/>
      <c r="W271" s="165"/>
    </row>
    <row r="272" spans="1:23" x14ac:dyDescent="0.25">
      <c r="A272" s="1" t="str">
        <f>IF($H$175="Y",'[1]Population Definitions'!$A$9,"...")</f>
        <v>...</v>
      </c>
      <c r="B272" s="1" t="str">
        <f>IF($H$175="Y","---&gt;","...")</f>
        <v>...</v>
      </c>
      <c r="C272" s="1" t="str">
        <f>IF($H$175="Y",'[1]Population Definitions'!$A$8,"...")</f>
        <v>...</v>
      </c>
      <c r="E272" s="165"/>
      <c r="F272" s="1" t="str">
        <f>IF($H$175="Y","OR","...")</f>
        <v>...</v>
      </c>
      <c r="G272" s="165"/>
      <c r="H272" s="165"/>
      <c r="I272" s="165"/>
      <c r="J272" s="165"/>
      <c r="K272" s="165"/>
      <c r="L272" s="165"/>
      <c r="M272" s="165"/>
      <c r="N272" s="165"/>
      <c r="O272" s="165"/>
      <c r="P272" s="165"/>
      <c r="Q272" s="165"/>
      <c r="R272" s="165"/>
      <c r="S272" s="165"/>
      <c r="T272" s="165"/>
      <c r="U272" s="165"/>
      <c r="V272" s="165"/>
      <c r="W272" s="165"/>
    </row>
    <row r="273" spans="1:23" x14ac:dyDescent="0.25">
      <c r="A273" s="1" t="str">
        <f>IF($I$175="Y",'[1]Population Definitions'!$A$9,"...")</f>
        <v>...</v>
      </c>
      <c r="B273" s="1" t="str">
        <f>IF($I$175="Y","---&gt;","...")</f>
        <v>...</v>
      </c>
      <c r="C273" s="1" t="str">
        <f>IF($I$175="Y",'[1]Population Definitions'!$A$9,"...")</f>
        <v>...</v>
      </c>
      <c r="E273" s="165"/>
      <c r="F273" s="1" t="str">
        <f>IF($I$175="Y","OR","...")</f>
        <v>...</v>
      </c>
      <c r="G273" s="165"/>
      <c r="H273" s="165"/>
      <c r="I273" s="165"/>
      <c r="J273" s="165"/>
      <c r="K273" s="165"/>
      <c r="L273" s="165"/>
      <c r="M273" s="165"/>
      <c r="N273" s="165"/>
      <c r="O273" s="165"/>
      <c r="P273" s="165"/>
      <c r="Q273" s="165"/>
      <c r="R273" s="165"/>
      <c r="S273" s="165"/>
      <c r="T273" s="165"/>
      <c r="U273" s="165"/>
      <c r="V273" s="165"/>
      <c r="W273" s="165"/>
    </row>
    <row r="274" spans="1:23" x14ac:dyDescent="0.25">
      <c r="A274" s="1" t="str">
        <f>IF($J$175="Y",'[1]Population Definitions'!$A$9,"...")</f>
        <v>...</v>
      </c>
      <c r="B274" s="1" t="str">
        <f>IF($J$175="Y","---&gt;","...")</f>
        <v>...</v>
      </c>
      <c r="C274" s="1" t="str">
        <f>IF($J$175="Y",'[1]Population Definitions'!$A$10,"...")</f>
        <v>...</v>
      </c>
      <c r="E274" s="165"/>
      <c r="F274" s="1" t="str">
        <f>IF($J$175="Y","OR","...")</f>
        <v>...</v>
      </c>
      <c r="G274" s="165"/>
      <c r="H274" s="165"/>
      <c r="I274" s="165"/>
      <c r="J274" s="165"/>
      <c r="K274" s="165"/>
      <c r="L274" s="165"/>
      <c r="M274" s="165"/>
      <c r="N274" s="165"/>
      <c r="O274" s="165"/>
      <c r="P274" s="165"/>
      <c r="Q274" s="165"/>
      <c r="R274" s="165"/>
      <c r="S274" s="165"/>
      <c r="T274" s="165"/>
      <c r="U274" s="165"/>
      <c r="V274" s="165"/>
      <c r="W274" s="165"/>
    </row>
    <row r="275" spans="1:23" x14ac:dyDescent="0.25">
      <c r="A275" s="1" t="str">
        <f>IF($K$175="Y",'[1]Population Definitions'!$A$9,"...")</f>
        <v>...</v>
      </c>
      <c r="B275" s="1" t="str">
        <f>IF($K$175="Y","---&gt;","...")</f>
        <v>...</v>
      </c>
      <c r="C275" s="1" t="str">
        <f>IF($K$175="Y",'[1]Population Definitions'!$A$11,"...")</f>
        <v>...</v>
      </c>
      <c r="E275" s="165"/>
      <c r="F275" s="1" t="str">
        <f>IF($K$175="Y","OR","...")</f>
        <v>...</v>
      </c>
      <c r="G275" s="165"/>
      <c r="H275" s="165"/>
      <c r="I275" s="165"/>
      <c r="J275" s="165"/>
      <c r="K275" s="165"/>
      <c r="L275" s="165"/>
      <c r="M275" s="165"/>
      <c r="N275" s="165"/>
      <c r="O275" s="165"/>
      <c r="P275" s="165"/>
      <c r="Q275" s="165"/>
      <c r="R275" s="165"/>
      <c r="S275" s="165"/>
      <c r="T275" s="165"/>
      <c r="U275" s="165"/>
      <c r="V275" s="165"/>
      <c r="W275" s="165"/>
    </row>
    <row r="276" spans="1:23" x14ac:dyDescent="0.25">
      <c r="A276" s="1" t="str">
        <f>IF($L$175="Y",'[1]Population Definitions'!$A$9,"...")</f>
        <v>...</v>
      </c>
      <c r="B276" s="1" t="str">
        <f>IF($L$175="Y","---&gt;","...")</f>
        <v>...</v>
      </c>
      <c r="C276" s="1" t="str">
        <f>IF($L$175="Y",'[1]Population Definitions'!$A$12,"...")</f>
        <v>...</v>
      </c>
      <c r="E276" s="165"/>
      <c r="F276" s="1" t="str">
        <f>IF($L$175="Y","OR","...")</f>
        <v>...</v>
      </c>
      <c r="G276" s="165"/>
      <c r="H276" s="165"/>
      <c r="I276" s="165"/>
      <c r="J276" s="165"/>
      <c r="K276" s="165"/>
      <c r="L276" s="165"/>
      <c r="M276" s="165"/>
      <c r="N276" s="165"/>
      <c r="O276" s="165"/>
      <c r="P276" s="165"/>
      <c r="Q276" s="165"/>
      <c r="R276" s="165"/>
      <c r="S276" s="165"/>
      <c r="T276" s="165"/>
      <c r="U276" s="165"/>
      <c r="V276" s="165"/>
      <c r="W276" s="165"/>
    </row>
    <row r="277" spans="1:23" x14ac:dyDescent="0.25">
      <c r="A277" s="1" t="str">
        <f>IF($M$175="Y",'[1]Population Definitions'!$A$9,"...")</f>
        <v>...</v>
      </c>
      <c r="B277" s="1" t="str">
        <f>IF($M$175="Y","---&gt;","...")</f>
        <v>...</v>
      </c>
      <c r="C277" s="1" t="str">
        <f>IF($M$175="Y",'[1]Population Definitions'!$A$13,"...")</f>
        <v>...</v>
      </c>
      <c r="E277" s="165"/>
      <c r="F277" s="1" t="str">
        <f>IF($M$175="Y","OR","...")</f>
        <v>...</v>
      </c>
      <c r="G277" s="165"/>
      <c r="H277" s="165"/>
      <c r="I277" s="165"/>
      <c r="J277" s="165"/>
      <c r="K277" s="165"/>
      <c r="L277" s="165"/>
      <c r="M277" s="165"/>
      <c r="N277" s="165"/>
      <c r="O277" s="165"/>
      <c r="P277" s="165"/>
      <c r="Q277" s="165"/>
      <c r="R277" s="165"/>
      <c r="S277" s="165"/>
      <c r="T277" s="165"/>
      <c r="U277" s="165"/>
      <c r="V277" s="165"/>
      <c r="W277" s="165"/>
    </row>
    <row r="278" spans="1:23" x14ac:dyDescent="0.25">
      <c r="A278" s="1" t="str">
        <f>IF($B$176="Y",'[1]Population Definitions'!$A$10,"...")</f>
        <v>...</v>
      </c>
      <c r="B278" s="1" t="str">
        <f>IF($B$176="Y","---&gt;","...")</f>
        <v>...</v>
      </c>
      <c r="C278" s="1" t="str">
        <f>IF($B$176="Y",'[1]Population Definitions'!$A$2,"...")</f>
        <v>...</v>
      </c>
      <c r="E278" s="165"/>
      <c r="F278" s="1" t="str">
        <f>IF($B$176="Y","OR","...")</f>
        <v>...</v>
      </c>
      <c r="G278" s="165"/>
      <c r="H278" s="165"/>
      <c r="I278" s="165"/>
      <c r="J278" s="165"/>
      <c r="K278" s="165"/>
      <c r="L278" s="165"/>
      <c r="M278" s="165"/>
      <c r="N278" s="165"/>
      <c r="O278" s="165"/>
      <c r="P278" s="165"/>
      <c r="Q278" s="165"/>
      <c r="R278" s="165"/>
      <c r="S278" s="165"/>
      <c r="T278" s="165"/>
      <c r="U278" s="165"/>
      <c r="V278" s="165"/>
      <c r="W278" s="165"/>
    </row>
    <row r="279" spans="1:23" x14ac:dyDescent="0.25">
      <c r="A279" s="1" t="str">
        <f>IF($C$176="Y",'[1]Population Definitions'!$A$10,"...")</f>
        <v>...</v>
      </c>
      <c r="B279" s="1" t="str">
        <f>IF($C$176="Y","---&gt;","...")</f>
        <v>...</v>
      </c>
      <c r="C279" s="1" t="str">
        <f>IF($C$176="Y",'[1]Population Definitions'!$A$3,"...")</f>
        <v>...</v>
      </c>
      <c r="E279" s="165"/>
      <c r="F279" s="1" t="str">
        <f>IF($C$176="Y","OR","...")</f>
        <v>...</v>
      </c>
      <c r="G279" s="165"/>
      <c r="H279" s="165"/>
      <c r="I279" s="165"/>
      <c r="J279" s="165"/>
      <c r="K279" s="165"/>
      <c r="L279" s="165"/>
      <c r="M279" s="165"/>
      <c r="N279" s="165"/>
      <c r="O279" s="165"/>
      <c r="P279" s="165"/>
      <c r="Q279" s="165"/>
      <c r="R279" s="165"/>
      <c r="S279" s="165"/>
      <c r="T279" s="165"/>
      <c r="U279" s="165"/>
      <c r="V279" s="165"/>
      <c r="W279" s="165"/>
    </row>
    <row r="280" spans="1:23" x14ac:dyDescent="0.25">
      <c r="A280" s="1" t="str">
        <f>IF($D$176="Y",'[1]Population Definitions'!$A$10,"...")</f>
        <v>...</v>
      </c>
      <c r="B280" s="1" t="str">
        <f>IF($D$176="Y","---&gt;","...")</f>
        <v>...</v>
      </c>
      <c r="C280" s="1" t="str">
        <f>IF($D$176="Y",'[1]Population Definitions'!$A$4,"...")</f>
        <v>...</v>
      </c>
      <c r="E280" s="165"/>
      <c r="F280" s="1" t="str">
        <f>IF($D$176="Y","OR","...")</f>
        <v>...</v>
      </c>
      <c r="G280" s="165"/>
      <c r="H280" s="165"/>
      <c r="I280" s="165"/>
      <c r="J280" s="165"/>
      <c r="K280" s="165"/>
      <c r="L280" s="165"/>
      <c r="M280" s="165"/>
      <c r="N280" s="165"/>
      <c r="O280" s="165"/>
      <c r="P280" s="165"/>
      <c r="Q280" s="165"/>
      <c r="R280" s="165"/>
      <c r="S280" s="165"/>
      <c r="T280" s="165"/>
      <c r="U280" s="165"/>
      <c r="V280" s="165"/>
      <c r="W280" s="165"/>
    </row>
    <row r="281" spans="1:23" x14ac:dyDescent="0.25">
      <c r="A281" s="1" t="str">
        <f>IF($E$176="Y",'[1]Population Definitions'!$A$10,"...")</f>
        <v>...</v>
      </c>
      <c r="B281" s="1" t="str">
        <f>IF($E$176="Y","---&gt;","...")</f>
        <v>...</v>
      </c>
      <c r="C281" s="1" t="str">
        <f>IF($E$176="Y",'[1]Population Definitions'!$A$5,"...")</f>
        <v>...</v>
      </c>
      <c r="E281" s="165"/>
      <c r="F281" s="1" t="str">
        <f>IF($E$176="Y","OR","...")</f>
        <v>...</v>
      </c>
      <c r="G281" s="165"/>
      <c r="H281" s="165"/>
      <c r="I281" s="165"/>
      <c r="J281" s="165"/>
      <c r="K281" s="165"/>
      <c r="L281" s="165"/>
      <c r="M281" s="165"/>
      <c r="N281" s="165"/>
      <c r="O281" s="165"/>
      <c r="P281" s="165"/>
      <c r="Q281" s="165"/>
      <c r="R281" s="165"/>
      <c r="S281" s="165"/>
      <c r="T281" s="165"/>
      <c r="U281" s="165"/>
      <c r="V281" s="165"/>
      <c r="W281" s="165"/>
    </row>
    <row r="282" spans="1:23" x14ac:dyDescent="0.25">
      <c r="A282" s="1" t="str">
        <f>IF($F$176="Y",'[1]Population Definitions'!$A$10,"...")</f>
        <v>...</v>
      </c>
      <c r="B282" s="1" t="str">
        <f>IF($F$176="Y","---&gt;","...")</f>
        <v>...</v>
      </c>
      <c r="C282" s="1" t="str">
        <f>IF($F$176="Y",'[1]Population Definitions'!$A$6,"...")</f>
        <v>...</v>
      </c>
      <c r="E282" s="165"/>
      <c r="F282" s="1" t="str">
        <f>IF($F$176="Y","OR","...")</f>
        <v>...</v>
      </c>
      <c r="G282" s="165"/>
      <c r="H282" s="165"/>
      <c r="I282" s="165"/>
      <c r="J282" s="165"/>
      <c r="K282" s="165"/>
      <c r="L282" s="165"/>
      <c r="M282" s="165"/>
      <c r="N282" s="165"/>
      <c r="O282" s="165"/>
      <c r="P282" s="165"/>
      <c r="Q282" s="165"/>
      <c r="R282" s="165"/>
      <c r="S282" s="165"/>
      <c r="T282" s="165"/>
      <c r="U282" s="165"/>
      <c r="V282" s="165"/>
      <c r="W282" s="165"/>
    </row>
    <row r="283" spans="1:23" x14ac:dyDescent="0.25">
      <c r="A283" s="1" t="str">
        <f>IF($G$176="Y",'[1]Population Definitions'!$A$10,"...")</f>
        <v>...</v>
      </c>
      <c r="B283" s="1" t="str">
        <f>IF($G$176="Y","---&gt;","...")</f>
        <v>...</v>
      </c>
      <c r="C283" s="1" t="str">
        <f>IF($G$176="Y",'[1]Population Definitions'!$A$7,"...")</f>
        <v>...</v>
      </c>
      <c r="E283" s="165"/>
      <c r="F283" s="1" t="str">
        <f>IF($G$176="Y","OR","...")</f>
        <v>...</v>
      </c>
      <c r="G283" s="165"/>
      <c r="H283" s="165"/>
      <c r="I283" s="165"/>
      <c r="J283" s="165"/>
      <c r="K283" s="165"/>
      <c r="L283" s="165"/>
      <c r="M283" s="165"/>
      <c r="N283" s="165"/>
      <c r="O283" s="165"/>
      <c r="P283" s="165"/>
      <c r="Q283" s="165"/>
      <c r="R283" s="165"/>
      <c r="S283" s="165"/>
      <c r="T283" s="165"/>
      <c r="U283" s="165"/>
      <c r="V283" s="165"/>
      <c r="W283" s="165"/>
    </row>
    <row r="284" spans="1:23" x14ac:dyDescent="0.25">
      <c r="A284" s="1" t="str">
        <f>IF($H$176="Y",'[1]Population Definitions'!$A$10,"...")</f>
        <v>...</v>
      </c>
      <c r="B284" s="1" t="str">
        <f>IF($H$176="Y","---&gt;","...")</f>
        <v>...</v>
      </c>
      <c r="C284" s="1" t="str">
        <f>IF($H$176="Y",'[1]Population Definitions'!$A$8,"...")</f>
        <v>...</v>
      </c>
      <c r="E284" s="165"/>
      <c r="F284" s="1" t="str">
        <f>IF($H$176="Y","OR","...")</f>
        <v>...</v>
      </c>
      <c r="G284" s="165"/>
      <c r="H284" s="165"/>
      <c r="I284" s="165"/>
      <c r="J284" s="165"/>
      <c r="K284" s="165"/>
      <c r="L284" s="165"/>
      <c r="M284" s="165"/>
      <c r="N284" s="165"/>
      <c r="O284" s="165"/>
      <c r="P284" s="165"/>
      <c r="Q284" s="165"/>
      <c r="R284" s="165"/>
      <c r="S284" s="165"/>
      <c r="T284" s="165"/>
      <c r="U284" s="165"/>
      <c r="V284" s="165"/>
      <c r="W284" s="165"/>
    </row>
    <row r="285" spans="1:23" x14ac:dyDescent="0.25">
      <c r="A285" s="1" t="str">
        <f>IF($I$176="Y",'[1]Population Definitions'!$A$10,"...")</f>
        <v>...</v>
      </c>
      <c r="B285" s="1" t="str">
        <f>IF($I$176="Y","---&gt;","...")</f>
        <v>...</v>
      </c>
      <c r="C285" s="1" t="str">
        <f>IF($I$176="Y",'[1]Population Definitions'!$A$9,"...")</f>
        <v>...</v>
      </c>
      <c r="E285" s="165"/>
      <c r="F285" s="1" t="str">
        <f>IF($I$176="Y","OR","...")</f>
        <v>...</v>
      </c>
      <c r="G285" s="165"/>
      <c r="H285" s="165"/>
      <c r="I285" s="165"/>
      <c r="J285" s="165"/>
      <c r="K285" s="165"/>
      <c r="L285" s="165"/>
      <c r="M285" s="165"/>
      <c r="N285" s="165"/>
      <c r="O285" s="165"/>
      <c r="P285" s="165"/>
      <c r="Q285" s="165"/>
      <c r="R285" s="165"/>
      <c r="S285" s="165"/>
      <c r="T285" s="165"/>
      <c r="U285" s="165"/>
      <c r="V285" s="165"/>
      <c r="W285" s="165"/>
    </row>
    <row r="286" spans="1:23" x14ac:dyDescent="0.25">
      <c r="A286" s="1" t="str">
        <f>IF($J$176="Y",'[1]Population Definitions'!$A$10,"...")</f>
        <v>...</v>
      </c>
      <c r="B286" s="1" t="str">
        <f>IF($J$176="Y","---&gt;","...")</f>
        <v>...</v>
      </c>
      <c r="C286" s="1" t="str">
        <f>IF($J$176="Y",'[1]Population Definitions'!$A$10,"...")</f>
        <v>...</v>
      </c>
      <c r="E286" s="165"/>
      <c r="F286" s="1" t="str">
        <f>IF($J$176="Y","OR","...")</f>
        <v>...</v>
      </c>
      <c r="G286" s="165"/>
      <c r="H286" s="165"/>
      <c r="I286" s="165"/>
      <c r="J286" s="165"/>
      <c r="K286" s="165"/>
      <c r="L286" s="165"/>
      <c r="M286" s="165"/>
      <c r="N286" s="165"/>
      <c r="O286" s="165"/>
      <c r="P286" s="165"/>
      <c r="Q286" s="165"/>
      <c r="R286" s="165"/>
      <c r="S286" s="165"/>
      <c r="T286" s="165"/>
      <c r="U286" s="165"/>
      <c r="V286" s="165"/>
      <c r="W286" s="165"/>
    </row>
    <row r="287" spans="1:23" x14ac:dyDescent="0.25">
      <c r="A287" s="1" t="str">
        <f>IF($K$176="Y",'[1]Population Definitions'!$A$10,"...")</f>
        <v>HCW</v>
      </c>
      <c r="B287" s="1" t="str">
        <f>IF($K$176="Y","---&gt;","...")</f>
        <v>---&gt;</v>
      </c>
      <c r="C287" s="1" t="str">
        <f>IF($K$176="Y",'[1]Population Definitions'!$A$11,"...")</f>
        <v>HCW (HIV+)</v>
      </c>
      <c r="D287" s="132" t="s">
        <v>163</v>
      </c>
      <c r="E287" s="165"/>
      <c r="F287" s="1" t="str">
        <f>IF($K$176="Y","OR","...")</f>
        <v>OR</v>
      </c>
      <c r="G287" s="165">
        <v>3.2762111784949061E-2</v>
      </c>
      <c r="H287" s="165">
        <v>3.106042339845802E-2</v>
      </c>
      <c r="I287" s="165">
        <v>2.9731470263672601E-2</v>
      </c>
      <c r="J287" s="165">
        <v>2.7286127834237509E-2</v>
      </c>
      <c r="K287" s="165">
        <v>2.6545934045276671E-2</v>
      </c>
      <c r="L287" s="165">
        <v>2.5767776338538561E-2</v>
      </c>
      <c r="M287" s="165">
        <v>2.4552679514587381E-2</v>
      </c>
      <c r="N287" s="165">
        <v>2.3767984798286401E-2</v>
      </c>
      <c r="O287" s="165">
        <v>2.3013176142810159E-2</v>
      </c>
      <c r="P287" s="165">
        <v>2.254171725044565E-2</v>
      </c>
      <c r="Q287" s="165">
        <v>2.0852908314879879E-2</v>
      </c>
      <c r="R287" s="165">
        <v>1.912588720940718E-2</v>
      </c>
      <c r="S287" s="165">
        <v>1.767717425040927E-2</v>
      </c>
      <c r="T287" s="165">
        <v>1.691862854757754E-2</v>
      </c>
      <c r="U287" s="165">
        <v>1.6392749495866839E-2</v>
      </c>
      <c r="V287" s="165">
        <v>1.5740581497454411E-2</v>
      </c>
      <c r="W287" s="165">
        <v>1.469429593149563E-2</v>
      </c>
    </row>
    <row r="288" spans="1:23" x14ac:dyDescent="0.25">
      <c r="A288" s="1" t="str">
        <f>IF($L$176="Y",'[1]Population Definitions'!$A$10,"...")</f>
        <v>...</v>
      </c>
      <c r="B288" s="1" t="str">
        <f>IF($L$176="Y","---&gt;","...")</f>
        <v>...</v>
      </c>
      <c r="C288" s="1" t="str">
        <f>IF($L$176="Y",'[1]Population Definitions'!$A$12,"...")</f>
        <v>...</v>
      </c>
      <c r="E288" s="165"/>
      <c r="F288" s="1" t="str">
        <f>IF($L$176="Y","OR","...")</f>
        <v>...</v>
      </c>
      <c r="G288" s="165"/>
      <c r="H288" s="165"/>
      <c r="I288" s="165"/>
      <c r="J288" s="165"/>
      <c r="K288" s="165"/>
      <c r="L288" s="165"/>
      <c r="M288" s="165"/>
      <c r="N288" s="165"/>
      <c r="O288" s="165"/>
      <c r="P288" s="165"/>
      <c r="Q288" s="165"/>
      <c r="R288" s="165"/>
      <c r="S288" s="165"/>
      <c r="T288" s="165"/>
      <c r="U288" s="165"/>
      <c r="V288" s="165"/>
      <c r="W288" s="165"/>
    </row>
    <row r="289" spans="1:23" x14ac:dyDescent="0.25">
      <c r="A289" s="1" t="str">
        <f>IF($M$176="Y",'[1]Population Definitions'!$A$10,"...")</f>
        <v>...</v>
      </c>
      <c r="B289" s="1" t="str">
        <f>IF($M$176="Y","---&gt;","...")</f>
        <v>...</v>
      </c>
      <c r="C289" s="1" t="str">
        <f>IF($M$176="Y",'[1]Population Definitions'!$A$13,"...")</f>
        <v>...</v>
      </c>
      <c r="E289" s="165"/>
      <c r="F289" s="1" t="str">
        <f>IF($M$176="Y","OR","...")</f>
        <v>...</v>
      </c>
      <c r="G289" s="165"/>
      <c r="H289" s="165"/>
      <c r="I289" s="165"/>
      <c r="J289" s="165"/>
      <c r="K289" s="165"/>
      <c r="L289" s="165"/>
      <c r="M289" s="165"/>
      <c r="N289" s="165"/>
      <c r="O289" s="165"/>
      <c r="P289" s="165"/>
      <c r="Q289" s="165"/>
      <c r="R289" s="165"/>
      <c r="S289" s="165"/>
      <c r="T289" s="165"/>
      <c r="U289" s="165"/>
      <c r="V289" s="165"/>
      <c r="W289" s="165"/>
    </row>
    <row r="290" spans="1:23" x14ac:dyDescent="0.25">
      <c r="A290" s="1" t="str">
        <f>IF($B$177="Y",'[1]Population Definitions'!$A$11,"...")</f>
        <v>...</v>
      </c>
      <c r="B290" s="1" t="str">
        <f>IF($B$177="Y","---&gt;","...")</f>
        <v>...</v>
      </c>
      <c r="C290" s="1" t="str">
        <f>IF($B$177="Y",'[1]Population Definitions'!$A$2,"...")</f>
        <v>...</v>
      </c>
      <c r="E290" s="165"/>
      <c r="F290" s="1" t="str">
        <f>IF($B$177="Y","OR","...")</f>
        <v>...</v>
      </c>
      <c r="G290" s="165"/>
      <c r="H290" s="165"/>
      <c r="I290" s="165"/>
      <c r="J290" s="165"/>
      <c r="K290" s="165"/>
      <c r="L290" s="165"/>
      <c r="M290" s="165"/>
      <c r="N290" s="165"/>
      <c r="O290" s="165"/>
      <c r="P290" s="165"/>
      <c r="Q290" s="165"/>
      <c r="R290" s="165"/>
      <c r="S290" s="165"/>
      <c r="T290" s="165"/>
      <c r="U290" s="165"/>
      <c r="V290" s="165"/>
      <c r="W290" s="165"/>
    </row>
    <row r="291" spans="1:23" x14ac:dyDescent="0.25">
      <c r="A291" s="1" t="str">
        <f>IF($C$177="Y",'[1]Population Definitions'!$A$11,"...")</f>
        <v>...</v>
      </c>
      <c r="B291" s="1" t="str">
        <f>IF($C$177="Y","---&gt;","...")</f>
        <v>...</v>
      </c>
      <c r="C291" s="1" t="str">
        <f>IF($C$177="Y",'[1]Population Definitions'!$A$3,"...")</f>
        <v>...</v>
      </c>
      <c r="E291" s="165"/>
      <c r="F291" s="1" t="str">
        <f>IF($C$177="Y","OR","...")</f>
        <v>...</v>
      </c>
      <c r="G291" s="165"/>
      <c r="H291" s="165"/>
      <c r="I291" s="165"/>
      <c r="J291" s="165"/>
      <c r="K291" s="165"/>
      <c r="L291" s="165"/>
      <c r="M291" s="165"/>
      <c r="N291" s="165"/>
      <c r="O291" s="165"/>
      <c r="P291" s="165"/>
      <c r="Q291" s="165"/>
      <c r="R291" s="165"/>
      <c r="S291" s="165"/>
      <c r="T291" s="165"/>
      <c r="U291" s="165"/>
      <c r="V291" s="165"/>
      <c r="W291" s="165"/>
    </row>
    <row r="292" spans="1:23" x14ac:dyDescent="0.25">
      <c r="A292" s="1" t="str">
        <f>IF($D$177="Y",'[1]Population Definitions'!$A$11,"...")</f>
        <v>...</v>
      </c>
      <c r="B292" s="1" t="str">
        <f>IF($D$177="Y","---&gt;","...")</f>
        <v>...</v>
      </c>
      <c r="C292" s="1" t="str">
        <f>IF($D$177="Y",'[1]Population Definitions'!$A$4,"...")</f>
        <v>...</v>
      </c>
      <c r="E292" s="165"/>
      <c r="F292" s="1" t="str">
        <f>IF($D$177="Y","OR","...")</f>
        <v>...</v>
      </c>
      <c r="G292" s="165"/>
      <c r="H292" s="165"/>
      <c r="I292" s="165"/>
      <c r="J292" s="165"/>
      <c r="K292" s="165"/>
      <c r="L292" s="165"/>
      <c r="M292" s="165"/>
      <c r="N292" s="165"/>
      <c r="O292" s="165"/>
      <c r="P292" s="165"/>
      <c r="Q292" s="165"/>
      <c r="R292" s="165"/>
      <c r="S292" s="165"/>
      <c r="T292" s="165"/>
      <c r="U292" s="165"/>
      <c r="V292" s="165"/>
      <c r="W292" s="165"/>
    </row>
    <row r="293" spans="1:23" x14ac:dyDescent="0.25">
      <c r="A293" s="1" t="str">
        <f>IF($E$177="Y",'[1]Population Definitions'!$A$11,"...")</f>
        <v>...</v>
      </c>
      <c r="B293" s="1" t="str">
        <f>IF($E$177="Y","---&gt;","...")</f>
        <v>...</v>
      </c>
      <c r="C293" s="1" t="str">
        <f>IF($E$177="Y",'[1]Population Definitions'!$A$5,"...")</f>
        <v>...</v>
      </c>
      <c r="E293" s="165"/>
      <c r="F293" s="1" t="str">
        <f>IF($E$177="Y","OR","...")</f>
        <v>...</v>
      </c>
      <c r="G293" s="165"/>
      <c r="H293" s="165"/>
      <c r="I293" s="165"/>
      <c r="J293" s="165"/>
      <c r="K293" s="165"/>
      <c r="L293" s="165"/>
      <c r="M293" s="165"/>
      <c r="N293" s="165"/>
      <c r="O293" s="165"/>
      <c r="P293" s="165"/>
      <c r="Q293" s="165"/>
      <c r="R293" s="165"/>
      <c r="S293" s="165"/>
      <c r="T293" s="165"/>
      <c r="U293" s="165"/>
      <c r="V293" s="165"/>
      <c r="W293" s="165"/>
    </row>
    <row r="294" spans="1:23" x14ac:dyDescent="0.25">
      <c r="A294" s="1" t="str">
        <f>IF($F$177="Y",'[1]Population Definitions'!$A$11,"...")</f>
        <v>...</v>
      </c>
      <c r="B294" s="1" t="str">
        <f>IF($F$177="Y","---&gt;","...")</f>
        <v>...</v>
      </c>
      <c r="C294" s="1" t="str">
        <f>IF($F$177="Y",'[1]Population Definitions'!$A$6,"...")</f>
        <v>...</v>
      </c>
      <c r="E294" s="165"/>
      <c r="F294" s="1" t="str">
        <f>IF($F$177="Y","OR","...")</f>
        <v>...</v>
      </c>
      <c r="G294" s="165"/>
      <c r="H294" s="165"/>
      <c r="I294" s="165"/>
      <c r="J294" s="165"/>
      <c r="K294" s="165"/>
      <c r="L294" s="165"/>
      <c r="M294" s="165"/>
      <c r="N294" s="165"/>
      <c r="O294" s="165"/>
      <c r="P294" s="165"/>
      <c r="Q294" s="165"/>
      <c r="R294" s="165"/>
      <c r="S294" s="165"/>
      <c r="T294" s="165"/>
      <c r="U294" s="165"/>
      <c r="V294" s="165"/>
      <c r="W294" s="165"/>
    </row>
    <row r="295" spans="1:23" x14ac:dyDescent="0.25">
      <c r="A295" s="1" t="str">
        <f>IF($G$177="Y",'[1]Population Definitions'!$A$11,"...")</f>
        <v>...</v>
      </c>
      <c r="B295" s="1" t="str">
        <f>IF($G$177="Y","---&gt;","...")</f>
        <v>...</v>
      </c>
      <c r="C295" s="1" t="str">
        <f>IF($G$177="Y",'[1]Population Definitions'!$A$7,"...")</f>
        <v>...</v>
      </c>
      <c r="E295" s="165"/>
      <c r="F295" s="1" t="str">
        <f>IF($G$177="Y","OR","...")</f>
        <v>...</v>
      </c>
      <c r="G295" s="165"/>
      <c r="H295" s="165"/>
      <c r="I295" s="165"/>
      <c r="J295" s="165"/>
      <c r="K295" s="165"/>
      <c r="L295" s="165"/>
      <c r="M295" s="165"/>
      <c r="N295" s="165"/>
      <c r="O295" s="165"/>
      <c r="P295" s="165"/>
      <c r="Q295" s="165"/>
      <c r="R295" s="165"/>
      <c r="S295" s="165"/>
      <c r="T295" s="165"/>
      <c r="U295" s="165"/>
      <c r="V295" s="165"/>
      <c r="W295" s="165"/>
    </row>
    <row r="296" spans="1:23" x14ac:dyDescent="0.25">
      <c r="A296" s="1" t="str">
        <f>IF($H$177="Y",'[1]Population Definitions'!$A$11,"...")</f>
        <v>...</v>
      </c>
      <c r="B296" s="1" t="str">
        <f>IF($H$177="Y","---&gt;","...")</f>
        <v>...</v>
      </c>
      <c r="C296" s="1" t="str">
        <f>IF($H$177="Y",'[1]Population Definitions'!$A$8,"...")</f>
        <v>...</v>
      </c>
      <c r="E296" s="165"/>
      <c r="F296" s="1" t="str">
        <f>IF($H$177="Y","OR","...")</f>
        <v>...</v>
      </c>
      <c r="G296" s="165"/>
      <c r="H296" s="165"/>
      <c r="I296" s="165"/>
      <c r="J296" s="165"/>
      <c r="K296" s="165"/>
      <c r="L296" s="165"/>
      <c r="M296" s="165"/>
      <c r="N296" s="165"/>
      <c r="O296" s="165"/>
      <c r="P296" s="165"/>
      <c r="Q296" s="165"/>
      <c r="R296" s="165"/>
      <c r="S296" s="165"/>
      <c r="T296" s="165"/>
      <c r="U296" s="165"/>
      <c r="V296" s="165"/>
      <c r="W296" s="165"/>
    </row>
    <row r="297" spans="1:23" x14ac:dyDescent="0.25">
      <c r="A297" s="1" t="str">
        <f>IF($I$177="Y",'[1]Population Definitions'!$A$11,"...")</f>
        <v>...</v>
      </c>
      <c r="B297" s="1" t="str">
        <f>IF($I$177="Y","---&gt;","...")</f>
        <v>...</v>
      </c>
      <c r="C297" s="1" t="str">
        <f>IF($I$177="Y",'[1]Population Definitions'!$A$9,"...")</f>
        <v>...</v>
      </c>
      <c r="E297" s="165"/>
      <c r="F297" s="1" t="str">
        <f>IF($I$177="Y","OR","...")</f>
        <v>...</v>
      </c>
      <c r="G297" s="165"/>
      <c r="H297" s="165"/>
      <c r="I297" s="165"/>
      <c r="J297" s="165"/>
      <c r="K297" s="165"/>
      <c r="L297" s="165"/>
      <c r="M297" s="165"/>
      <c r="N297" s="165"/>
      <c r="O297" s="165"/>
      <c r="P297" s="165"/>
      <c r="Q297" s="165"/>
      <c r="R297" s="165"/>
      <c r="S297" s="165"/>
      <c r="T297" s="165"/>
      <c r="U297" s="165"/>
      <c r="V297" s="165"/>
      <c r="W297" s="165"/>
    </row>
    <row r="298" spans="1:23" x14ac:dyDescent="0.25">
      <c r="A298" s="1" t="str">
        <f>IF($J$177="Y",'[1]Population Definitions'!$A$11,"...")</f>
        <v>...</v>
      </c>
      <c r="B298" s="1" t="str">
        <f>IF($J$177="Y","---&gt;","...")</f>
        <v>...</v>
      </c>
      <c r="C298" s="1" t="str">
        <f>IF($J$177="Y",'[1]Population Definitions'!$A$10,"...")</f>
        <v>...</v>
      </c>
      <c r="E298" s="165"/>
      <c r="F298" s="1" t="str">
        <f>IF($J$177="Y","OR","...")</f>
        <v>...</v>
      </c>
      <c r="G298" s="165"/>
      <c r="H298" s="165"/>
      <c r="I298" s="165"/>
      <c r="J298" s="165"/>
      <c r="K298" s="165"/>
      <c r="L298" s="165"/>
      <c r="M298" s="165"/>
      <c r="N298" s="165"/>
      <c r="O298" s="165"/>
      <c r="P298" s="165"/>
      <c r="Q298" s="165"/>
      <c r="R298" s="165"/>
      <c r="S298" s="165"/>
      <c r="T298" s="165"/>
      <c r="U298" s="165"/>
      <c r="V298" s="165"/>
      <c r="W298" s="165"/>
    </row>
    <row r="299" spans="1:23" x14ac:dyDescent="0.25">
      <c r="A299" s="1" t="str">
        <f>IF($K$177="Y",'[1]Population Definitions'!$A$11,"...")</f>
        <v>...</v>
      </c>
      <c r="B299" s="1" t="str">
        <f>IF($K$177="Y","---&gt;","...")</f>
        <v>...</v>
      </c>
      <c r="C299" s="1" t="str">
        <f>IF($K$177="Y",'[1]Population Definitions'!$A$11,"...")</f>
        <v>...</v>
      </c>
      <c r="E299" s="165"/>
      <c r="F299" s="1" t="str">
        <f>IF($K$177="Y","OR","...")</f>
        <v>...</v>
      </c>
      <c r="G299" s="165"/>
      <c r="H299" s="165"/>
      <c r="I299" s="165"/>
      <c r="J299" s="165"/>
      <c r="K299" s="165"/>
      <c r="L299" s="165"/>
      <c r="M299" s="165"/>
      <c r="N299" s="165"/>
      <c r="O299" s="165"/>
      <c r="P299" s="165"/>
      <c r="Q299" s="165"/>
      <c r="R299" s="165"/>
      <c r="S299" s="165"/>
      <c r="T299" s="165"/>
      <c r="U299" s="165"/>
      <c r="V299" s="165"/>
      <c r="W299" s="165"/>
    </row>
    <row r="300" spans="1:23" x14ac:dyDescent="0.25">
      <c r="A300" s="1" t="str">
        <f>IF($L$177="Y",'[1]Population Definitions'!$A$11,"...")</f>
        <v>...</v>
      </c>
      <c r="B300" s="1" t="str">
        <f>IF($L$177="Y","---&gt;","...")</f>
        <v>...</v>
      </c>
      <c r="C300" s="1" t="str">
        <f>IF($L$177="Y",'[1]Population Definitions'!$A$12,"...")</f>
        <v>...</v>
      </c>
      <c r="E300" s="165"/>
      <c r="F300" s="1" t="str">
        <f>IF($L$177="Y","OR","...")</f>
        <v>...</v>
      </c>
      <c r="G300" s="165"/>
      <c r="H300" s="165"/>
      <c r="I300" s="165"/>
      <c r="J300" s="165"/>
      <c r="K300" s="165"/>
      <c r="L300" s="165"/>
      <c r="M300" s="165"/>
      <c r="N300" s="165"/>
      <c r="O300" s="165"/>
      <c r="P300" s="165"/>
      <c r="Q300" s="165"/>
      <c r="R300" s="165"/>
      <c r="S300" s="165"/>
      <c r="T300" s="165"/>
      <c r="U300" s="165"/>
      <c r="V300" s="165"/>
      <c r="W300" s="165"/>
    </row>
    <row r="301" spans="1:23" x14ac:dyDescent="0.25">
      <c r="A301" s="1" t="str">
        <f>IF($M$177="Y",'[1]Population Definitions'!$A$11,"...")</f>
        <v>...</v>
      </c>
      <c r="B301" s="1" t="str">
        <f>IF($M$177="Y","---&gt;","...")</f>
        <v>...</v>
      </c>
      <c r="C301" s="1" t="str">
        <f>IF($M$177="Y",'[1]Population Definitions'!$A$13,"...")</f>
        <v>...</v>
      </c>
      <c r="E301" s="165"/>
      <c r="F301" s="1" t="str">
        <f>IF($M$177="Y","OR","...")</f>
        <v>...</v>
      </c>
      <c r="G301" s="165"/>
      <c r="H301" s="165"/>
      <c r="I301" s="165"/>
      <c r="J301" s="165"/>
      <c r="K301" s="165"/>
      <c r="L301" s="165"/>
      <c r="M301" s="165"/>
      <c r="N301" s="165"/>
      <c r="O301" s="165"/>
      <c r="P301" s="165"/>
      <c r="Q301" s="165"/>
      <c r="R301" s="165"/>
      <c r="S301" s="165"/>
      <c r="T301" s="165"/>
      <c r="U301" s="165"/>
      <c r="V301" s="165"/>
      <c r="W301" s="165"/>
    </row>
    <row r="302" spans="1:23" x14ac:dyDescent="0.25">
      <c r="A302" s="1" t="str">
        <f>IF($B$178="Y",'[1]Population Definitions'!$A$12,"...")</f>
        <v>...</v>
      </c>
      <c r="B302" s="1" t="str">
        <f>IF($B$178="Y","---&gt;","...")</f>
        <v>...</v>
      </c>
      <c r="C302" s="1" t="str">
        <f>IF($B$178="Y",'[1]Population Definitions'!$A$2,"...")</f>
        <v>...</v>
      </c>
      <c r="E302" s="165"/>
      <c r="F302" s="1" t="str">
        <f>IF($B$178="Y","OR","...")</f>
        <v>...</v>
      </c>
      <c r="G302" s="165"/>
      <c r="H302" s="165"/>
      <c r="I302" s="165"/>
      <c r="J302" s="165"/>
      <c r="K302" s="165"/>
      <c r="L302" s="165"/>
      <c r="M302" s="165"/>
      <c r="N302" s="165"/>
      <c r="O302" s="165"/>
      <c r="P302" s="165"/>
      <c r="Q302" s="165"/>
      <c r="R302" s="165"/>
      <c r="S302" s="165"/>
      <c r="T302" s="165"/>
      <c r="U302" s="165"/>
      <c r="V302" s="165"/>
      <c r="W302" s="165"/>
    </row>
    <row r="303" spans="1:23" x14ac:dyDescent="0.25">
      <c r="A303" s="1" t="str">
        <f>IF($C$178="Y",'[1]Population Definitions'!$A$12,"...")</f>
        <v>...</v>
      </c>
      <c r="B303" s="1" t="str">
        <f>IF($C$178="Y","---&gt;","...")</f>
        <v>...</v>
      </c>
      <c r="C303" s="1" t="str">
        <f>IF($C$178="Y",'[1]Population Definitions'!$A$3,"...")</f>
        <v>...</v>
      </c>
      <c r="E303" s="165"/>
      <c r="F303" s="1" t="str">
        <f>IF($C$178="Y","OR","...")</f>
        <v>...</v>
      </c>
      <c r="G303" s="165"/>
      <c r="H303" s="165"/>
      <c r="I303" s="165"/>
      <c r="J303" s="165"/>
      <c r="K303" s="165"/>
      <c r="L303" s="165"/>
      <c r="M303" s="165"/>
      <c r="N303" s="165"/>
      <c r="O303" s="165"/>
      <c r="P303" s="165"/>
      <c r="Q303" s="165"/>
      <c r="R303" s="165"/>
      <c r="S303" s="165"/>
      <c r="T303" s="165"/>
      <c r="U303" s="165"/>
      <c r="V303" s="165"/>
      <c r="W303" s="165"/>
    </row>
    <row r="304" spans="1:23" x14ac:dyDescent="0.25">
      <c r="A304" s="1" t="str">
        <f>IF($D$178="Y",'[1]Population Definitions'!$A$12,"...")</f>
        <v>...</v>
      </c>
      <c r="B304" s="1" t="str">
        <f>IF($D$178="Y","---&gt;","...")</f>
        <v>...</v>
      </c>
      <c r="C304" s="1" t="str">
        <f>IF($D$178="Y",'[1]Population Definitions'!$A$4,"...")</f>
        <v>...</v>
      </c>
      <c r="E304" s="165"/>
      <c r="F304" s="1" t="str">
        <f>IF($D$178="Y","OR","...")</f>
        <v>...</v>
      </c>
      <c r="G304" s="165"/>
      <c r="H304" s="165"/>
      <c r="I304" s="165"/>
      <c r="J304" s="165"/>
      <c r="K304" s="165"/>
      <c r="L304" s="165"/>
      <c r="M304" s="165"/>
      <c r="N304" s="165"/>
      <c r="O304" s="165"/>
      <c r="P304" s="165"/>
      <c r="Q304" s="165"/>
      <c r="R304" s="165"/>
      <c r="S304" s="165"/>
      <c r="T304" s="165"/>
      <c r="U304" s="165"/>
      <c r="V304" s="165"/>
      <c r="W304" s="165"/>
    </row>
    <row r="305" spans="1:23" x14ac:dyDescent="0.25">
      <c r="A305" s="1" t="str">
        <f>IF($E$178="Y",'[1]Population Definitions'!$A$12,"...")</f>
        <v>...</v>
      </c>
      <c r="B305" s="1" t="str">
        <f>IF($E$178="Y","---&gt;","...")</f>
        <v>...</v>
      </c>
      <c r="C305" s="1" t="str">
        <f>IF($E$178="Y",'[1]Population Definitions'!$A$5,"...")</f>
        <v>...</v>
      </c>
      <c r="E305" s="165"/>
      <c r="F305" s="1" t="str">
        <f>IF($E$178="Y","OR","...")</f>
        <v>...</v>
      </c>
      <c r="G305" s="165"/>
      <c r="H305" s="165"/>
      <c r="I305" s="165"/>
      <c r="J305" s="165"/>
      <c r="K305" s="165"/>
      <c r="L305" s="165"/>
      <c r="M305" s="165"/>
      <c r="N305" s="165"/>
      <c r="O305" s="165"/>
      <c r="P305" s="165"/>
      <c r="Q305" s="165"/>
      <c r="R305" s="165"/>
      <c r="S305" s="165"/>
      <c r="T305" s="165"/>
      <c r="U305" s="165"/>
      <c r="V305" s="165"/>
      <c r="W305" s="165"/>
    </row>
    <row r="306" spans="1:23" x14ac:dyDescent="0.25">
      <c r="A306" s="1" t="str">
        <f>IF($F$178="Y",'[1]Population Definitions'!$A$12,"...")</f>
        <v>...</v>
      </c>
      <c r="B306" s="1" t="str">
        <f>IF($F$178="Y","---&gt;","...")</f>
        <v>...</v>
      </c>
      <c r="C306" s="1" t="str">
        <f>IF($F$178="Y",'[1]Population Definitions'!$A$6,"...")</f>
        <v>...</v>
      </c>
      <c r="E306" s="165"/>
      <c r="F306" s="1" t="str">
        <f>IF($F$178="Y","OR","...")</f>
        <v>...</v>
      </c>
      <c r="G306" s="165"/>
      <c r="H306" s="165"/>
      <c r="I306" s="165"/>
      <c r="J306" s="165"/>
      <c r="K306" s="165"/>
      <c r="L306" s="165"/>
      <c r="M306" s="165"/>
      <c r="N306" s="165"/>
      <c r="O306" s="165"/>
      <c r="P306" s="165"/>
      <c r="Q306" s="165"/>
      <c r="R306" s="165"/>
      <c r="S306" s="165"/>
      <c r="T306" s="165"/>
      <c r="U306" s="165"/>
      <c r="V306" s="165"/>
      <c r="W306" s="165"/>
    </row>
    <row r="307" spans="1:23" x14ac:dyDescent="0.25">
      <c r="A307" s="1" t="str">
        <f>IF($G$178="Y",'[1]Population Definitions'!$A$12,"...")</f>
        <v>...</v>
      </c>
      <c r="B307" s="1" t="str">
        <f>IF($G$178="Y","---&gt;","...")</f>
        <v>...</v>
      </c>
      <c r="C307" s="1" t="str">
        <f>IF($G$178="Y",'[1]Population Definitions'!$A$7,"...")</f>
        <v>...</v>
      </c>
      <c r="E307" s="165"/>
      <c r="F307" s="1" t="str">
        <f>IF($G$178="Y","OR","...")</f>
        <v>...</v>
      </c>
      <c r="G307" s="165"/>
      <c r="H307" s="165"/>
      <c r="I307" s="165"/>
      <c r="J307" s="165"/>
      <c r="K307" s="165"/>
      <c r="L307" s="165"/>
      <c r="M307" s="165"/>
      <c r="N307" s="165"/>
      <c r="O307" s="165"/>
      <c r="P307" s="165"/>
      <c r="Q307" s="165"/>
      <c r="R307" s="165"/>
      <c r="S307" s="165"/>
      <c r="T307" s="165"/>
      <c r="U307" s="165"/>
      <c r="V307" s="165"/>
      <c r="W307" s="165"/>
    </row>
    <row r="308" spans="1:23" x14ac:dyDescent="0.25">
      <c r="A308" s="1" t="str">
        <f>IF($H$178="Y",'[1]Population Definitions'!$A$12,"...")</f>
        <v>...</v>
      </c>
      <c r="B308" s="1" t="str">
        <f>IF($H$178="Y","---&gt;","...")</f>
        <v>...</v>
      </c>
      <c r="C308" s="1" t="str">
        <f>IF($H$178="Y",'[1]Population Definitions'!$A$8,"...")</f>
        <v>...</v>
      </c>
      <c r="E308" s="165"/>
      <c r="F308" s="1" t="str">
        <f>IF($H$178="Y","OR","...")</f>
        <v>...</v>
      </c>
      <c r="G308" s="165"/>
      <c r="H308" s="165"/>
      <c r="I308" s="165"/>
      <c r="J308" s="165"/>
      <c r="K308" s="165"/>
      <c r="L308" s="165"/>
      <c r="M308" s="165"/>
      <c r="N308" s="165"/>
      <c r="O308" s="165"/>
      <c r="P308" s="165"/>
      <c r="Q308" s="165"/>
      <c r="R308" s="165"/>
      <c r="S308" s="165"/>
      <c r="T308" s="165"/>
      <c r="U308" s="165"/>
      <c r="V308" s="165"/>
      <c r="W308" s="165"/>
    </row>
    <row r="309" spans="1:23" x14ac:dyDescent="0.25">
      <c r="A309" s="1" t="str">
        <f>IF($I$178="Y",'[1]Population Definitions'!$A$12,"...")</f>
        <v>...</v>
      </c>
      <c r="B309" s="1" t="str">
        <f>IF($I$178="Y","---&gt;","...")</f>
        <v>...</v>
      </c>
      <c r="C309" s="1" t="str">
        <f>IF($I$178="Y",'[1]Population Definitions'!$A$9,"...")</f>
        <v>...</v>
      </c>
      <c r="E309" s="165"/>
      <c r="F309" s="1" t="str">
        <f>IF($I$178="Y","OR","...")</f>
        <v>...</v>
      </c>
      <c r="G309" s="165"/>
      <c r="H309" s="165"/>
      <c r="I309" s="165"/>
      <c r="J309" s="165"/>
      <c r="K309" s="165"/>
      <c r="L309" s="165"/>
      <c r="M309" s="165"/>
      <c r="N309" s="165"/>
      <c r="O309" s="165"/>
      <c r="P309" s="165"/>
      <c r="Q309" s="165"/>
      <c r="R309" s="165"/>
      <c r="S309" s="165"/>
      <c r="T309" s="165"/>
      <c r="U309" s="165"/>
      <c r="V309" s="165"/>
      <c r="W309" s="165"/>
    </row>
    <row r="310" spans="1:23" x14ac:dyDescent="0.25">
      <c r="A310" s="1" t="str">
        <f>IF($J$178="Y",'[1]Population Definitions'!$A$12,"...")</f>
        <v>...</v>
      </c>
      <c r="B310" s="1" t="str">
        <f>IF($J$178="Y","---&gt;","...")</f>
        <v>...</v>
      </c>
      <c r="C310" s="1" t="str">
        <f>IF($J$178="Y",'[1]Population Definitions'!$A$10,"...")</f>
        <v>...</v>
      </c>
      <c r="E310" s="165"/>
      <c r="F310" s="1" t="str">
        <f>IF($J$178="Y","OR","...")</f>
        <v>...</v>
      </c>
      <c r="G310" s="165"/>
      <c r="H310" s="165"/>
      <c r="I310" s="165"/>
      <c r="J310" s="165"/>
      <c r="K310" s="165"/>
      <c r="L310" s="165"/>
      <c r="M310" s="165"/>
      <c r="N310" s="165"/>
      <c r="O310" s="165"/>
      <c r="P310" s="165"/>
      <c r="Q310" s="165"/>
      <c r="R310" s="165"/>
      <c r="S310" s="165"/>
      <c r="T310" s="165"/>
      <c r="U310" s="165"/>
      <c r="V310" s="165"/>
      <c r="W310" s="165"/>
    </row>
    <row r="311" spans="1:23" x14ac:dyDescent="0.25">
      <c r="A311" s="1" t="str">
        <f>IF($K$178="Y",'[1]Population Definitions'!$A$12,"...")</f>
        <v>...</v>
      </c>
      <c r="B311" s="1" t="str">
        <f>IF($K$178="Y","---&gt;","...")</f>
        <v>...</v>
      </c>
      <c r="C311" s="1" t="str">
        <f>IF($K$178="Y",'[1]Population Definitions'!$A$11,"...")</f>
        <v>...</v>
      </c>
      <c r="E311" s="165"/>
      <c r="F311" s="1" t="str">
        <f>IF($K$178="Y","OR","...")</f>
        <v>...</v>
      </c>
      <c r="G311" s="165"/>
      <c r="H311" s="165"/>
      <c r="I311" s="165"/>
      <c r="J311" s="165"/>
      <c r="K311" s="165"/>
      <c r="L311" s="165"/>
      <c r="M311" s="165"/>
      <c r="N311" s="165"/>
      <c r="O311" s="165"/>
      <c r="P311" s="165"/>
      <c r="Q311" s="165"/>
      <c r="R311" s="165"/>
      <c r="S311" s="165"/>
      <c r="T311" s="165"/>
      <c r="U311" s="165"/>
      <c r="V311" s="165"/>
      <c r="W311" s="165"/>
    </row>
    <row r="312" spans="1:23" x14ac:dyDescent="0.25">
      <c r="A312" s="1" t="str">
        <f>IF($L$178="Y",'[1]Population Definitions'!$A$12,"...")</f>
        <v>...</v>
      </c>
      <c r="B312" s="1" t="str">
        <f>IF($L$178="Y","---&gt;","...")</f>
        <v>...</v>
      </c>
      <c r="C312" s="1" t="str">
        <f>IF($L$178="Y",'[1]Population Definitions'!$A$12,"...")</f>
        <v>...</v>
      </c>
      <c r="E312" s="165"/>
      <c r="F312" s="1" t="str">
        <f>IF($L$178="Y","OR","...")</f>
        <v>...</v>
      </c>
      <c r="G312" s="165"/>
      <c r="H312" s="165"/>
      <c r="I312" s="165"/>
      <c r="J312" s="165"/>
      <c r="K312" s="165"/>
      <c r="L312" s="165"/>
      <c r="M312" s="165"/>
      <c r="N312" s="165"/>
      <c r="O312" s="165"/>
      <c r="P312" s="165"/>
      <c r="Q312" s="165"/>
      <c r="R312" s="165"/>
      <c r="S312" s="165"/>
      <c r="T312" s="165"/>
      <c r="U312" s="165"/>
      <c r="V312" s="165"/>
      <c r="W312" s="165"/>
    </row>
    <row r="313" spans="1:23" x14ac:dyDescent="0.25">
      <c r="A313" s="1" t="str">
        <f>IF($M$178="Y",'[1]Population Definitions'!$A$12,"...")</f>
        <v>Mine</v>
      </c>
      <c r="B313" s="1" t="str">
        <f>IF($M$178="Y","---&gt;","...")</f>
        <v>---&gt;</v>
      </c>
      <c r="C313" s="1" t="str">
        <f>IF($M$178="Y",'[1]Population Definitions'!$A$13,"...")</f>
        <v>Mine (HIV+)</v>
      </c>
      <c r="D313" s="132" t="s">
        <v>163</v>
      </c>
      <c r="E313" s="165"/>
      <c r="F313" s="1" t="str">
        <f>IF($M$178="Y","OR","...")</f>
        <v>OR</v>
      </c>
      <c r="G313" s="165">
        <v>1.4999999999999999E-2</v>
      </c>
      <c r="H313" s="165"/>
      <c r="I313" s="165"/>
      <c r="J313" s="165"/>
      <c r="K313" s="165"/>
      <c r="L313" s="165"/>
      <c r="M313" s="165">
        <v>1.4999999999999999E-2</v>
      </c>
      <c r="N313" s="165">
        <v>0.01</v>
      </c>
      <c r="O313" s="165"/>
      <c r="P313" s="165"/>
      <c r="Q313" s="165"/>
      <c r="R313" s="165"/>
      <c r="S313" s="165"/>
      <c r="T313" s="165">
        <v>0.01</v>
      </c>
      <c r="U313" s="165">
        <v>5.0000000000000001E-3</v>
      </c>
      <c r="V313" s="165"/>
      <c r="W313" s="165"/>
    </row>
    <row r="314" spans="1:23" x14ac:dyDescent="0.25">
      <c r="A314" s="1" t="str">
        <f>IF($B$179="Y",'[1]Population Definitions'!$A$13,"...")</f>
        <v>...</v>
      </c>
      <c r="B314" s="1" t="str">
        <f>IF($B$179="Y","---&gt;","...")</f>
        <v>...</v>
      </c>
      <c r="C314" s="1" t="str">
        <f>IF($B$179="Y",'[1]Population Definitions'!$A$2,"...")</f>
        <v>...</v>
      </c>
      <c r="E314" s="165"/>
      <c r="F314" s="1" t="str">
        <f>IF($B$179="Y","OR","...")</f>
        <v>...</v>
      </c>
      <c r="G314" s="165"/>
      <c r="H314" s="165"/>
      <c r="I314" s="165"/>
      <c r="J314" s="165"/>
      <c r="K314" s="165"/>
      <c r="L314" s="165"/>
      <c r="M314" s="165"/>
      <c r="N314" s="165"/>
      <c r="O314" s="165"/>
      <c r="P314" s="165"/>
      <c r="Q314" s="165"/>
      <c r="R314" s="165"/>
      <c r="S314" s="165"/>
      <c r="T314" s="165"/>
      <c r="U314" s="165"/>
      <c r="V314" s="165"/>
      <c r="W314" s="165"/>
    </row>
    <row r="315" spans="1:23" x14ac:dyDescent="0.25">
      <c r="A315" s="1" t="str">
        <f>IF($C$179="Y",'[1]Population Definitions'!$A$13,"...")</f>
        <v>...</v>
      </c>
      <c r="B315" s="1" t="str">
        <f>IF($C$179="Y","---&gt;","...")</f>
        <v>...</v>
      </c>
      <c r="C315" s="1" t="str">
        <f>IF($C$179="Y",'[1]Population Definitions'!$A$3,"...")</f>
        <v>...</v>
      </c>
      <c r="E315" s="165"/>
      <c r="F315" s="1" t="str">
        <f>IF($C$179="Y","OR","...")</f>
        <v>...</v>
      </c>
      <c r="G315" s="165"/>
      <c r="H315" s="165"/>
      <c r="I315" s="165"/>
      <c r="J315" s="165"/>
      <c r="K315" s="165"/>
      <c r="L315" s="165"/>
      <c r="M315" s="165"/>
      <c r="N315" s="165"/>
      <c r="O315" s="165"/>
      <c r="P315" s="165"/>
      <c r="Q315" s="165"/>
      <c r="R315" s="165"/>
      <c r="S315" s="165"/>
      <c r="T315" s="165"/>
      <c r="U315" s="165"/>
      <c r="V315" s="165"/>
      <c r="W315" s="165"/>
    </row>
    <row r="316" spans="1:23" x14ac:dyDescent="0.25">
      <c r="A316" s="1" t="str">
        <f>IF($D$179="Y",'[1]Population Definitions'!$A$13,"...")</f>
        <v>...</v>
      </c>
      <c r="B316" s="1" t="str">
        <f>IF($D$179="Y","---&gt;","...")</f>
        <v>...</v>
      </c>
      <c r="C316" s="1" t="str">
        <f>IF($D$179="Y",'[1]Population Definitions'!$A$4,"...")</f>
        <v>...</v>
      </c>
      <c r="E316" s="165"/>
      <c r="F316" s="1" t="str">
        <f>IF($D$179="Y","OR","...")</f>
        <v>...</v>
      </c>
      <c r="G316" s="165"/>
      <c r="H316" s="165"/>
      <c r="I316" s="165"/>
      <c r="J316" s="165"/>
      <c r="K316" s="165"/>
      <c r="L316" s="165"/>
      <c r="M316" s="165"/>
      <c r="N316" s="165"/>
      <c r="O316" s="165"/>
      <c r="P316" s="165"/>
      <c r="Q316" s="165"/>
      <c r="R316" s="165"/>
      <c r="S316" s="165"/>
      <c r="T316" s="165"/>
      <c r="U316" s="165"/>
      <c r="V316" s="165"/>
      <c r="W316" s="165"/>
    </row>
    <row r="317" spans="1:23" x14ac:dyDescent="0.25">
      <c r="A317" s="1" t="str">
        <f>IF($E$179="Y",'[1]Population Definitions'!$A$13,"...")</f>
        <v>...</v>
      </c>
      <c r="B317" s="1" t="str">
        <f>IF($E$179="Y","---&gt;","...")</f>
        <v>...</v>
      </c>
      <c r="C317" s="1" t="str">
        <f>IF($E$179="Y",'[1]Population Definitions'!$A$5,"...")</f>
        <v>...</v>
      </c>
      <c r="E317" s="165"/>
      <c r="F317" s="1" t="str">
        <f>IF($E$179="Y","OR","...")</f>
        <v>...</v>
      </c>
      <c r="G317" s="165"/>
      <c r="H317" s="165"/>
      <c r="I317" s="165"/>
      <c r="J317" s="165"/>
      <c r="K317" s="165"/>
      <c r="L317" s="165"/>
      <c r="M317" s="165"/>
      <c r="N317" s="165"/>
      <c r="O317" s="165"/>
      <c r="P317" s="165"/>
      <c r="Q317" s="165"/>
      <c r="R317" s="165"/>
      <c r="S317" s="165"/>
      <c r="T317" s="165"/>
      <c r="U317" s="165"/>
      <c r="V317" s="165"/>
      <c r="W317" s="165"/>
    </row>
    <row r="318" spans="1:23" x14ac:dyDescent="0.25">
      <c r="A318" s="1" t="str">
        <f>IF($F$179="Y",'[1]Population Definitions'!$A$13,"...")</f>
        <v>...</v>
      </c>
      <c r="B318" s="1" t="str">
        <f>IF($F$179="Y","---&gt;","...")</f>
        <v>...</v>
      </c>
      <c r="C318" s="1" t="str">
        <f>IF($F$179="Y",'[1]Population Definitions'!$A$6,"...")</f>
        <v>...</v>
      </c>
      <c r="E318" s="165"/>
      <c r="F318" s="1" t="str">
        <f>IF($F$179="Y","OR","...")</f>
        <v>...</v>
      </c>
      <c r="G318" s="165"/>
      <c r="H318" s="165"/>
      <c r="I318" s="165"/>
      <c r="J318" s="165"/>
      <c r="K318" s="165"/>
      <c r="L318" s="165"/>
      <c r="M318" s="165"/>
      <c r="N318" s="165"/>
      <c r="O318" s="165"/>
      <c r="P318" s="165"/>
      <c r="Q318" s="165"/>
      <c r="R318" s="165"/>
      <c r="S318" s="165"/>
      <c r="T318" s="165"/>
      <c r="U318" s="165"/>
      <c r="V318" s="165"/>
      <c r="W318" s="165"/>
    </row>
    <row r="319" spans="1:23" x14ac:dyDescent="0.25">
      <c r="A319" s="1" t="str">
        <f>IF($G$179="Y",'[1]Population Definitions'!$A$13,"...")</f>
        <v>...</v>
      </c>
      <c r="B319" s="1" t="str">
        <f>IF($G$179="Y","---&gt;","...")</f>
        <v>...</v>
      </c>
      <c r="C319" s="1" t="str">
        <f>IF($G$179="Y",'[1]Population Definitions'!$A$7,"...")</f>
        <v>...</v>
      </c>
      <c r="E319" s="165"/>
      <c r="F319" s="1" t="str">
        <f>IF($G$179="Y","OR","...")</f>
        <v>...</v>
      </c>
      <c r="G319" s="165"/>
      <c r="H319" s="165"/>
      <c r="I319" s="165"/>
      <c r="J319" s="165"/>
      <c r="K319" s="165"/>
      <c r="L319" s="165"/>
      <c r="M319" s="165"/>
      <c r="N319" s="165"/>
      <c r="O319" s="165"/>
      <c r="P319" s="165"/>
      <c r="Q319" s="165"/>
      <c r="R319" s="165"/>
      <c r="S319" s="165"/>
      <c r="T319" s="165"/>
      <c r="U319" s="165"/>
      <c r="V319" s="165"/>
      <c r="W319" s="165"/>
    </row>
    <row r="320" spans="1:23" x14ac:dyDescent="0.25">
      <c r="A320" s="1" t="str">
        <f>IF($H$179="Y",'[1]Population Definitions'!$A$13,"...")</f>
        <v>...</v>
      </c>
      <c r="B320" s="1" t="str">
        <f>IF($H$179="Y","---&gt;","...")</f>
        <v>...</v>
      </c>
      <c r="C320" s="1" t="str">
        <f>IF($H$179="Y",'[1]Population Definitions'!$A$8,"...")</f>
        <v>...</v>
      </c>
      <c r="E320" s="165"/>
      <c r="F320" s="1" t="str">
        <f>IF($H$179="Y","OR","...")</f>
        <v>...</v>
      </c>
      <c r="G320" s="165"/>
      <c r="H320" s="165"/>
      <c r="I320" s="165"/>
      <c r="J320" s="165"/>
      <c r="K320" s="165"/>
      <c r="L320" s="165"/>
      <c r="M320" s="165"/>
      <c r="N320" s="165"/>
      <c r="O320" s="165"/>
      <c r="P320" s="165"/>
      <c r="Q320" s="165"/>
      <c r="R320" s="165"/>
      <c r="S320" s="165"/>
      <c r="T320" s="165"/>
      <c r="U320" s="165"/>
      <c r="V320" s="165"/>
      <c r="W320" s="165"/>
    </row>
    <row r="321" spans="1:23" x14ac:dyDescent="0.25">
      <c r="A321" s="1" t="str">
        <f>IF($I$179="Y",'[1]Population Definitions'!$A$13,"...")</f>
        <v>...</v>
      </c>
      <c r="B321" s="1" t="str">
        <f>IF($I$179="Y","---&gt;","...")</f>
        <v>...</v>
      </c>
      <c r="C321" s="1" t="str">
        <f>IF($I$179="Y",'[1]Population Definitions'!$A$9,"...")</f>
        <v>...</v>
      </c>
      <c r="E321" s="165"/>
      <c r="F321" s="1" t="str">
        <f>IF($I$179="Y","OR","...")</f>
        <v>...</v>
      </c>
      <c r="G321" s="165"/>
      <c r="H321" s="165"/>
      <c r="I321" s="165"/>
      <c r="J321" s="165"/>
      <c r="K321" s="165"/>
      <c r="L321" s="165"/>
      <c r="M321" s="165"/>
      <c r="N321" s="165"/>
      <c r="O321" s="165"/>
      <c r="P321" s="165"/>
      <c r="Q321" s="165"/>
      <c r="R321" s="165"/>
      <c r="S321" s="165"/>
      <c r="T321" s="165"/>
      <c r="U321" s="165"/>
      <c r="V321" s="165"/>
      <c r="W321" s="165"/>
    </row>
    <row r="322" spans="1:23" x14ac:dyDescent="0.25">
      <c r="A322" s="1" t="str">
        <f>IF($J$179="Y",'[1]Population Definitions'!$A$13,"...")</f>
        <v>...</v>
      </c>
      <c r="B322" s="1" t="str">
        <f>IF($J$179="Y","---&gt;","...")</f>
        <v>...</v>
      </c>
      <c r="C322" s="1" t="str">
        <f>IF($J$179="Y",'[1]Population Definitions'!$A$10,"...")</f>
        <v>...</v>
      </c>
      <c r="E322" s="165"/>
      <c r="F322" s="1" t="str">
        <f>IF($J$179="Y","OR","...")</f>
        <v>...</v>
      </c>
      <c r="G322" s="165"/>
      <c r="H322" s="165"/>
      <c r="I322" s="165"/>
      <c r="J322" s="165"/>
      <c r="K322" s="165"/>
      <c r="L322" s="165"/>
      <c r="M322" s="165"/>
      <c r="N322" s="165"/>
      <c r="O322" s="165"/>
      <c r="P322" s="165"/>
      <c r="Q322" s="165"/>
      <c r="R322" s="165"/>
      <c r="S322" s="165"/>
      <c r="T322" s="165"/>
      <c r="U322" s="165"/>
      <c r="V322" s="165"/>
      <c r="W322" s="165"/>
    </row>
    <row r="323" spans="1:23" x14ac:dyDescent="0.25">
      <c r="A323" s="1" t="str">
        <f>IF($K$179="Y",'[1]Population Definitions'!$A$13,"...")</f>
        <v>...</v>
      </c>
      <c r="B323" s="1" t="str">
        <f>IF($K$179="Y","---&gt;","...")</f>
        <v>...</v>
      </c>
      <c r="C323" s="1" t="str">
        <f>IF($K$179="Y",'[1]Population Definitions'!$A$11,"...")</f>
        <v>...</v>
      </c>
      <c r="E323" s="165"/>
      <c r="F323" s="1" t="str">
        <f>IF($K$179="Y","OR","...")</f>
        <v>...</v>
      </c>
      <c r="G323" s="165"/>
      <c r="H323" s="165"/>
      <c r="I323" s="165"/>
      <c r="J323" s="165"/>
      <c r="K323" s="165"/>
      <c r="L323" s="165"/>
      <c r="M323" s="165"/>
      <c r="N323" s="165"/>
      <c r="O323" s="165"/>
      <c r="P323" s="165"/>
      <c r="Q323" s="165"/>
      <c r="R323" s="165"/>
      <c r="S323" s="165"/>
      <c r="T323" s="165"/>
      <c r="U323" s="165"/>
      <c r="V323" s="165"/>
      <c r="W323" s="165"/>
    </row>
    <row r="324" spans="1:23" x14ac:dyDescent="0.25">
      <c r="A324" s="1" t="str">
        <f>IF($L$179="Y",'[1]Population Definitions'!$A$13,"...")</f>
        <v>...</v>
      </c>
      <c r="B324" s="1" t="str">
        <f>IF($L$179="Y","---&gt;","...")</f>
        <v>...</v>
      </c>
      <c r="C324" s="1" t="str">
        <f>IF($L$179="Y",'[1]Population Definitions'!$A$12,"...")</f>
        <v>...</v>
      </c>
      <c r="E324" s="165"/>
      <c r="F324" s="1" t="str">
        <f>IF($L$179="Y","OR","...")</f>
        <v>...</v>
      </c>
      <c r="G324" s="165"/>
      <c r="H324" s="165"/>
      <c r="I324" s="165"/>
      <c r="J324" s="165"/>
      <c r="K324" s="165"/>
      <c r="L324" s="165"/>
      <c r="M324" s="165"/>
      <c r="N324" s="165"/>
      <c r="O324" s="165"/>
      <c r="P324" s="165"/>
      <c r="Q324" s="165"/>
      <c r="R324" s="165"/>
      <c r="S324" s="165"/>
      <c r="T324" s="165"/>
      <c r="U324" s="165"/>
      <c r="V324" s="165"/>
      <c r="W324" s="165"/>
    </row>
    <row r="325" spans="1:23" x14ac:dyDescent="0.25">
      <c r="A325" s="1" t="str">
        <f>IF($M$179="Y",'[1]Population Definitions'!$A$13,"...")</f>
        <v>...</v>
      </c>
      <c r="B325" s="1" t="str">
        <f>IF($M$179="Y","---&gt;","...")</f>
        <v>...</v>
      </c>
      <c r="C325" s="1" t="str">
        <f>IF($M$179="Y",'[1]Population Definitions'!$A$13,"...")</f>
        <v>...</v>
      </c>
      <c r="E325" s="165"/>
      <c r="F325" s="1" t="str">
        <f>IF($M$179="Y","OR","...")</f>
        <v>...</v>
      </c>
      <c r="G325" s="165"/>
      <c r="H325" s="165"/>
      <c r="I325" s="165"/>
      <c r="J325" s="165"/>
      <c r="K325" s="165"/>
      <c r="L325" s="165"/>
      <c r="M325" s="165"/>
      <c r="N325" s="165"/>
      <c r="O325" s="165"/>
      <c r="P325" s="165"/>
      <c r="Q325" s="165"/>
      <c r="R325" s="165"/>
      <c r="S325" s="165"/>
      <c r="T325" s="165"/>
      <c r="U325" s="165"/>
      <c r="V325" s="165"/>
      <c r="W325" s="165"/>
    </row>
    <row r="327" spans="1:23" x14ac:dyDescent="0.25">
      <c r="A327" s="1" t="s">
        <v>0</v>
      </c>
      <c r="B327" s="1" t="s">
        <v>1</v>
      </c>
    </row>
    <row r="328" spans="1:23" x14ac:dyDescent="0.25">
      <c r="A328" s="132" t="s">
        <v>142</v>
      </c>
      <c r="B328" s="132"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8" t="s">
        <v>41</v>
      </c>
      <c r="C331" s="164" t="s">
        <v>145</v>
      </c>
      <c r="D331" s="164" t="s">
        <v>145</v>
      </c>
      <c r="E331" s="164" t="s">
        <v>145</v>
      </c>
      <c r="F331" s="164" t="s">
        <v>145</v>
      </c>
      <c r="G331" s="164" t="s">
        <v>145</v>
      </c>
      <c r="H331" s="164" t="s">
        <v>145</v>
      </c>
      <c r="I331" s="164" t="s">
        <v>145</v>
      </c>
      <c r="J331" s="164" t="s">
        <v>145</v>
      </c>
      <c r="K331" s="164" t="s">
        <v>145</v>
      </c>
      <c r="L331" s="164" t="s">
        <v>145</v>
      </c>
      <c r="M331" s="164" t="s">
        <v>145</v>
      </c>
    </row>
    <row r="332" spans="1:23" x14ac:dyDescent="0.25">
      <c r="A332" s="1" t="str">
        <f>'[1]Population Definitions'!$A$3</f>
        <v>5-14</v>
      </c>
      <c r="B332" s="164" t="s">
        <v>145</v>
      </c>
      <c r="C332" s="38" t="s">
        <v>41</v>
      </c>
      <c r="D332" s="164" t="s">
        <v>145</v>
      </c>
      <c r="E332" s="164" t="s">
        <v>145</v>
      </c>
      <c r="F332" s="164" t="s">
        <v>145</v>
      </c>
      <c r="G332" s="164" t="s">
        <v>145</v>
      </c>
      <c r="H332" s="164" t="s">
        <v>145</v>
      </c>
      <c r="I332" s="164" t="s">
        <v>145</v>
      </c>
      <c r="J332" s="164" t="s">
        <v>145</v>
      </c>
      <c r="K332" s="164" t="s">
        <v>145</v>
      </c>
      <c r="L332" s="164" t="s">
        <v>145</v>
      </c>
      <c r="M332" s="164" t="s">
        <v>145</v>
      </c>
    </row>
    <row r="333" spans="1:23" x14ac:dyDescent="0.25">
      <c r="A333" s="1" t="str">
        <f>'[1]Population Definitions'!$A$4</f>
        <v>15-64</v>
      </c>
      <c r="B333" s="164" t="s">
        <v>145</v>
      </c>
      <c r="C333" s="164" t="s">
        <v>145</v>
      </c>
      <c r="D333" s="38" t="s">
        <v>41</v>
      </c>
      <c r="E333" s="164" t="s">
        <v>145</v>
      </c>
      <c r="F333" s="164" t="s">
        <v>145</v>
      </c>
      <c r="G333" s="164" t="s">
        <v>145</v>
      </c>
      <c r="H333" s="164" t="s">
        <v>144</v>
      </c>
      <c r="I333" s="164" t="s">
        <v>145</v>
      </c>
      <c r="J333" s="164" t="s">
        <v>144</v>
      </c>
      <c r="K333" s="164" t="s">
        <v>145</v>
      </c>
      <c r="L333" s="164" t="s">
        <v>144</v>
      </c>
      <c r="M333" s="164" t="s">
        <v>145</v>
      </c>
    </row>
    <row r="334" spans="1:23" x14ac:dyDescent="0.25">
      <c r="A334" s="1" t="str">
        <f>'[1]Population Definitions'!$A$5</f>
        <v>65+</v>
      </c>
      <c r="B334" s="164" t="s">
        <v>145</v>
      </c>
      <c r="C334" s="164" t="s">
        <v>145</v>
      </c>
      <c r="D334" s="164" t="s">
        <v>145</v>
      </c>
      <c r="E334" s="38" t="s">
        <v>41</v>
      </c>
      <c r="F334" s="164" t="s">
        <v>145</v>
      </c>
      <c r="G334" s="164" t="s">
        <v>145</v>
      </c>
      <c r="H334" s="164" t="s">
        <v>145</v>
      </c>
      <c r="I334" s="164" t="s">
        <v>145</v>
      </c>
      <c r="J334" s="164" t="s">
        <v>145</v>
      </c>
      <c r="K334" s="164" t="s">
        <v>145</v>
      </c>
      <c r="L334" s="164" t="s">
        <v>145</v>
      </c>
      <c r="M334" s="164" t="s">
        <v>145</v>
      </c>
    </row>
    <row r="335" spans="1:23" x14ac:dyDescent="0.25">
      <c r="A335" s="1" t="str">
        <f>'[1]Population Definitions'!$A$6</f>
        <v>15-64 (HIV+)</v>
      </c>
      <c r="B335" s="164" t="s">
        <v>145</v>
      </c>
      <c r="C335" s="164" t="s">
        <v>145</v>
      </c>
      <c r="D335" s="164" t="s">
        <v>145</v>
      </c>
      <c r="E335" s="164" t="s">
        <v>145</v>
      </c>
      <c r="F335" s="38" t="s">
        <v>41</v>
      </c>
      <c r="G335" s="164" t="s">
        <v>145</v>
      </c>
      <c r="H335" s="164" t="s">
        <v>145</v>
      </c>
      <c r="I335" s="164" t="s">
        <v>144</v>
      </c>
      <c r="J335" s="164" t="s">
        <v>145</v>
      </c>
      <c r="K335" s="164" t="s">
        <v>144</v>
      </c>
      <c r="L335" s="164" t="s">
        <v>145</v>
      </c>
      <c r="M335" s="164" t="s">
        <v>144</v>
      </c>
    </row>
    <row r="336" spans="1:23" x14ac:dyDescent="0.25">
      <c r="A336" s="1" t="str">
        <f>'[1]Population Definitions'!$A$7</f>
        <v>65+ (HIV+)</v>
      </c>
      <c r="B336" s="164" t="s">
        <v>145</v>
      </c>
      <c r="C336" s="164" t="s">
        <v>145</v>
      </c>
      <c r="D336" s="164" t="s">
        <v>145</v>
      </c>
      <c r="E336" s="164" t="s">
        <v>145</v>
      </c>
      <c r="F336" s="164" t="s">
        <v>145</v>
      </c>
      <c r="G336" s="38" t="s">
        <v>41</v>
      </c>
      <c r="H336" s="164" t="s">
        <v>145</v>
      </c>
      <c r="I336" s="164" t="s">
        <v>145</v>
      </c>
      <c r="J336" s="164" t="s">
        <v>145</v>
      </c>
      <c r="K336" s="164" t="s">
        <v>145</v>
      </c>
      <c r="L336" s="164" t="s">
        <v>145</v>
      </c>
      <c r="M336" s="164" t="s">
        <v>145</v>
      </c>
    </row>
    <row r="337" spans="1:23" x14ac:dyDescent="0.25">
      <c r="A337" s="1" t="str">
        <f>'[1]Population Definitions'!$A$8</f>
        <v>Pris</v>
      </c>
      <c r="B337" s="164" t="s">
        <v>145</v>
      </c>
      <c r="C337" s="164" t="s">
        <v>145</v>
      </c>
      <c r="D337" s="164" t="s">
        <v>144</v>
      </c>
      <c r="E337" s="164" t="s">
        <v>145</v>
      </c>
      <c r="F337" s="164" t="s">
        <v>145</v>
      </c>
      <c r="G337" s="164" t="s">
        <v>145</v>
      </c>
      <c r="H337" s="38" t="s">
        <v>41</v>
      </c>
      <c r="I337" s="164" t="s">
        <v>145</v>
      </c>
      <c r="J337" s="164" t="s">
        <v>145</v>
      </c>
      <c r="K337" s="164" t="s">
        <v>145</v>
      </c>
      <c r="L337" s="164" t="s">
        <v>145</v>
      </c>
      <c r="M337" s="164" t="s">
        <v>145</v>
      </c>
    </row>
    <row r="338" spans="1:23" x14ac:dyDescent="0.25">
      <c r="A338" s="1" t="str">
        <f>'[1]Population Definitions'!$A$9</f>
        <v>Pris (HIV+)</v>
      </c>
      <c r="B338" s="164" t="s">
        <v>145</v>
      </c>
      <c r="C338" s="164" t="s">
        <v>145</v>
      </c>
      <c r="D338" s="164" t="s">
        <v>145</v>
      </c>
      <c r="E338" s="164" t="s">
        <v>145</v>
      </c>
      <c r="F338" s="164" t="s">
        <v>144</v>
      </c>
      <c r="G338" s="164" t="s">
        <v>145</v>
      </c>
      <c r="H338" s="164" t="s">
        <v>145</v>
      </c>
      <c r="I338" s="38" t="s">
        <v>41</v>
      </c>
      <c r="J338" s="164" t="s">
        <v>145</v>
      </c>
      <c r="K338" s="164" t="s">
        <v>145</v>
      </c>
      <c r="L338" s="164" t="s">
        <v>145</v>
      </c>
      <c r="M338" s="164" t="s">
        <v>145</v>
      </c>
    </row>
    <row r="339" spans="1:23" x14ac:dyDescent="0.25">
      <c r="A339" s="1" t="str">
        <f>'[1]Population Definitions'!$A$10</f>
        <v>HCW</v>
      </c>
      <c r="B339" s="164" t="s">
        <v>145</v>
      </c>
      <c r="C339" s="164" t="s">
        <v>145</v>
      </c>
      <c r="D339" s="164" t="s">
        <v>145</v>
      </c>
      <c r="E339" s="164" t="s">
        <v>145</v>
      </c>
      <c r="F339" s="164" t="s">
        <v>145</v>
      </c>
      <c r="G339" s="164" t="s">
        <v>145</v>
      </c>
      <c r="H339" s="164" t="s">
        <v>145</v>
      </c>
      <c r="I339" s="164" t="s">
        <v>145</v>
      </c>
      <c r="J339" s="38" t="s">
        <v>41</v>
      </c>
      <c r="K339" s="164" t="s">
        <v>145</v>
      </c>
      <c r="L339" s="164" t="s">
        <v>145</v>
      </c>
      <c r="M339" s="164" t="s">
        <v>145</v>
      </c>
    </row>
    <row r="340" spans="1:23" x14ac:dyDescent="0.25">
      <c r="A340" s="1" t="str">
        <f>'[1]Population Definitions'!$A$11</f>
        <v>HCW (HIV+)</v>
      </c>
      <c r="B340" s="164" t="s">
        <v>145</v>
      </c>
      <c r="C340" s="164" t="s">
        <v>145</v>
      </c>
      <c r="D340" s="164" t="s">
        <v>145</v>
      </c>
      <c r="E340" s="164" t="s">
        <v>145</v>
      </c>
      <c r="F340" s="164" t="s">
        <v>144</v>
      </c>
      <c r="G340" s="164" t="s">
        <v>145</v>
      </c>
      <c r="H340" s="164" t="s">
        <v>145</v>
      </c>
      <c r="I340" s="164" t="s">
        <v>145</v>
      </c>
      <c r="J340" s="164" t="s">
        <v>145</v>
      </c>
      <c r="K340" s="38" t="s">
        <v>41</v>
      </c>
      <c r="L340" s="164" t="s">
        <v>145</v>
      </c>
      <c r="M340" s="164" t="s">
        <v>145</v>
      </c>
    </row>
    <row r="341" spans="1:23" x14ac:dyDescent="0.25">
      <c r="A341" s="1" t="str">
        <f>'[1]Population Definitions'!$A$12</f>
        <v>Mine</v>
      </c>
      <c r="B341" s="164" t="s">
        <v>145</v>
      </c>
      <c r="C341" s="164" t="s">
        <v>145</v>
      </c>
      <c r="D341" s="164" t="s">
        <v>144</v>
      </c>
      <c r="E341" s="164" t="s">
        <v>145</v>
      </c>
      <c r="F341" s="164" t="s">
        <v>145</v>
      </c>
      <c r="G341" s="164" t="s">
        <v>145</v>
      </c>
      <c r="H341" s="164" t="s">
        <v>145</v>
      </c>
      <c r="I341" s="164" t="s">
        <v>145</v>
      </c>
      <c r="J341" s="164" t="s">
        <v>145</v>
      </c>
      <c r="K341" s="164" t="s">
        <v>145</v>
      </c>
      <c r="L341" s="38" t="s">
        <v>41</v>
      </c>
      <c r="M341" s="164" t="s">
        <v>145</v>
      </c>
    </row>
    <row r="342" spans="1:23" x14ac:dyDescent="0.25">
      <c r="A342" s="1" t="str">
        <f>'[1]Population Definitions'!$A$13</f>
        <v>Mine (HIV+)</v>
      </c>
      <c r="B342" s="164" t="s">
        <v>145</v>
      </c>
      <c r="C342" s="164" t="s">
        <v>145</v>
      </c>
      <c r="D342" s="164" t="s">
        <v>145</v>
      </c>
      <c r="E342" s="164" t="s">
        <v>145</v>
      </c>
      <c r="F342" s="164" t="s">
        <v>144</v>
      </c>
      <c r="G342" s="164" t="s">
        <v>145</v>
      </c>
      <c r="H342" s="164" t="s">
        <v>145</v>
      </c>
      <c r="I342" s="164" t="s">
        <v>145</v>
      </c>
      <c r="J342" s="164" t="s">
        <v>145</v>
      </c>
      <c r="K342" s="164" t="s">
        <v>145</v>
      </c>
      <c r="L342" s="164" t="s">
        <v>145</v>
      </c>
      <c r="M342" s="38" t="s">
        <v>41</v>
      </c>
    </row>
    <row r="344" spans="1:23"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row>
    <row r="345" spans="1:23" x14ac:dyDescent="0.25">
      <c r="A345" s="1" t="str">
        <f>IF($B$331="Y",'[1]Population Definitions'!$A$2,"...")</f>
        <v>...</v>
      </c>
      <c r="B345" s="1" t="str">
        <f>IF($B$331="Y","---&gt;","...")</f>
        <v>...</v>
      </c>
      <c r="C345" s="1" t="str">
        <f>IF($B$331="Y",'[1]Population Definitions'!$A$2,"...")</f>
        <v>...</v>
      </c>
      <c r="E345" s="165"/>
      <c r="F345" s="1" t="str">
        <f>IF($B$331="Y","OR","...")</f>
        <v>...</v>
      </c>
      <c r="G345" s="165"/>
      <c r="H345" s="165"/>
      <c r="I345" s="165"/>
      <c r="J345" s="165"/>
      <c r="K345" s="165"/>
      <c r="L345" s="165"/>
      <c r="M345" s="165"/>
      <c r="N345" s="165"/>
      <c r="O345" s="165"/>
      <c r="P345" s="165"/>
      <c r="Q345" s="165"/>
      <c r="R345" s="165"/>
      <c r="S345" s="165"/>
      <c r="T345" s="165"/>
      <c r="U345" s="165"/>
      <c r="V345" s="165"/>
      <c r="W345" s="165"/>
    </row>
    <row r="346" spans="1:23" x14ac:dyDescent="0.25">
      <c r="A346" s="1" t="str">
        <f>IF($C$331="Y",'[1]Population Definitions'!$A$2,"...")</f>
        <v>...</v>
      </c>
      <c r="B346" s="1" t="str">
        <f>IF($C$331="Y","---&gt;","...")</f>
        <v>...</v>
      </c>
      <c r="C346" s="1" t="str">
        <f>IF($C$331="Y",'[1]Population Definitions'!$A$3,"...")</f>
        <v>...</v>
      </c>
      <c r="E346" s="165"/>
      <c r="F346" s="1" t="str">
        <f>IF($C$331="Y","OR","...")</f>
        <v>...</v>
      </c>
      <c r="G346" s="165"/>
      <c r="H346" s="165"/>
      <c r="I346" s="165"/>
      <c r="J346" s="165"/>
      <c r="K346" s="165"/>
      <c r="L346" s="165"/>
      <c r="M346" s="165"/>
      <c r="N346" s="165"/>
      <c r="O346" s="165"/>
      <c r="P346" s="165"/>
      <c r="Q346" s="165"/>
      <c r="R346" s="165"/>
      <c r="S346" s="165"/>
      <c r="T346" s="165"/>
      <c r="U346" s="165"/>
      <c r="V346" s="165"/>
      <c r="W346" s="165"/>
    </row>
    <row r="347" spans="1:23" x14ac:dyDescent="0.25">
      <c r="A347" s="1" t="str">
        <f>IF($D$331="Y",'[1]Population Definitions'!$A$2,"...")</f>
        <v>...</v>
      </c>
      <c r="B347" s="1" t="str">
        <f>IF($D$331="Y","---&gt;","...")</f>
        <v>...</v>
      </c>
      <c r="C347" s="1" t="str">
        <f>IF($D$331="Y",'[1]Population Definitions'!$A$4,"...")</f>
        <v>...</v>
      </c>
      <c r="E347" s="165"/>
      <c r="F347" s="1" t="str">
        <f>IF($D$331="Y","OR","...")</f>
        <v>...</v>
      </c>
      <c r="G347" s="165"/>
      <c r="H347" s="165"/>
      <c r="I347" s="165"/>
      <c r="J347" s="165"/>
      <c r="K347" s="165"/>
      <c r="L347" s="165"/>
      <c r="M347" s="165"/>
      <c r="N347" s="165"/>
      <c r="O347" s="165"/>
      <c r="P347" s="165"/>
      <c r="Q347" s="165"/>
      <c r="R347" s="165"/>
      <c r="S347" s="165"/>
      <c r="T347" s="165"/>
      <c r="U347" s="165"/>
      <c r="V347" s="165"/>
      <c r="W347" s="165"/>
    </row>
    <row r="348" spans="1:23" x14ac:dyDescent="0.25">
      <c r="A348" s="1" t="str">
        <f>IF($E$331="Y",'[1]Population Definitions'!$A$2,"...")</f>
        <v>...</v>
      </c>
      <c r="B348" s="1" t="str">
        <f>IF($E$331="Y","---&gt;","...")</f>
        <v>...</v>
      </c>
      <c r="C348" s="1" t="str">
        <f>IF($E$331="Y",'[1]Population Definitions'!$A$5,"...")</f>
        <v>...</v>
      </c>
      <c r="E348" s="165"/>
      <c r="F348" s="1" t="str">
        <f>IF($E$331="Y","OR","...")</f>
        <v>...</v>
      </c>
      <c r="G348" s="165"/>
      <c r="H348" s="165"/>
      <c r="I348" s="165"/>
      <c r="J348" s="165"/>
      <c r="K348" s="165"/>
      <c r="L348" s="165"/>
      <c r="M348" s="165"/>
      <c r="N348" s="165"/>
      <c r="O348" s="165"/>
      <c r="P348" s="165"/>
      <c r="Q348" s="165"/>
      <c r="R348" s="165"/>
      <c r="S348" s="165"/>
      <c r="T348" s="165"/>
      <c r="U348" s="165"/>
      <c r="V348" s="165"/>
      <c r="W348" s="165"/>
    </row>
    <row r="349" spans="1:23" x14ac:dyDescent="0.25">
      <c r="A349" s="1" t="str">
        <f>IF($F$331="Y",'[1]Population Definitions'!$A$2,"...")</f>
        <v>...</v>
      </c>
      <c r="B349" s="1" t="str">
        <f>IF($F$331="Y","---&gt;","...")</f>
        <v>...</v>
      </c>
      <c r="C349" s="1" t="str">
        <f>IF($F$331="Y",'[1]Population Definitions'!$A$6,"...")</f>
        <v>...</v>
      </c>
      <c r="E349" s="165"/>
      <c r="F349" s="1" t="str">
        <f>IF($F$331="Y","OR","...")</f>
        <v>...</v>
      </c>
      <c r="G349" s="165"/>
      <c r="H349" s="165"/>
      <c r="I349" s="165"/>
      <c r="J349" s="165"/>
      <c r="K349" s="165"/>
      <c r="L349" s="165"/>
      <c r="M349" s="165"/>
      <c r="N349" s="165"/>
      <c r="O349" s="165"/>
      <c r="P349" s="165"/>
      <c r="Q349" s="165"/>
      <c r="R349" s="165"/>
      <c r="S349" s="165"/>
      <c r="T349" s="165"/>
      <c r="U349" s="165"/>
      <c r="V349" s="165"/>
      <c r="W349" s="165"/>
    </row>
    <row r="350" spans="1:23" x14ac:dyDescent="0.25">
      <c r="A350" s="1" t="str">
        <f>IF($G$331="Y",'[1]Population Definitions'!$A$2,"...")</f>
        <v>...</v>
      </c>
      <c r="B350" s="1" t="str">
        <f>IF($G$331="Y","---&gt;","...")</f>
        <v>...</v>
      </c>
      <c r="C350" s="1" t="str">
        <f>IF($G$331="Y",'[1]Population Definitions'!$A$7,"...")</f>
        <v>...</v>
      </c>
      <c r="E350" s="165"/>
      <c r="F350" s="1" t="str">
        <f>IF($G$331="Y","OR","...")</f>
        <v>...</v>
      </c>
      <c r="G350" s="165"/>
      <c r="H350" s="165"/>
      <c r="I350" s="165"/>
      <c r="J350" s="165"/>
      <c r="K350" s="165"/>
      <c r="L350" s="165"/>
      <c r="M350" s="165"/>
      <c r="N350" s="165"/>
      <c r="O350" s="165"/>
      <c r="P350" s="165"/>
      <c r="Q350" s="165"/>
      <c r="R350" s="165"/>
      <c r="S350" s="165"/>
      <c r="T350" s="165"/>
      <c r="U350" s="165"/>
      <c r="V350" s="165"/>
      <c r="W350" s="165"/>
    </row>
    <row r="351" spans="1:23" x14ac:dyDescent="0.25">
      <c r="A351" s="1" t="str">
        <f>IF($H$331="Y",'[1]Population Definitions'!$A$2,"...")</f>
        <v>...</v>
      </c>
      <c r="B351" s="1" t="str">
        <f>IF($H$331="Y","---&gt;","...")</f>
        <v>...</v>
      </c>
      <c r="C351" s="1" t="str">
        <f>IF($H$331="Y",'[1]Population Definitions'!$A$8,"...")</f>
        <v>...</v>
      </c>
      <c r="E351" s="165"/>
      <c r="F351" s="1" t="str">
        <f>IF($H$331="Y","OR","...")</f>
        <v>...</v>
      </c>
      <c r="G351" s="165"/>
      <c r="H351" s="165"/>
      <c r="I351" s="165"/>
      <c r="J351" s="165"/>
      <c r="K351" s="165"/>
      <c r="L351" s="165"/>
      <c r="M351" s="165"/>
      <c r="N351" s="165"/>
      <c r="O351" s="165"/>
      <c r="P351" s="165"/>
      <c r="Q351" s="165"/>
      <c r="R351" s="165"/>
      <c r="S351" s="165"/>
      <c r="T351" s="165"/>
      <c r="U351" s="165"/>
      <c r="V351" s="165"/>
      <c r="W351" s="165"/>
    </row>
    <row r="352" spans="1:23" x14ac:dyDescent="0.25">
      <c r="A352" s="1" t="str">
        <f>IF($I$331="Y",'[1]Population Definitions'!$A$2,"...")</f>
        <v>...</v>
      </c>
      <c r="B352" s="1" t="str">
        <f>IF($I$331="Y","---&gt;","...")</f>
        <v>...</v>
      </c>
      <c r="C352" s="1" t="str">
        <f>IF($I$331="Y",'[1]Population Definitions'!$A$9,"...")</f>
        <v>...</v>
      </c>
      <c r="E352" s="165"/>
      <c r="F352" s="1" t="str">
        <f>IF($I$331="Y","OR","...")</f>
        <v>...</v>
      </c>
      <c r="G352" s="165"/>
      <c r="H352" s="165"/>
      <c r="I352" s="165"/>
      <c r="J352" s="165"/>
      <c r="K352" s="165"/>
      <c r="L352" s="165"/>
      <c r="M352" s="165"/>
      <c r="N352" s="165"/>
      <c r="O352" s="165"/>
      <c r="P352" s="165"/>
      <c r="Q352" s="165"/>
      <c r="R352" s="165"/>
      <c r="S352" s="165"/>
      <c r="T352" s="165"/>
      <c r="U352" s="165"/>
      <c r="V352" s="165"/>
      <c r="W352" s="165"/>
    </row>
    <row r="353" spans="1:23" x14ac:dyDescent="0.25">
      <c r="A353" s="1" t="str">
        <f>IF($J$331="Y",'[1]Population Definitions'!$A$2,"...")</f>
        <v>...</v>
      </c>
      <c r="B353" s="1" t="str">
        <f>IF($J$331="Y","---&gt;","...")</f>
        <v>...</v>
      </c>
      <c r="C353" s="1" t="str">
        <f>IF($J$331="Y",'[1]Population Definitions'!$A$10,"...")</f>
        <v>...</v>
      </c>
      <c r="E353" s="165"/>
      <c r="F353" s="1" t="str">
        <f>IF($J$331="Y","OR","...")</f>
        <v>...</v>
      </c>
      <c r="G353" s="165"/>
      <c r="H353" s="165"/>
      <c r="I353" s="165"/>
      <c r="J353" s="165"/>
      <c r="K353" s="165"/>
      <c r="L353" s="165"/>
      <c r="M353" s="165"/>
      <c r="N353" s="165"/>
      <c r="O353" s="165"/>
      <c r="P353" s="165"/>
      <c r="Q353" s="165"/>
      <c r="R353" s="165"/>
      <c r="S353" s="165"/>
      <c r="T353" s="165"/>
      <c r="U353" s="165"/>
      <c r="V353" s="165"/>
      <c r="W353" s="165"/>
    </row>
    <row r="354" spans="1:23" x14ac:dyDescent="0.25">
      <c r="A354" s="1" t="str">
        <f>IF($K$331="Y",'[1]Population Definitions'!$A$2,"...")</f>
        <v>...</v>
      </c>
      <c r="B354" s="1" t="str">
        <f>IF($K$331="Y","---&gt;","...")</f>
        <v>...</v>
      </c>
      <c r="C354" s="1" t="str">
        <f>IF($K$331="Y",'[1]Population Definitions'!$A$11,"...")</f>
        <v>...</v>
      </c>
      <c r="E354" s="165"/>
      <c r="F354" s="1" t="str">
        <f>IF($K$331="Y","OR","...")</f>
        <v>...</v>
      </c>
      <c r="G354" s="165"/>
      <c r="H354" s="165"/>
      <c r="I354" s="165"/>
      <c r="J354" s="165"/>
      <c r="K354" s="165"/>
      <c r="L354" s="165"/>
      <c r="M354" s="165"/>
      <c r="N354" s="165"/>
      <c r="O354" s="165"/>
      <c r="P354" s="165"/>
      <c r="Q354" s="165"/>
      <c r="R354" s="165"/>
      <c r="S354" s="165"/>
      <c r="T354" s="165"/>
      <c r="U354" s="165"/>
      <c r="V354" s="165"/>
      <c r="W354" s="165"/>
    </row>
    <row r="355" spans="1:23" x14ac:dyDescent="0.25">
      <c r="A355" s="1" t="str">
        <f>IF($L$331="Y",'[1]Population Definitions'!$A$2,"...")</f>
        <v>...</v>
      </c>
      <c r="B355" s="1" t="str">
        <f>IF($L$331="Y","---&gt;","...")</f>
        <v>...</v>
      </c>
      <c r="C355" s="1" t="str">
        <f>IF($L$331="Y",'[1]Population Definitions'!$A$12,"...")</f>
        <v>...</v>
      </c>
      <c r="E355" s="165"/>
      <c r="F355" s="1" t="str">
        <f>IF($L$331="Y","OR","...")</f>
        <v>...</v>
      </c>
      <c r="G355" s="165"/>
      <c r="H355" s="165"/>
      <c r="I355" s="165"/>
      <c r="J355" s="165"/>
      <c r="K355" s="165"/>
      <c r="L355" s="165"/>
      <c r="M355" s="165"/>
      <c r="N355" s="165"/>
      <c r="O355" s="165"/>
      <c r="P355" s="165"/>
      <c r="Q355" s="165"/>
      <c r="R355" s="165"/>
      <c r="S355" s="165"/>
      <c r="T355" s="165"/>
      <c r="U355" s="165"/>
      <c r="V355" s="165"/>
      <c r="W355" s="165"/>
    </row>
    <row r="356" spans="1:23" x14ac:dyDescent="0.25">
      <c r="A356" s="1" t="str">
        <f>IF($M$331="Y",'[1]Population Definitions'!$A$2,"...")</f>
        <v>...</v>
      </c>
      <c r="B356" s="1" t="str">
        <f>IF($M$331="Y","---&gt;","...")</f>
        <v>...</v>
      </c>
      <c r="C356" s="1" t="str">
        <f>IF($M$331="Y",'[1]Population Definitions'!$A$13,"...")</f>
        <v>...</v>
      </c>
      <c r="E356" s="165"/>
      <c r="F356" s="1" t="str">
        <f>IF($M$331="Y","OR","...")</f>
        <v>...</v>
      </c>
      <c r="G356" s="165"/>
      <c r="H356" s="165"/>
      <c r="I356" s="165"/>
      <c r="J356" s="165"/>
      <c r="K356" s="165"/>
      <c r="L356" s="165"/>
      <c r="M356" s="165"/>
      <c r="N356" s="165"/>
      <c r="O356" s="165"/>
      <c r="P356" s="165"/>
      <c r="Q356" s="165"/>
      <c r="R356" s="165"/>
      <c r="S356" s="165"/>
      <c r="T356" s="165"/>
      <c r="U356" s="165"/>
      <c r="V356" s="165"/>
      <c r="W356" s="165"/>
    </row>
    <row r="357" spans="1:23" x14ac:dyDescent="0.25">
      <c r="A357" s="1" t="str">
        <f>IF($B$332="Y",'[1]Population Definitions'!$A$3,"...")</f>
        <v>...</v>
      </c>
      <c r="B357" s="1" t="str">
        <f>IF($B$332="Y","---&gt;","...")</f>
        <v>...</v>
      </c>
      <c r="C357" s="1" t="str">
        <f>IF($B$332="Y",'[1]Population Definitions'!$A$2,"...")</f>
        <v>...</v>
      </c>
      <c r="E357" s="165"/>
      <c r="F357" s="1" t="str">
        <f>IF($B$332="Y","OR","...")</f>
        <v>...</v>
      </c>
      <c r="G357" s="165"/>
      <c r="H357" s="165"/>
      <c r="I357" s="165"/>
      <c r="J357" s="165"/>
      <c r="K357" s="165"/>
      <c r="L357" s="165"/>
      <c r="M357" s="165"/>
      <c r="N357" s="165"/>
      <c r="O357" s="165"/>
      <c r="P357" s="165"/>
      <c r="Q357" s="165"/>
      <c r="R357" s="165"/>
      <c r="S357" s="165"/>
      <c r="T357" s="165"/>
      <c r="U357" s="165"/>
      <c r="V357" s="165"/>
      <c r="W357" s="165"/>
    </row>
    <row r="358" spans="1:23" x14ac:dyDescent="0.25">
      <c r="A358" s="1" t="str">
        <f>IF($C$332="Y",'[1]Population Definitions'!$A$3,"...")</f>
        <v>...</v>
      </c>
      <c r="B358" s="1" t="str">
        <f>IF($C$332="Y","---&gt;","...")</f>
        <v>...</v>
      </c>
      <c r="C358" s="1" t="str">
        <f>IF($C$332="Y",'[1]Population Definitions'!$A$3,"...")</f>
        <v>...</v>
      </c>
      <c r="E358" s="165"/>
      <c r="F358" s="1" t="str">
        <f>IF($C$332="Y","OR","...")</f>
        <v>...</v>
      </c>
      <c r="G358" s="165"/>
      <c r="H358" s="165"/>
      <c r="I358" s="165"/>
      <c r="J358" s="165"/>
      <c r="K358" s="165"/>
      <c r="L358" s="165"/>
      <c r="M358" s="165"/>
      <c r="N358" s="165"/>
      <c r="O358" s="165"/>
      <c r="P358" s="165"/>
      <c r="Q358" s="165"/>
      <c r="R358" s="165"/>
      <c r="S358" s="165"/>
      <c r="T358" s="165"/>
      <c r="U358" s="165"/>
      <c r="V358" s="165"/>
      <c r="W358" s="165"/>
    </row>
    <row r="359" spans="1:23" x14ac:dyDescent="0.25">
      <c r="A359" s="1" t="str">
        <f>IF($D$332="Y",'[1]Population Definitions'!$A$3,"...")</f>
        <v>...</v>
      </c>
      <c r="B359" s="1" t="str">
        <f>IF($D$332="Y","---&gt;","...")</f>
        <v>...</v>
      </c>
      <c r="C359" s="1" t="str">
        <f>IF($D$332="Y",'[1]Population Definitions'!$A$4,"...")</f>
        <v>...</v>
      </c>
      <c r="E359" s="165"/>
      <c r="F359" s="1" t="str">
        <f>IF($D$332="Y","OR","...")</f>
        <v>...</v>
      </c>
      <c r="G359" s="165"/>
      <c r="H359" s="165"/>
      <c r="I359" s="165"/>
      <c r="J359" s="165"/>
      <c r="K359" s="165"/>
      <c r="L359" s="165"/>
      <c r="M359" s="165"/>
      <c r="N359" s="165"/>
      <c r="O359" s="165"/>
      <c r="P359" s="165"/>
      <c r="Q359" s="165"/>
      <c r="R359" s="165"/>
      <c r="S359" s="165"/>
      <c r="T359" s="165"/>
      <c r="U359" s="165"/>
      <c r="V359" s="165"/>
      <c r="W359" s="165"/>
    </row>
    <row r="360" spans="1:23" x14ac:dyDescent="0.25">
      <c r="A360" s="1" t="str">
        <f>IF($E$332="Y",'[1]Population Definitions'!$A$3,"...")</f>
        <v>...</v>
      </c>
      <c r="B360" s="1" t="str">
        <f>IF($E$332="Y","---&gt;","...")</f>
        <v>...</v>
      </c>
      <c r="C360" s="1" t="str">
        <f>IF($E$332="Y",'[1]Population Definitions'!$A$5,"...")</f>
        <v>...</v>
      </c>
      <c r="E360" s="165"/>
      <c r="F360" s="1" t="str">
        <f>IF($E$332="Y","OR","...")</f>
        <v>...</v>
      </c>
      <c r="G360" s="165"/>
      <c r="H360" s="165"/>
      <c r="I360" s="165"/>
      <c r="J360" s="165"/>
      <c r="K360" s="165"/>
      <c r="L360" s="165"/>
      <c r="M360" s="165"/>
      <c r="N360" s="165"/>
      <c r="O360" s="165"/>
      <c r="P360" s="165"/>
      <c r="Q360" s="165"/>
      <c r="R360" s="165"/>
      <c r="S360" s="165"/>
      <c r="T360" s="165"/>
      <c r="U360" s="165"/>
      <c r="V360" s="165"/>
      <c r="W360" s="165"/>
    </row>
    <row r="361" spans="1:23" x14ac:dyDescent="0.25">
      <c r="A361" s="1" t="str">
        <f>IF($F$332="Y",'[1]Population Definitions'!$A$3,"...")</f>
        <v>...</v>
      </c>
      <c r="B361" s="1" t="str">
        <f>IF($F$332="Y","---&gt;","...")</f>
        <v>...</v>
      </c>
      <c r="C361" s="1" t="str">
        <f>IF($F$332="Y",'[1]Population Definitions'!$A$6,"...")</f>
        <v>...</v>
      </c>
      <c r="E361" s="165"/>
      <c r="F361" s="1" t="str">
        <f>IF($F$332="Y","OR","...")</f>
        <v>...</v>
      </c>
      <c r="G361" s="165"/>
      <c r="H361" s="165"/>
      <c r="I361" s="165"/>
      <c r="J361" s="165"/>
      <c r="K361" s="165"/>
      <c r="L361" s="165"/>
      <c r="M361" s="165"/>
      <c r="N361" s="165"/>
      <c r="O361" s="165"/>
      <c r="P361" s="165"/>
      <c r="Q361" s="165"/>
      <c r="R361" s="165"/>
      <c r="S361" s="165"/>
      <c r="T361" s="165"/>
      <c r="U361" s="165"/>
      <c r="V361" s="165"/>
      <c r="W361" s="165"/>
    </row>
    <row r="362" spans="1:23" x14ac:dyDescent="0.25">
      <c r="A362" s="1" t="str">
        <f>IF($G$332="Y",'[1]Population Definitions'!$A$3,"...")</f>
        <v>...</v>
      </c>
      <c r="B362" s="1" t="str">
        <f>IF($G$332="Y","---&gt;","...")</f>
        <v>...</v>
      </c>
      <c r="C362" s="1" t="str">
        <f>IF($G$332="Y",'[1]Population Definitions'!$A$7,"...")</f>
        <v>...</v>
      </c>
      <c r="E362" s="165"/>
      <c r="F362" s="1" t="str">
        <f>IF($G$332="Y","OR","...")</f>
        <v>...</v>
      </c>
      <c r="G362" s="165"/>
      <c r="H362" s="165"/>
      <c r="I362" s="165"/>
      <c r="J362" s="165"/>
      <c r="K362" s="165"/>
      <c r="L362" s="165"/>
      <c r="M362" s="165"/>
      <c r="N362" s="165"/>
      <c r="O362" s="165"/>
      <c r="P362" s="165"/>
      <c r="Q362" s="165"/>
      <c r="R362" s="165"/>
      <c r="S362" s="165"/>
      <c r="T362" s="165"/>
      <c r="U362" s="165"/>
      <c r="V362" s="165"/>
      <c r="W362" s="165"/>
    </row>
    <row r="363" spans="1:23" x14ac:dyDescent="0.25">
      <c r="A363" s="1" t="str">
        <f>IF($H$332="Y",'[1]Population Definitions'!$A$3,"...")</f>
        <v>...</v>
      </c>
      <c r="B363" s="1" t="str">
        <f>IF($H$332="Y","---&gt;","...")</f>
        <v>...</v>
      </c>
      <c r="C363" s="1" t="str">
        <f>IF($H$332="Y",'[1]Population Definitions'!$A$8,"...")</f>
        <v>...</v>
      </c>
      <c r="E363" s="165"/>
      <c r="F363" s="1" t="str">
        <f>IF($H$332="Y","OR","...")</f>
        <v>...</v>
      </c>
      <c r="G363" s="165"/>
      <c r="H363" s="165"/>
      <c r="I363" s="165"/>
      <c r="J363" s="165"/>
      <c r="K363" s="165"/>
      <c r="L363" s="165"/>
      <c r="M363" s="165"/>
      <c r="N363" s="165"/>
      <c r="O363" s="165"/>
      <c r="P363" s="165"/>
      <c r="Q363" s="165"/>
      <c r="R363" s="165"/>
      <c r="S363" s="165"/>
      <c r="T363" s="165"/>
      <c r="U363" s="165"/>
      <c r="V363" s="165"/>
      <c r="W363" s="165"/>
    </row>
    <row r="364" spans="1:23" x14ac:dyDescent="0.25">
      <c r="A364" s="1" t="str">
        <f>IF($I$332="Y",'[1]Population Definitions'!$A$3,"...")</f>
        <v>...</v>
      </c>
      <c r="B364" s="1" t="str">
        <f>IF($I$332="Y","---&gt;","...")</f>
        <v>...</v>
      </c>
      <c r="C364" s="1" t="str">
        <f>IF($I$332="Y",'[1]Population Definitions'!$A$9,"...")</f>
        <v>...</v>
      </c>
      <c r="E364" s="165"/>
      <c r="F364" s="1" t="str">
        <f>IF($I$332="Y","OR","...")</f>
        <v>...</v>
      </c>
      <c r="G364" s="165"/>
      <c r="H364" s="165"/>
      <c r="I364" s="165"/>
      <c r="J364" s="165"/>
      <c r="K364" s="165"/>
      <c r="L364" s="165"/>
      <c r="M364" s="165"/>
      <c r="N364" s="165"/>
      <c r="O364" s="165"/>
      <c r="P364" s="165"/>
      <c r="Q364" s="165"/>
      <c r="R364" s="165"/>
      <c r="S364" s="165"/>
      <c r="T364" s="165"/>
      <c r="U364" s="165"/>
      <c r="V364" s="165"/>
      <c r="W364" s="165"/>
    </row>
    <row r="365" spans="1:23" x14ac:dyDescent="0.25">
      <c r="A365" s="1" t="str">
        <f>IF($J$332="Y",'[1]Population Definitions'!$A$3,"...")</f>
        <v>...</v>
      </c>
      <c r="B365" s="1" t="str">
        <f>IF($J$332="Y","---&gt;","...")</f>
        <v>...</v>
      </c>
      <c r="C365" s="1" t="str">
        <f>IF($J$332="Y",'[1]Population Definitions'!$A$10,"...")</f>
        <v>...</v>
      </c>
      <c r="E365" s="165"/>
      <c r="F365" s="1" t="str">
        <f>IF($J$332="Y","OR","...")</f>
        <v>...</v>
      </c>
      <c r="G365" s="165"/>
      <c r="H365" s="165"/>
      <c r="I365" s="165"/>
      <c r="J365" s="165"/>
      <c r="K365" s="165"/>
      <c r="L365" s="165"/>
      <c r="M365" s="165"/>
      <c r="N365" s="165"/>
      <c r="O365" s="165"/>
      <c r="P365" s="165"/>
      <c r="Q365" s="165"/>
      <c r="R365" s="165"/>
      <c r="S365" s="165"/>
      <c r="T365" s="165"/>
      <c r="U365" s="165"/>
      <c r="V365" s="165"/>
      <c r="W365" s="165"/>
    </row>
    <row r="366" spans="1:23" x14ac:dyDescent="0.25">
      <c r="A366" s="1" t="str">
        <f>IF($K$332="Y",'[1]Population Definitions'!$A$3,"...")</f>
        <v>...</v>
      </c>
      <c r="B366" s="1" t="str">
        <f>IF($K$332="Y","---&gt;","...")</f>
        <v>...</v>
      </c>
      <c r="C366" s="1" t="str">
        <f>IF($K$332="Y",'[1]Population Definitions'!$A$11,"...")</f>
        <v>...</v>
      </c>
      <c r="E366" s="165"/>
      <c r="F366" s="1" t="str">
        <f>IF($K$332="Y","OR","...")</f>
        <v>...</v>
      </c>
      <c r="G366" s="165"/>
      <c r="H366" s="165"/>
      <c r="I366" s="165"/>
      <c r="J366" s="165"/>
      <c r="K366" s="165"/>
      <c r="L366" s="165"/>
      <c r="M366" s="165"/>
      <c r="N366" s="165"/>
      <c r="O366" s="165"/>
      <c r="P366" s="165"/>
      <c r="Q366" s="165"/>
      <c r="R366" s="165"/>
      <c r="S366" s="165"/>
      <c r="T366" s="165"/>
      <c r="U366" s="165"/>
      <c r="V366" s="165"/>
      <c r="W366" s="165"/>
    </row>
    <row r="367" spans="1:23" x14ac:dyDescent="0.25">
      <c r="A367" s="1" t="str">
        <f>IF($L$332="Y",'[1]Population Definitions'!$A$3,"...")</f>
        <v>...</v>
      </c>
      <c r="B367" s="1" t="str">
        <f>IF($L$332="Y","---&gt;","...")</f>
        <v>...</v>
      </c>
      <c r="C367" s="1" t="str">
        <f>IF($L$332="Y",'[1]Population Definitions'!$A$12,"...")</f>
        <v>...</v>
      </c>
      <c r="E367" s="165"/>
      <c r="F367" s="1" t="str">
        <f>IF($L$332="Y","OR","...")</f>
        <v>...</v>
      </c>
      <c r="G367" s="165"/>
      <c r="H367" s="165"/>
      <c r="I367" s="165"/>
      <c r="J367" s="165"/>
      <c r="K367" s="165"/>
      <c r="L367" s="165"/>
      <c r="M367" s="165"/>
      <c r="N367" s="165"/>
      <c r="O367" s="165"/>
      <c r="P367" s="165"/>
      <c r="Q367" s="165"/>
      <c r="R367" s="165"/>
      <c r="S367" s="165"/>
      <c r="T367" s="165"/>
      <c r="U367" s="165"/>
      <c r="V367" s="165"/>
      <c r="W367" s="165"/>
    </row>
    <row r="368" spans="1:23" x14ac:dyDescent="0.25">
      <c r="A368" s="1" t="str">
        <f>IF($M$332="Y",'[1]Population Definitions'!$A$3,"...")</f>
        <v>...</v>
      </c>
      <c r="B368" s="1" t="str">
        <f>IF($M$332="Y","---&gt;","...")</f>
        <v>...</v>
      </c>
      <c r="C368" s="1" t="str">
        <f>IF($M$332="Y",'[1]Population Definitions'!$A$13,"...")</f>
        <v>...</v>
      </c>
      <c r="E368" s="165"/>
      <c r="F368" s="1" t="str">
        <f>IF($M$332="Y","OR","...")</f>
        <v>...</v>
      </c>
      <c r="G368" s="165"/>
      <c r="H368" s="165"/>
      <c r="I368" s="165"/>
      <c r="J368" s="165"/>
      <c r="K368" s="165"/>
      <c r="L368" s="165"/>
      <c r="M368" s="165"/>
      <c r="N368" s="165"/>
      <c r="O368" s="165"/>
      <c r="P368" s="165"/>
      <c r="Q368" s="165"/>
      <c r="R368" s="165"/>
      <c r="S368" s="165"/>
      <c r="T368" s="165"/>
      <c r="U368" s="165"/>
      <c r="V368" s="165"/>
      <c r="W368" s="165"/>
    </row>
    <row r="369" spans="1:23" x14ac:dyDescent="0.25">
      <c r="A369" s="1" t="str">
        <f>IF($B$333="Y",'[1]Population Definitions'!$A$4,"...")</f>
        <v>...</v>
      </c>
      <c r="B369" s="1" t="str">
        <f>IF($B$333="Y","---&gt;","...")</f>
        <v>...</v>
      </c>
      <c r="C369" s="1" t="str">
        <f>IF($B$333="Y",'[1]Population Definitions'!$A$2,"...")</f>
        <v>...</v>
      </c>
      <c r="E369" s="165"/>
      <c r="F369" s="1" t="str">
        <f>IF($B$333="Y","OR","...")</f>
        <v>...</v>
      </c>
      <c r="G369" s="165"/>
      <c r="H369" s="165"/>
      <c r="I369" s="165"/>
      <c r="J369" s="165"/>
      <c r="K369" s="165"/>
      <c r="L369" s="165"/>
      <c r="M369" s="165"/>
      <c r="N369" s="165"/>
      <c r="O369" s="165"/>
      <c r="P369" s="165"/>
      <c r="Q369" s="165"/>
      <c r="R369" s="165"/>
      <c r="S369" s="165"/>
      <c r="T369" s="165"/>
      <c r="U369" s="165"/>
      <c r="V369" s="165"/>
      <c r="W369" s="165"/>
    </row>
    <row r="370" spans="1:23" x14ac:dyDescent="0.25">
      <c r="A370" s="1" t="str">
        <f>IF($C$333="Y",'[1]Population Definitions'!$A$4,"...")</f>
        <v>...</v>
      </c>
      <c r="B370" s="1" t="str">
        <f>IF($C$333="Y","---&gt;","...")</f>
        <v>...</v>
      </c>
      <c r="C370" s="1" t="str">
        <f>IF($C$333="Y",'[1]Population Definitions'!$A$3,"...")</f>
        <v>...</v>
      </c>
      <c r="E370" s="165"/>
      <c r="F370" s="1" t="str">
        <f>IF($C$333="Y","OR","...")</f>
        <v>...</v>
      </c>
      <c r="G370" s="165"/>
      <c r="H370" s="165"/>
      <c r="I370" s="165"/>
      <c r="J370" s="165"/>
      <c r="K370" s="165"/>
      <c r="L370" s="165"/>
      <c r="M370" s="165"/>
      <c r="N370" s="165"/>
      <c r="O370" s="165"/>
      <c r="P370" s="165"/>
      <c r="Q370" s="165"/>
      <c r="R370" s="165"/>
      <c r="S370" s="165"/>
      <c r="T370" s="165"/>
      <c r="U370" s="165"/>
      <c r="V370" s="165"/>
      <c r="W370" s="165"/>
    </row>
    <row r="371" spans="1:23" x14ac:dyDescent="0.25">
      <c r="A371" s="1" t="str">
        <f>IF($D$333="Y",'[1]Population Definitions'!$A$4,"...")</f>
        <v>...</v>
      </c>
      <c r="B371" s="1" t="str">
        <f>IF($D$333="Y","---&gt;","...")</f>
        <v>...</v>
      </c>
      <c r="C371" s="1" t="str">
        <f>IF($D$333="Y",'[1]Population Definitions'!$A$4,"...")</f>
        <v>...</v>
      </c>
      <c r="E371" s="165"/>
      <c r="F371" s="1" t="str">
        <f>IF($D$333="Y","OR","...")</f>
        <v>...</v>
      </c>
      <c r="G371" s="165"/>
      <c r="H371" s="165"/>
      <c r="I371" s="165"/>
      <c r="J371" s="165"/>
      <c r="K371" s="165"/>
      <c r="L371" s="165"/>
      <c r="M371" s="165"/>
      <c r="N371" s="165"/>
      <c r="O371" s="165"/>
      <c r="P371" s="165"/>
      <c r="Q371" s="165"/>
      <c r="R371" s="165"/>
      <c r="S371" s="165"/>
      <c r="T371" s="165"/>
      <c r="U371" s="165"/>
      <c r="V371" s="165"/>
      <c r="W371" s="165"/>
    </row>
    <row r="372" spans="1:23" x14ac:dyDescent="0.25">
      <c r="A372" s="1" t="str">
        <f>IF($E$333="Y",'[1]Population Definitions'!$A$4,"...")</f>
        <v>...</v>
      </c>
      <c r="B372" s="1" t="str">
        <f>IF($E$333="Y","---&gt;","...")</f>
        <v>...</v>
      </c>
      <c r="C372" s="1" t="str">
        <f>IF($E$333="Y",'[1]Population Definitions'!$A$5,"...")</f>
        <v>...</v>
      </c>
      <c r="E372" s="165"/>
      <c r="F372" s="1" t="str">
        <f>IF($E$333="Y","OR","...")</f>
        <v>...</v>
      </c>
      <c r="G372" s="165"/>
      <c r="H372" s="165"/>
      <c r="I372" s="165"/>
      <c r="J372" s="165"/>
      <c r="K372" s="165"/>
      <c r="L372" s="165"/>
      <c r="M372" s="165"/>
      <c r="N372" s="165"/>
      <c r="O372" s="165"/>
      <c r="P372" s="165"/>
      <c r="Q372" s="165"/>
      <c r="R372" s="165"/>
      <c r="S372" s="165"/>
      <c r="T372" s="165"/>
      <c r="U372" s="165"/>
      <c r="V372" s="165"/>
      <c r="W372" s="165"/>
    </row>
    <row r="373" spans="1:23" x14ac:dyDescent="0.25">
      <c r="A373" s="1" t="str">
        <f>IF($F$333="Y",'[1]Population Definitions'!$A$4,"...")</f>
        <v>...</v>
      </c>
      <c r="B373" s="1" t="str">
        <f>IF($F$333="Y","---&gt;","...")</f>
        <v>...</v>
      </c>
      <c r="C373" s="1" t="str">
        <f>IF($F$333="Y",'[1]Population Definitions'!$A$6,"...")</f>
        <v>...</v>
      </c>
      <c r="E373" s="165"/>
      <c r="F373" s="1" t="str">
        <f>IF($F$333="Y","OR","...")</f>
        <v>...</v>
      </c>
      <c r="G373" s="165"/>
      <c r="H373" s="165"/>
      <c r="I373" s="165"/>
      <c r="J373" s="165"/>
      <c r="K373" s="165"/>
      <c r="L373" s="165"/>
      <c r="M373" s="165"/>
      <c r="N373" s="165"/>
      <c r="O373" s="165"/>
      <c r="P373" s="165"/>
      <c r="Q373" s="165"/>
      <c r="R373" s="165"/>
      <c r="S373" s="165"/>
      <c r="T373" s="165"/>
      <c r="U373" s="165"/>
      <c r="V373" s="165"/>
      <c r="W373" s="165"/>
    </row>
    <row r="374" spans="1:23" x14ac:dyDescent="0.25">
      <c r="A374" s="1" t="str">
        <f>IF($G$333="Y",'[1]Population Definitions'!$A$4,"...")</f>
        <v>...</v>
      </c>
      <c r="B374" s="1" t="str">
        <f>IF($G$333="Y","---&gt;","...")</f>
        <v>...</v>
      </c>
      <c r="C374" s="1" t="str">
        <f>IF($G$333="Y",'[1]Population Definitions'!$A$7,"...")</f>
        <v>...</v>
      </c>
      <c r="E374" s="165"/>
      <c r="F374" s="1" t="str">
        <f>IF($G$333="Y","OR","...")</f>
        <v>...</v>
      </c>
      <c r="G374" s="165"/>
      <c r="H374" s="165"/>
      <c r="I374" s="165"/>
      <c r="J374" s="165"/>
      <c r="K374" s="165"/>
      <c r="L374" s="165"/>
      <c r="M374" s="165"/>
      <c r="N374" s="165"/>
      <c r="O374" s="165"/>
      <c r="P374" s="165"/>
      <c r="Q374" s="165"/>
      <c r="R374" s="165"/>
      <c r="S374" s="165"/>
      <c r="T374" s="165"/>
      <c r="U374" s="165"/>
      <c r="V374" s="165"/>
      <c r="W374" s="165"/>
    </row>
    <row r="375" spans="1:23" x14ac:dyDescent="0.25">
      <c r="A375" s="1" t="str">
        <f>IF($H$333="Y",'[1]Population Definitions'!$A$4,"...")</f>
        <v>15-64</v>
      </c>
      <c r="B375" s="1" t="str">
        <f>IF($H$333="Y","---&gt;","...")</f>
        <v>---&gt;</v>
      </c>
      <c r="C375" s="1" t="str">
        <f>IF($H$333="Y",'[1]Population Definitions'!$A$8,"...")</f>
        <v>Pris</v>
      </c>
      <c r="D375" s="132" t="s">
        <v>163</v>
      </c>
      <c r="E375" s="165"/>
      <c r="F375" s="1" t="str">
        <f>IF($H$333="Y","OR","...")</f>
        <v>OR</v>
      </c>
      <c r="G375" s="165">
        <v>4.9943870603996851E-4</v>
      </c>
      <c r="H375" s="165">
        <v>4.9317501655235833E-4</v>
      </c>
      <c r="I375" s="165">
        <v>4.8807818221055911E-4</v>
      </c>
      <c r="J375" s="165">
        <v>4.8332697017171392E-4</v>
      </c>
      <c r="K375" s="165">
        <v>4.7604205047853279E-4</v>
      </c>
      <c r="L375" s="165">
        <v>4.6790338087575708E-4</v>
      </c>
      <c r="M375" s="165">
        <v>3.5797120878185189E-4</v>
      </c>
      <c r="N375" s="165">
        <v>4.8211815007117019E-4</v>
      </c>
      <c r="O375" s="165">
        <v>4.7229758754459218E-4</v>
      </c>
      <c r="P375" s="165">
        <v>4.3433015272382601E-4</v>
      </c>
      <c r="Q375" s="165">
        <v>4.6961291713005821E-4</v>
      </c>
      <c r="R375" s="165">
        <v>4.4952190104817881E-4</v>
      </c>
      <c r="S375" s="165">
        <v>4.3130797615696708E-4</v>
      </c>
      <c r="T375" s="165">
        <v>4.1414222407347152E-4</v>
      </c>
      <c r="U375" s="165">
        <v>4.0109138342339239E-4</v>
      </c>
      <c r="V375" s="165"/>
      <c r="W375" s="165"/>
    </row>
    <row r="376" spans="1:23" x14ac:dyDescent="0.25">
      <c r="A376" s="1" t="str">
        <f>IF($I$333="Y",'[1]Population Definitions'!$A$4,"...")</f>
        <v>...</v>
      </c>
      <c r="B376" s="1" t="str">
        <f>IF($I$333="Y","---&gt;","...")</f>
        <v>...</v>
      </c>
      <c r="C376" s="1" t="str">
        <f>IF($I$333="Y",'[1]Population Definitions'!$A$9,"...")</f>
        <v>...</v>
      </c>
      <c r="E376" s="165"/>
      <c r="F376" s="1" t="str">
        <f>IF($I$333="Y","OR","...")</f>
        <v>...</v>
      </c>
      <c r="G376" s="165"/>
      <c r="H376" s="165"/>
      <c r="I376" s="165"/>
      <c r="J376" s="165"/>
      <c r="K376" s="165"/>
      <c r="L376" s="165"/>
      <c r="M376" s="165"/>
      <c r="N376" s="165"/>
      <c r="O376" s="165"/>
      <c r="P376" s="165"/>
      <c r="Q376" s="165"/>
      <c r="R376" s="165"/>
      <c r="S376" s="165"/>
      <c r="T376" s="165"/>
      <c r="U376" s="165"/>
      <c r="V376" s="165"/>
      <c r="W376" s="165"/>
    </row>
    <row r="377" spans="1:23" x14ac:dyDescent="0.25">
      <c r="A377" s="1" t="str">
        <f>IF($J$333="Y",'[1]Population Definitions'!$A$4,"...")</f>
        <v>15-64</v>
      </c>
      <c r="B377" s="1" t="str">
        <f>IF($J$333="Y","---&gt;","...")</f>
        <v>---&gt;</v>
      </c>
      <c r="C377" s="1" t="str">
        <f>IF($J$333="Y",'[1]Population Definitions'!$A$10,"...")</f>
        <v>HCW</v>
      </c>
      <c r="D377" s="132" t="s">
        <v>163</v>
      </c>
      <c r="E377" s="165"/>
      <c r="F377" s="1" t="str">
        <f>IF($J$333="Y","OR","...")</f>
        <v>OR</v>
      </c>
      <c r="G377" s="165">
        <v>2.9999999999999997E-4</v>
      </c>
      <c r="H377" s="165"/>
      <c r="I377" s="165"/>
      <c r="J377" s="165">
        <v>4.0000000000000002E-4</v>
      </c>
      <c r="K377" s="165"/>
      <c r="L377" s="165"/>
      <c r="M377" s="165"/>
      <c r="N377" s="165"/>
      <c r="O377" s="165">
        <v>2.9999999999999997E-4</v>
      </c>
      <c r="P377" s="165">
        <v>2.7E-4</v>
      </c>
      <c r="Q377" s="165"/>
      <c r="R377" s="165"/>
      <c r="S377" s="165"/>
      <c r="T377" s="165"/>
      <c r="U377" s="165"/>
      <c r="V377" s="165"/>
      <c r="W377" s="165"/>
    </row>
    <row r="378" spans="1:23" x14ac:dyDescent="0.25">
      <c r="A378" s="1" t="str">
        <f>IF($K$333="Y",'[1]Population Definitions'!$A$4,"...")</f>
        <v>...</v>
      </c>
      <c r="B378" s="1" t="str">
        <f>IF($K$333="Y","---&gt;","...")</f>
        <v>...</v>
      </c>
      <c r="C378" s="1" t="str">
        <f>IF($K$333="Y",'[1]Population Definitions'!$A$11,"...")</f>
        <v>...</v>
      </c>
      <c r="E378" s="165"/>
      <c r="F378" s="1" t="str">
        <f>IF($K$333="Y","OR","...")</f>
        <v>...</v>
      </c>
      <c r="G378" s="165"/>
      <c r="H378" s="165"/>
      <c r="I378" s="165"/>
      <c r="J378" s="165"/>
      <c r="K378" s="165"/>
      <c r="L378" s="165"/>
      <c r="M378" s="165"/>
      <c r="N378" s="165"/>
      <c r="O378" s="165"/>
      <c r="P378" s="165"/>
      <c r="Q378" s="165"/>
      <c r="R378" s="165"/>
      <c r="S378" s="165"/>
      <c r="T378" s="165"/>
      <c r="U378" s="165"/>
      <c r="V378" s="165"/>
      <c r="W378" s="165"/>
    </row>
    <row r="379" spans="1:23" x14ac:dyDescent="0.25">
      <c r="A379" s="1" t="str">
        <f>IF($L$333="Y",'[1]Population Definitions'!$A$4,"...")</f>
        <v>15-64</v>
      </c>
      <c r="B379" s="1" t="str">
        <f>IF($L$333="Y","---&gt;","...")</f>
        <v>---&gt;</v>
      </c>
      <c r="C379" s="1" t="str">
        <f>IF($L$333="Y",'[1]Population Definitions'!$A$12,"...")</f>
        <v>Mine</v>
      </c>
      <c r="D379" s="132" t="s">
        <v>163</v>
      </c>
      <c r="E379" s="165"/>
      <c r="F379" s="1" t="str">
        <f>IF($L$333="Y","OR","...")</f>
        <v>OR</v>
      </c>
      <c r="G379" s="165">
        <v>3.2499999999999999E-4</v>
      </c>
      <c r="H379" s="165"/>
      <c r="I379" s="165"/>
      <c r="J379" s="165"/>
      <c r="K379" s="165"/>
      <c r="L379" s="165"/>
      <c r="M379" s="165"/>
      <c r="N379" s="165"/>
      <c r="O379" s="165">
        <v>3.2499999999999999E-4</v>
      </c>
      <c r="P379" s="165"/>
      <c r="Q379" s="165">
        <v>1.6249999999999999E-4</v>
      </c>
      <c r="R379" s="165"/>
      <c r="S379" s="165"/>
      <c r="T379" s="165"/>
      <c r="U379" s="165">
        <v>2.0000000000000002E-5</v>
      </c>
      <c r="V379" s="165"/>
      <c r="W379" s="165"/>
    </row>
    <row r="380" spans="1:23" x14ac:dyDescent="0.25">
      <c r="A380" s="1" t="str">
        <f>IF($M$333="Y",'[1]Population Definitions'!$A$4,"...")</f>
        <v>...</v>
      </c>
      <c r="B380" s="1" t="str">
        <f>IF($M$333="Y","---&gt;","...")</f>
        <v>...</v>
      </c>
      <c r="C380" s="1" t="str">
        <f>IF($M$333="Y",'[1]Population Definitions'!$A$13,"...")</f>
        <v>...</v>
      </c>
      <c r="E380" s="165"/>
      <c r="F380" s="1" t="str">
        <f>IF($M$333="Y","OR","...")</f>
        <v>...</v>
      </c>
      <c r="G380" s="165"/>
      <c r="H380" s="165"/>
      <c r="I380" s="165"/>
      <c r="J380" s="165"/>
      <c r="K380" s="165"/>
      <c r="L380" s="165"/>
      <c r="M380" s="165"/>
      <c r="N380" s="165"/>
      <c r="O380" s="165"/>
      <c r="P380" s="165"/>
      <c r="Q380" s="165"/>
      <c r="R380" s="165"/>
      <c r="S380" s="165"/>
      <c r="T380" s="165"/>
      <c r="U380" s="165"/>
      <c r="V380" s="165"/>
      <c r="W380" s="165"/>
    </row>
    <row r="381" spans="1:23" x14ac:dyDescent="0.25">
      <c r="A381" s="1" t="str">
        <f>IF($B$334="Y",'[1]Population Definitions'!$A$5,"...")</f>
        <v>...</v>
      </c>
      <c r="B381" s="1" t="str">
        <f>IF($B$334="Y","---&gt;","...")</f>
        <v>...</v>
      </c>
      <c r="C381" s="1" t="str">
        <f>IF($B$334="Y",'[1]Population Definitions'!$A$2,"...")</f>
        <v>...</v>
      </c>
      <c r="E381" s="165"/>
      <c r="F381" s="1" t="str">
        <f>IF($B$334="Y","OR","...")</f>
        <v>...</v>
      </c>
      <c r="G381" s="165"/>
      <c r="H381" s="165"/>
      <c r="I381" s="165"/>
      <c r="J381" s="165"/>
      <c r="K381" s="165"/>
      <c r="L381" s="165"/>
      <c r="M381" s="165"/>
      <c r="N381" s="165"/>
      <c r="O381" s="165"/>
      <c r="P381" s="165"/>
      <c r="Q381" s="165"/>
      <c r="R381" s="165"/>
      <c r="S381" s="165"/>
      <c r="T381" s="165"/>
      <c r="U381" s="165"/>
      <c r="V381" s="165"/>
      <c r="W381" s="165"/>
    </row>
    <row r="382" spans="1:23" x14ac:dyDescent="0.25">
      <c r="A382" s="1" t="str">
        <f>IF($C$334="Y",'[1]Population Definitions'!$A$5,"...")</f>
        <v>...</v>
      </c>
      <c r="B382" s="1" t="str">
        <f>IF($C$334="Y","---&gt;","...")</f>
        <v>...</v>
      </c>
      <c r="C382" s="1" t="str">
        <f>IF($C$334="Y",'[1]Population Definitions'!$A$3,"...")</f>
        <v>...</v>
      </c>
      <c r="E382" s="165"/>
      <c r="F382" s="1" t="str">
        <f>IF($C$334="Y","OR","...")</f>
        <v>...</v>
      </c>
      <c r="G382" s="165"/>
      <c r="H382" s="165"/>
      <c r="I382" s="165"/>
      <c r="J382" s="165"/>
      <c r="K382" s="165"/>
      <c r="L382" s="165"/>
      <c r="M382" s="165"/>
      <c r="N382" s="165"/>
      <c r="O382" s="165"/>
      <c r="P382" s="165"/>
      <c r="Q382" s="165"/>
      <c r="R382" s="165"/>
      <c r="S382" s="165"/>
      <c r="T382" s="165"/>
      <c r="U382" s="165"/>
      <c r="V382" s="165"/>
      <c r="W382" s="165"/>
    </row>
    <row r="383" spans="1:23" x14ac:dyDescent="0.25">
      <c r="A383" s="1" t="str">
        <f>IF($D$334="Y",'[1]Population Definitions'!$A$5,"...")</f>
        <v>...</v>
      </c>
      <c r="B383" s="1" t="str">
        <f>IF($D$334="Y","---&gt;","...")</f>
        <v>...</v>
      </c>
      <c r="C383" s="1" t="str">
        <f>IF($D$334="Y",'[1]Population Definitions'!$A$4,"...")</f>
        <v>...</v>
      </c>
      <c r="E383" s="165"/>
      <c r="F383" s="1" t="str">
        <f>IF($D$334="Y","OR","...")</f>
        <v>...</v>
      </c>
      <c r="G383" s="165"/>
      <c r="H383" s="165"/>
      <c r="I383" s="165"/>
      <c r="J383" s="165"/>
      <c r="K383" s="165"/>
      <c r="L383" s="165"/>
      <c r="M383" s="165"/>
      <c r="N383" s="165"/>
      <c r="O383" s="165"/>
      <c r="P383" s="165"/>
      <c r="Q383" s="165"/>
      <c r="R383" s="165"/>
      <c r="S383" s="165"/>
      <c r="T383" s="165"/>
      <c r="U383" s="165"/>
      <c r="V383" s="165"/>
      <c r="W383" s="165"/>
    </row>
    <row r="384" spans="1:23" x14ac:dyDescent="0.25">
      <c r="A384" s="1" t="str">
        <f>IF($E$334="Y",'[1]Population Definitions'!$A$5,"...")</f>
        <v>...</v>
      </c>
      <c r="B384" s="1" t="str">
        <f>IF($E$334="Y","---&gt;","...")</f>
        <v>...</v>
      </c>
      <c r="C384" s="1" t="str">
        <f>IF($E$334="Y",'[1]Population Definitions'!$A$5,"...")</f>
        <v>...</v>
      </c>
      <c r="E384" s="165"/>
      <c r="F384" s="1" t="str">
        <f>IF($E$334="Y","OR","...")</f>
        <v>...</v>
      </c>
      <c r="G384" s="165"/>
      <c r="H384" s="165"/>
      <c r="I384" s="165"/>
      <c r="J384" s="165"/>
      <c r="K384" s="165"/>
      <c r="L384" s="165"/>
      <c r="M384" s="165"/>
      <c r="N384" s="165"/>
      <c r="O384" s="165"/>
      <c r="P384" s="165"/>
      <c r="Q384" s="165"/>
      <c r="R384" s="165"/>
      <c r="S384" s="165"/>
      <c r="T384" s="165"/>
      <c r="U384" s="165"/>
      <c r="V384" s="165"/>
      <c r="W384" s="165"/>
    </row>
    <row r="385" spans="1:23" x14ac:dyDescent="0.25">
      <c r="A385" s="1" t="str">
        <f>IF($F$334="Y",'[1]Population Definitions'!$A$5,"...")</f>
        <v>...</v>
      </c>
      <c r="B385" s="1" t="str">
        <f>IF($F$334="Y","---&gt;","...")</f>
        <v>...</v>
      </c>
      <c r="C385" s="1" t="str">
        <f>IF($F$334="Y",'[1]Population Definitions'!$A$6,"...")</f>
        <v>...</v>
      </c>
      <c r="E385" s="165"/>
      <c r="F385" s="1" t="str">
        <f>IF($F$334="Y","OR","...")</f>
        <v>...</v>
      </c>
      <c r="G385" s="165"/>
      <c r="H385" s="165"/>
      <c r="I385" s="165"/>
      <c r="J385" s="165"/>
      <c r="K385" s="165"/>
      <c r="L385" s="165"/>
      <c r="M385" s="165"/>
      <c r="N385" s="165"/>
      <c r="O385" s="165"/>
      <c r="P385" s="165"/>
      <c r="Q385" s="165"/>
      <c r="R385" s="165"/>
      <c r="S385" s="165"/>
      <c r="T385" s="165"/>
      <c r="U385" s="165"/>
      <c r="V385" s="165"/>
      <c r="W385" s="165"/>
    </row>
    <row r="386" spans="1:23" x14ac:dyDescent="0.25">
      <c r="A386" s="1" t="str">
        <f>IF($G$334="Y",'[1]Population Definitions'!$A$5,"...")</f>
        <v>...</v>
      </c>
      <c r="B386" s="1" t="str">
        <f>IF($G$334="Y","---&gt;","...")</f>
        <v>...</v>
      </c>
      <c r="C386" s="1" t="str">
        <f>IF($G$334="Y",'[1]Population Definitions'!$A$7,"...")</f>
        <v>...</v>
      </c>
      <c r="E386" s="165"/>
      <c r="F386" s="1" t="str">
        <f>IF($G$334="Y","OR","...")</f>
        <v>...</v>
      </c>
      <c r="G386" s="165"/>
      <c r="H386" s="165"/>
      <c r="I386" s="165"/>
      <c r="J386" s="165"/>
      <c r="K386" s="165"/>
      <c r="L386" s="165"/>
      <c r="M386" s="165"/>
      <c r="N386" s="165"/>
      <c r="O386" s="165"/>
      <c r="P386" s="165"/>
      <c r="Q386" s="165"/>
      <c r="R386" s="165"/>
      <c r="S386" s="165"/>
      <c r="T386" s="165"/>
      <c r="U386" s="165"/>
      <c r="V386" s="165"/>
      <c r="W386" s="165"/>
    </row>
    <row r="387" spans="1:23" x14ac:dyDescent="0.25">
      <c r="A387" s="1" t="str">
        <f>IF($H$334="Y",'[1]Population Definitions'!$A$5,"...")</f>
        <v>...</v>
      </c>
      <c r="B387" s="1" t="str">
        <f>IF($H$334="Y","---&gt;","...")</f>
        <v>...</v>
      </c>
      <c r="C387" s="1" t="str">
        <f>IF($H$334="Y",'[1]Population Definitions'!$A$8,"...")</f>
        <v>...</v>
      </c>
      <c r="E387" s="165"/>
      <c r="F387" s="1" t="str">
        <f>IF($H$334="Y","OR","...")</f>
        <v>...</v>
      </c>
      <c r="G387" s="165"/>
      <c r="H387" s="165"/>
      <c r="I387" s="165"/>
      <c r="J387" s="165"/>
      <c r="K387" s="165"/>
      <c r="L387" s="165"/>
      <c r="M387" s="165"/>
      <c r="N387" s="165"/>
      <c r="O387" s="165"/>
      <c r="P387" s="165"/>
      <c r="Q387" s="165"/>
      <c r="R387" s="165"/>
      <c r="S387" s="165"/>
      <c r="T387" s="165"/>
      <c r="U387" s="165"/>
      <c r="V387" s="165"/>
      <c r="W387" s="165"/>
    </row>
    <row r="388" spans="1:23" x14ac:dyDescent="0.25">
      <c r="A388" s="1" t="str">
        <f>IF($I$334="Y",'[1]Population Definitions'!$A$5,"...")</f>
        <v>...</v>
      </c>
      <c r="B388" s="1" t="str">
        <f>IF($I$334="Y","---&gt;","...")</f>
        <v>...</v>
      </c>
      <c r="C388" s="1" t="str">
        <f>IF($I$334="Y",'[1]Population Definitions'!$A$9,"...")</f>
        <v>...</v>
      </c>
      <c r="E388" s="165"/>
      <c r="F388" s="1" t="str">
        <f>IF($I$334="Y","OR","...")</f>
        <v>...</v>
      </c>
      <c r="G388" s="165"/>
      <c r="H388" s="165"/>
      <c r="I388" s="165"/>
      <c r="J388" s="165"/>
      <c r="K388" s="165"/>
      <c r="L388" s="165"/>
      <c r="M388" s="165"/>
      <c r="N388" s="165"/>
      <c r="O388" s="165"/>
      <c r="P388" s="165"/>
      <c r="Q388" s="165"/>
      <c r="R388" s="165"/>
      <c r="S388" s="165"/>
      <c r="T388" s="165"/>
      <c r="U388" s="165"/>
      <c r="V388" s="165"/>
      <c r="W388" s="165"/>
    </row>
    <row r="389" spans="1:23" x14ac:dyDescent="0.25">
      <c r="A389" s="1" t="str">
        <f>IF($J$334="Y",'[1]Population Definitions'!$A$5,"...")</f>
        <v>...</v>
      </c>
      <c r="B389" s="1" t="str">
        <f>IF($J$334="Y","---&gt;","...")</f>
        <v>...</v>
      </c>
      <c r="C389" s="1" t="str">
        <f>IF($J$334="Y",'[1]Population Definitions'!$A$10,"...")</f>
        <v>...</v>
      </c>
      <c r="E389" s="165"/>
      <c r="F389" s="1" t="str">
        <f>IF($J$334="Y","OR","...")</f>
        <v>...</v>
      </c>
      <c r="G389" s="165"/>
      <c r="H389" s="165"/>
      <c r="I389" s="165"/>
      <c r="J389" s="165"/>
      <c r="K389" s="165"/>
      <c r="L389" s="165"/>
      <c r="M389" s="165"/>
      <c r="N389" s="165"/>
      <c r="O389" s="165"/>
      <c r="P389" s="165"/>
      <c r="Q389" s="165"/>
      <c r="R389" s="165"/>
      <c r="S389" s="165"/>
      <c r="T389" s="165"/>
      <c r="U389" s="165"/>
      <c r="V389" s="165"/>
      <c r="W389" s="165"/>
    </row>
    <row r="390" spans="1:23" x14ac:dyDescent="0.25">
      <c r="A390" s="1" t="str">
        <f>IF($K$334="Y",'[1]Population Definitions'!$A$5,"...")</f>
        <v>...</v>
      </c>
      <c r="B390" s="1" t="str">
        <f>IF($K$334="Y","---&gt;","...")</f>
        <v>...</v>
      </c>
      <c r="C390" s="1" t="str">
        <f>IF($K$334="Y",'[1]Population Definitions'!$A$11,"...")</f>
        <v>...</v>
      </c>
      <c r="E390" s="165"/>
      <c r="F390" s="1" t="str">
        <f>IF($K$334="Y","OR","...")</f>
        <v>...</v>
      </c>
      <c r="G390" s="165"/>
      <c r="H390" s="165"/>
      <c r="I390" s="165"/>
      <c r="J390" s="165"/>
      <c r="K390" s="165"/>
      <c r="L390" s="165"/>
      <c r="M390" s="165"/>
      <c r="N390" s="165"/>
      <c r="O390" s="165"/>
      <c r="P390" s="165"/>
      <c r="Q390" s="165"/>
      <c r="R390" s="165"/>
      <c r="S390" s="165"/>
      <c r="T390" s="165"/>
      <c r="U390" s="165"/>
      <c r="V390" s="165"/>
      <c r="W390" s="165"/>
    </row>
    <row r="391" spans="1:23" x14ac:dyDescent="0.25">
      <c r="A391" s="1" t="str">
        <f>IF($L$334="Y",'[1]Population Definitions'!$A$5,"...")</f>
        <v>...</v>
      </c>
      <c r="B391" s="1" t="str">
        <f>IF($L$334="Y","---&gt;","...")</f>
        <v>...</v>
      </c>
      <c r="C391" s="1" t="str">
        <f>IF($L$334="Y",'[1]Population Definitions'!$A$12,"...")</f>
        <v>...</v>
      </c>
      <c r="E391" s="165"/>
      <c r="F391" s="1" t="str">
        <f>IF($L$334="Y","OR","...")</f>
        <v>...</v>
      </c>
      <c r="G391" s="165"/>
      <c r="H391" s="165"/>
      <c r="I391" s="165"/>
      <c r="J391" s="165"/>
      <c r="K391" s="165"/>
      <c r="L391" s="165"/>
      <c r="M391" s="165"/>
      <c r="N391" s="165"/>
      <c r="O391" s="165"/>
      <c r="P391" s="165"/>
      <c r="Q391" s="165"/>
      <c r="R391" s="165"/>
      <c r="S391" s="165"/>
      <c r="T391" s="165"/>
      <c r="U391" s="165"/>
      <c r="V391" s="165"/>
      <c r="W391" s="165"/>
    </row>
    <row r="392" spans="1:23" x14ac:dyDescent="0.25">
      <c r="A392" s="1" t="str">
        <f>IF($M$334="Y",'[1]Population Definitions'!$A$5,"...")</f>
        <v>...</v>
      </c>
      <c r="B392" s="1" t="str">
        <f>IF($M$334="Y","---&gt;","...")</f>
        <v>...</v>
      </c>
      <c r="C392" s="1" t="str">
        <f>IF($M$334="Y",'[1]Population Definitions'!$A$13,"...")</f>
        <v>...</v>
      </c>
      <c r="E392" s="165"/>
      <c r="F392" s="1" t="str">
        <f>IF($M$334="Y","OR","...")</f>
        <v>...</v>
      </c>
      <c r="G392" s="165"/>
      <c r="H392" s="165"/>
      <c r="I392" s="165"/>
      <c r="J392" s="165"/>
      <c r="K392" s="165"/>
      <c r="L392" s="165"/>
      <c r="M392" s="165"/>
      <c r="N392" s="165"/>
      <c r="O392" s="165"/>
      <c r="P392" s="165"/>
      <c r="Q392" s="165"/>
      <c r="R392" s="165"/>
      <c r="S392" s="165"/>
      <c r="T392" s="165"/>
      <c r="U392" s="165"/>
      <c r="V392" s="165"/>
      <c r="W392" s="165"/>
    </row>
    <row r="393" spans="1:23" x14ac:dyDescent="0.25">
      <c r="A393" s="1" t="str">
        <f>IF($B$335="Y",'[1]Population Definitions'!$A$6,"...")</f>
        <v>...</v>
      </c>
      <c r="B393" s="1" t="str">
        <f>IF($B$335="Y","---&gt;","...")</f>
        <v>...</v>
      </c>
      <c r="C393" s="1" t="str">
        <f>IF($B$335="Y",'[1]Population Definitions'!$A$2,"...")</f>
        <v>...</v>
      </c>
      <c r="E393" s="165"/>
      <c r="F393" s="1" t="str">
        <f>IF($B$335="Y","OR","...")</f>
        <v>...</v>
      </c>
      <c r="G393" s="165"/>
      <c r="H393" s="165"/>
      <c r="I393" s="165"/>
      <c r="J393" s="165"/>
      <c r="K393" s="165"/>
      <c r="L393" s="165"/>
      <c r="M393" s="165"/>
      <c r="N393" s="165"/>
      <c r="O393" s="165"/>
      <c r="P393" s="165"/>
      <c r="Q393" s="165"/>
      <c r="R393" s="165"/>
      <c r="S393" s="165"/>
      <c r="T393" s="165"/>
      <c r="U393" s="165"/>
      <c r="V393" s="165"/>
      <c r="W393" s="165"/>
    </row>
    <row r="394" spans="1:23" x14ac:dyDescent="0.25">
      <c r="A394" s="1" t="str">
        <f>IF($C$335="Y",'[1]Population Definitions'!$A$6,"...")</f>
        <v>...</v>
      </c>
      <c r="B394" s="1" t="str">
        <f>IF($C$335="Y","---&gt;","...")</f>
        <v>...</v>
      </c>
      <c r="C394" s="1" t="str">
        <f>IF($C$335="Y",'[1]Population Definitions'!$A$3,"...")</f>
        <v>...</v>
      </c>
      <c r="E394" s="165"/>
      <c r="F394" s="1" t="str">
        <f>IF($C$335="Y","OR","...")</f>
        <v>...</v>
      </c>
      <c r="G394" s="165"/>
      <c r="H394" s="165"/>
      <c r="I394" s="165"/>
      <c r="J394" s="165"/>
      <c r="K394" s="165"/>
      <c r="L394" s="165"/>
      <c r="M394" s="165"/>
      <c r="N394" s="165"/>
      <c r="O394" s="165"/>
      <c r="P394" s="165"/>
      <c r="Q394" s="165"/>
      <c r="R394" s="165"/>
      <c r="S394" s="165"/>
      <c r="T394" s="165"/>
      <c r="U394" s="165"/>
      <c r="V394" s="165"/>
      <c r="W394" s="165"/>
    </row>
    <row r="395" spans="1:23" x14ac:dyDescent="0.25">
      <c r="A395" s="1" t="str">
        <f>IF($D$335="Y",'[1]Population Definitions'!$A$6,"...")</f>
        <v>...</v>
      </c>
      <c r="B395" s="1" t="str">
        <f>IF($D$335="Y","---&gt;","...")</f>
        <v>...</v>
      </c>
      <c r="C395" s="1" t="str">
        <f>IF($D$335="Y",'[1]Population Definitions'!$A$4,"...")</f>
        <v>...</v>
      </c>
      <c r="E395" s="165"/>
      <c r="F395" s="1" t="str">
        <f>IF($D$335="Y","OR","...")</f>
        <v>...</v>
      </c>
      <c r="G395" s="165"/>
      <c r="H395" s="165"/>
      <c r="I395" s="165"/>
      <c r="J395" s="165"/>
      <c r="K395" s="165"/>
      <c r="L395" s="165"/>
      <c r="M395" s="165"/>
      <c r="N395" s="165"/>
      <c r="O395" s="165"/>
      <c r="P395" s="165"/>
      <c r="Q395" s="165"/>
      <c r="R395" s="165"/>
      <c r="S395" s="165"/>
      <c r="T395" s="165"/>
      <c r="U395" s="165"/>
      <c r="V395" s="165"/>
      <c r="W395" s="165"/>
    </row>
    <row r="396" spans="1:23" x14ac:dyDescent="0.25">
      <c r="A396" s="1" t="str">
        <f>IF($E$335="Y",'[1]Population Definitions'!$A$6,"...")</f>
        <v>...</v>
      </c>
      <c r="B396" s="1" t="str">
        <f>IF($E$335="Y","---&gt;","...")</f>
        <v>...</v>
      </c>
      <c r="C396" s="1" t="str">
        <f>IF($E$335="Y",'[1]Population Definitions'!$A$5,"...")</f>
        <v>...</v>
      </c>
      <c r="E396" s="165"/>
      <c r="F396" s="1" t="str">
        <f>IF($E$335="Y","OR","...")</f>
        <v>...</v>
      </c>
      <c r="G396" s="165"/>
      <c r="H396" s="165"/>
      <c r="I396" s="165"/>
      <c r="J396" s="165"/>
      <c r="K396" s="165"/>
      <c r="L396" s="165"/>
      <c r="M396" s="165"/>
      <c r="N396" s="165"/>
      <c r="O396" s="165"/>
      <c r="P396" s="165"/>
      <c r="Q396" s="165"/>
      <c r="R396" s="165"/>
      <c r="S396" s="165"/>
      <c r="T396" s="165"/>
      <c r="U396" s="165"/>
      <c r="V396" s="165"/>
      <c r="W396" s="165"/>
    </row>
    <row r="397" spans="1:23" x14ac:dyDescent="0.25">
      <c r="A397" s="1" t="str">
        <f>IF($F$335="Y",'[1]Population Definitions'!$A$6,"...")</f>
        <v>...</v>
      </c>
      <c r="B397" s="1" t="str">
        <f>IF($F$335="Y","---&gt;","...")</f>
        <v>...</v>
      </c>
      <c r="C397" s="1" t="str">
        <f>IF($F$335="Y",'[1]Population Definitions'!$A$6,"...")</f>
        <v>...</v>
      </c>
      <c r="E397" s="165"/>
      <c r="F397" s="1" t="str">
        <f>IF($F$335="Y","OR","...")</f>
        <v>...</v>
      </c>
      <c r="G397" s="165"/>
      <c r="H397" s="165"/>
      <c r="I397" s="165"/>
      <c r="J397" s="165"/>
      <c r="K397" s="165"/>
      <c r="L397" s="165"/>
      <c r="M397" s="165"/>
      <c r="N397" s="165"/>
      <c r="O397" s="165"/>
      <c r="P397" s="165"/>
      <c r="Q397" s="165"/>
      <c r="R397" s="165"/>
      <c r="S397" s="165"/>
      <c r="T397" s="165"/>
      <c r="U397" s="165"/>
      <c r="V397" s="165"/>
      <c r="W397" s="165"/>
    </row>
    <row r="398" spans="1:23" x14ac:dyDescent="0.25">
      <c r="A398" s="1" t="str">
        <f>IF($G$335="Y",'[1]Population Definitions'!$A$6,"...")</f>
        <v>...</v>
      </c>
      <c r="B398" s="1" t="str">
        <f>IF($G$335="Y","---&gt;","...")</f>
        <v>...</v>
      </c>
      <c r="C398" s="1" t="str">
        <f>IF($G$335="Y",'[1]Population Definitions'!$A$7,"...")</f>
        <v>...</v>
      </c>
      <c r="E398" s="165"/>
      <c r="F398" s="1" t="str">
        <f>IF($G$335="Y","OR","...")</f>
        <v>...</v>
      </c>
      <c r="G398" s="165"/>
      <c r="H398" s="165"/>
      <c r="I398" s="165"/>
      <c r="J398" s="165"/>
      <c r="K398" s="165"/>
      <c r="L398" s="165"/>
      <c r="M398" s="165"/>
      <c r="N398" s="165"/>
      <c r="O398" s="165"/>
      <c r="P398" s="165"/>
      <c r="Q398" s="165"/>
      <c r="R398" s="165"/>
      <c r="S398" s="165"/>
      <c r="T398" s="165"/>
      <c r="U398" s="165"/>
      <c r="V398" s="165"/>
      <c r="W398" s="165"/>
    </row>
    <row r="399" spans="1:23" x14ac:dyDescent="0.25">
      <c r="A399" s="1" t="str">
        <f>IF($H$335="Y",'[1]Population Definitions'!$A$6,"...")</f>
        <v>...</v>
      </c>
      <c r="B399" s="1" t="str">
        <f>IF($H$335="Y","---&gt;","...")</f>
        <v>...</v>
      </c>
      <c r="C399" s="1" t="str">
        <f>IF($H$335="Y",'[1]Population Definitions'!$A$8,"...")</f>
        <v>...</v>
      </c>
      <c r="E399" s="165"/>
      <c r="F399" s="1" t="str">
        <f>IF($H$335="Y","OR","...")</f>
        <v>...</v>
      </c>
      <c r="G399" s="165"/>
      <c r="H399" s="165"/>
      <c r="I399" s="165"/>
      <c r="J399" s="165"/>
      <c r="K399" s="165"/>
      <c r="L399" s="165"/>
      <c r="M399" s="165"/>
      <c r="N399" s="165"/>
      <c r="O399" s="165"/>
      <c r="P399" s="165"/>
      <c r="Q399" s="165"/>
      <c r="R399" s="165"/>
      <c r="S399" s="165"/>
      <c r="T399" s="165"/>
      <c r="U399" s="165"/>
      <c r="V399" s="165"/>
      <c r="W399" s="165"/>
    </row>
    <row r="400" spans="1:23" x14ac:dyDescent="0.25">
      <c r="A400" s="1" t="str">
        <f>IF($I$335="Y",'[1]Population Definitions'!$A$6,"...")</f>
        <v>15-64 (HIV+)</v>
      </c>
      <c r="B400" s="1" t="str">
        <f>IF($I$335="Y","---&gt;","...")</f>
        <v>---&gt;</v>
      </c>
      <c r="C400" s="1" t="str">
        <f>IF($I$335="Y",'[1]Population Definitions'!$A$9,"...")</f>
        <v>Pris (HIV+)</v>
      </c>
      <c r="D400" s="132" t="s">
        <v>163</v>
      </c>
      <c r="E400" s="165"/>
      <c r="F400" s="1" t="str">
        <f>IF($I$335="Y","OR","...")</f>
        <v>OR</v>
      </c>
      <c r="G400" s="165">
        <v>5.1436072320663569E-4</v>
      </c>
      <c r="H400" s="165">
        <v>5.254258574274018E-4</v>
      </c>
      <c r="I400" s="165">
        <v>5.3856288562520742E-4</v>
      </c>
      <c r="J400" s="165">
        <v>5.5282396551509043E-4</v>
      </c>
      <c r="K400" s="165">
        <v>5.6972605718018615E-4</v>
      </c>
      <c r="L400" s="165">
        <v>5.8831085951064645E-4</v>
      </c>
      <c r="M400" s="165">
        <v>9.2673204390248841E-4</v>
      </c>
      <c r="N400" s="165">
        <v>1.055263793981853E-3</v>
      </c>
      <c r="O400" s="165">
        <v>9.8407372740078676E-4</v>
      </c>
      <c r="P400" s="165">
        <v>9.3850673787453499E-4</v>
      </c>
      <c r="Q400" s="165">
        <v>7.0799714159417468E-4</v>
      </c>
      <c r="R400" s="165">
        <v>6.7701807199162917E-4</v>
      </c>
      <c r="S400" s="165">
        <v>6.4873358669562218E-4</v>
      </c>
      <c r="T400" s="165">
        <v>5.6109858286107386E-4</v>
      </c>
      <c r="U400" s="165">
        <v>5.4139934693126369E-4</v>
      </c>
      <c r="V400" s="165"/>
      <c r="W400" s="165"/>
    </row>
    <row r="401" spans="1:23" x14ac:dyDescent="0.25">
      <c r="A401" s="1" t="str">
        <f>IF($J$335="Y",'[1]Population Definitions'!$A$6,"...")</f>
        <v>...</v>
      </c>
      <c r="B401" s="1" t="str">
        <f>IF($J$335="Y","---&gt;","...")</f>
        <v>...</v>
      </c>
      <c r="C401" s="1" t="str">
        <f>IF($J$335="Y",'[1]Population Definitions'!$A$10,"...")</f>
        <v>...</v>
      </c>
      <c r="E401" s="165"/>
      <c r="F401" s="1" t="str">
        <f>IF($J$335="Y","OR","...")</f>
        <v>...</v>
      </c>
      <c r="G401" s="165"/>
      <c r="H401" s="165"/>
      <c r="I401" s="165"/>
      <c r="J401" s="165"/>
      <c r="K401" s="165"/>
      <c r="L401" s="165"/>
      <c r="M401" s="165"/>
      <c r="N401" s="165"/>
      <c r="O401" s="165"/>
      <c r="P401" s="165"/>
      <c r="Q401" s="165"/>
      <c r="R401" s="165"/>
      <c r="S401" s="165"/>
      <c r="T401" s="165"/>
      <c r="U401" s="165"/>
      <c r="V401" s="165"/>
      <c r="W401" s="165"/>
    </row>
    <row r="402" spans="1:23" x14ac:dyDescent="0.25">
      <c r="A402" s="1" t="str">
        <f>IF($K$335="Y",'[1]Population Definitions'!$A$6,"...")</f>
        <v>15-64 (HIV+)</v>
      </c>
      <c r="B402" s="1" t="str">
        <f>IF($K$335="Y","---&gt;","...")</f>
        <v>---&gt;</v>
      </c>
      <c r="C402" s="1" t="str">
        <f>IF($K$335="Y",'[1]Population Definitions'!$A$11,"...")</f>
        <v>HCW (HIV+)</v>
      </c>
      <c r="D402" s="132" t="s">
        <v>163</v>
      </c>
      <c r="E402" s="165"/>
      <c r="F402" s="1" t="str">
        <f>IF($K$335="Y","OR","...")</f>
        <v>OR</v>
      </c>
      <c r="G402" s="165">
        <v>1E-4</v>
      </c>
      <c r="H402" s="165"/>
      <c r="I402" s="165"/>
      <c r="J402" s="165"/>
      <c r="K402" s="165"/>
      <c r="L402" s="165"/>
      <c r="M402" s="165"/>
      <c r="N402" s="165"/>
      <c r="O402" s="165"/>
      <c r="P402" s="165"/>
      <c r="Q402" s="165">
        <v>3.5E-4</v>
      </c>
      <c r="R402" s="165"/>
      <c r="S402" s="165"/>
      <c r="T402" s="165"/>
      <c r="U402" s="165"/>
      <c r="V402" s="165"/>
      <c r="W402" s="165">
        <v>1.4999999999999999E-4</v>
      </c>
    </row>
    <row r="403" spans="1:23" x14ac:dyDescent="0.25">
      <c r="A403" s="1" t="str">
        <f>IF($L$335="Y",'[1]Population Definitions'!$A$6,"...")</f>
        <v>...</v>
      </c>
      <c r="B403" s="1" t="str">
        <f>IF($L$335="Y","---&gt;","...")</f>
        <v>...</v>
      </c>
      <c r="C403" s="1" t="str">
        <f>IF($L$335="Y",'[1]Population Definitions'!$A$12,"...")</f>
        <v>...</v>
      </c>
      <c r="E403" s="165"/>
      <c r="F403" s="1" t="str">
        <f>IF($L$335="Y","OR","...")</f>
        <v>...</v>
      </c>
      <c r="G403" s="165"/>
      <c r="H403" s="165"/>
      <c r="I403" s="165"/>
      <c r="J403" s="165"/>
      <c r="K403" s="165"/>
      <c r="L403" s="165"/>
      <c r="M403" s="165"/>
      <c r="N403" s="165"/>
      <c r="O403" s="165"/>
      <c r="P403" s="165"/>
      <c r="Q403" s="165"/>
      <c r="R403" s="165"/>
      <c r="S403" s="165"/>
      <c r="T403" s="165"/>
      <c r="U403" s="165"/>
      <c r="V403" s="165"/>
      <c r="W403" s="165"/>
    </row>
    <row r="404" spans="1:23" x14ac:dyDescent="0.25">
      <c r="A404" s="1" t="str">
        <f>IF($M$335="Y",'[1]Population Definitions'!$A$6,"...")</f>
        <v>15-64 (HIV+)</v>
      </c>
      <c r="B404" s="1" t="str">
        <f>IF($M$335="Y","---&gt;","...")</f>
        <v>---&gt;</v>
      </c>
      <c r="C404" s="1" t="str">
        <f>IF($M$335="Y",'[1]Population Definitions'!$A$13,"...")</f>
        <v>Mine (HIV+)</v>
      </c>
      <c r="D404" s="132" t="s">
        <v>163</v>
      </c>
      <c r="E404" s="165"/>
      <c r="F404" s="1" t="str">
        <f>IF($M$335="Y","OR","...")</f>
        <v>OR</v>
      </c>
      <c r="G404" s="165">
        <v>0</v>
      </c>
      <c r="H404" s="165"/>
      <c r="I404" s="165"/>
      <c r="J404" s="165"/>
      <c r="K404" s="165"/>
      <c r="L404" s="165"/>
      <c r="M404" s="165"/>
      <c r="N404" s="165"/>
      <c r="O404" s="165"/>
      <c r="P404" s="165"/>
      <c r="Q404" s="165"/>
      <c r="R404" s="165"/>
      <c r="S404" s="165"/>
      <c r="T404" s="165"/>
      <c r="U404" s="165"/>
      <c r="V404" s="165"/>
      <c r="W404" s="165"/>
    </row>
    <row r="405" spans="1:23" x14ac:dyDescent="0.25">
      <c r="A405" s="1" t="str">
        <f>IF($B$336="Y",'[1]Population Definitions'!$A$7,"...")</f>
        <v>...</v>
      </c>
      <c r="B405" s="1" t="str">
        <f>IF($B$336="Y","---&gt;","...")</f>
        <v>...</v>
      </c>
      <c r="C405" s="1" t="str">
        <f>IF($B$336="Y",'[1]Population Definitions'!$A$2,"...")</f>
        <v>...</v>
      </c>
      <c r="E405" s="165"/>
      <c r="F405" s="1" t="str">
        <f>IF($B$336="Y","OR","...")</f>
        <v>...</v>
      </c>
      <c r="G405" s="165"/>
      <c r="H405" s="165"/>
      <c r="I405" s="165"/>
      <c r="J405" s="165"/>
      <c r="K405" s="165"/>
      <c r="L405" s="165"/>
      <c r="M405" s="165"/>
      <c r="N405" s="165"/>
      <c r="O405" s="165"/>
      <c r="P405" s="165"/>
      <c r="Q405" s="165"/>
      <c r="R405" s="165"/>
      <c r="S405" s="165"/>
      <c r="T405" s="165"/>
      <c r="U405" s="165"/>
      <c r="V405" s="165"/>
      <c r="W405" s="165"/>
    </row>
    <row r="406" spans="1:23" x14ac:dyDescent="0.25">
      <c r="A406" s="1" t="str">
        <f>IF($C$336="Y",'[1]Population Definitions'!$A$7,"...")</f>
        <v>...</v>
      </c>
      <c r="B406" s="1" t="str">
        <f>IF($C$336="Y","---&gt;","...")</f>
        <v>...</v>
      </c>
      <c r="C406" s="1" t="str">
        <f>IF($C$336="Y",'[1]Population Definitions'!$A$3,"...")</f>
        <v>...</v>
      </c>
      <c r="E406" s="165"/>
      <c r="F406" s="1" t="str">
        <f>IF($C$336="Y","OR","...")</f>
        <v>...</v>
      </c>
      <c r="G406" s="165"/>
      <c r="H406" s="165"/>
      <c r="I406" s="165"/>
      <c r="J406" s="165"/>
      <c r="K406" s="165"/>
      <c r="L406" s="165"/>
      <c r="M406" s="165"/>
      <c r="N406" s="165"/>
      <c r="O406" s="165"/>
      <c r="P406" s="165"/>
      <c r="Q406" s="165"/>
      <c r="R406" s="165"/>
      <c r="S406" s="165"/>
      <c r="T406" s="165"/>
      <c r="U406" s="165"/>
      <c r="V406" s="165"/>
      <c r="W406" s="165"/>
    </row>
    <row r="407" spans="1:23" x14ac:dyDescent="0.25">
      <c r="A407" s="1" t="str">
        <f>IF($D$336="Y",'[1]Population Definitions'!$A$7,"...")</f>
        <v>...</v>
      </c>
      <c r="B407" s="1" t="str">
        <f>IF($D$336="Y","---&gt;","...")</f>
        <v>...</v>
      </c>
      <c r="C407" s="1" t="str">
        <f>IF($D$336="Y",'[1]Population Definitions'!$A$4,"...")</f>
        <v>...</v>
      </c>
      <c r="E407" s="165"/>
      <c r="F407" s="1" t="str">
        <f>IF($D$336="Y","OR","...")</f>
        <v>...</v>
      </c>
      <c r="G407" s="165"/>
      <c r="H407" s="165"/>
      <c r="I407" s="165"/>
      <c r="J407" s="165"/>
      <c r="K407" s="165"/>
      <c r="L407" s="165"/>
      <c r="M407" s="165"/>
      <c r="N407" s="165"/>
      <c r="O407" s="165"/>
      <c r="P407" s="165"/>
      <c r="Q407" s="165"/>
      <c r="R407" s="165"/>
      <c r="S407" s="165"/>
      <c r="T407" s="165"/>
      <c r="U407" s="165"/>
      <c r="V407" s="165"/>
      <c r="W407" s="165"/>
    </row>
    <row r="408" spans="1:23" x14ac:dyDescent="0.25">
      <c r="A408" s="1" t="str">
        <f>IF($E$336="Y",'[1]Population Definitions'!$A$7,"...")</f>
        <v>...</v>
      </c>
      <c r="B408" s="1" t="str">
        <f>IF($E$336="Y","---&gt;","...")</f>
        <v>...</v>
      </c>
      <c r="C408" s="1" t="str">
        <f>IF($E$336="Y",'[1]Population Definitions'!$A$5,"...")</f>
        <v>...</v>
      </c>
      <c r="E408" s="165"/>
      <c r="F408" s="1" t="str">
        <f>IF($E$336="Y","OR","...")</f>
        <v>...</v>
      </c>
      <c r="G408" s="165"/>
      <c r="H408" s="165"/>
      <c r="I408" s="165"/>
      <c r="J408" s="165"/>
      <c r="K408" s="165"/>
      <c r="L408" s="165"/>
      <c r="M408" s="165"/>
      <c r="N408" s="165"/>
      <c r="O408" s="165"/>
      <c r="P408" s="165"/>
      <c r="Q408" s="165"/>
      <c r="R408" s="165"/>
      <c r="S408" s="165"/>
      <c r="T408" s="165"/>
      <c r="U408" s="165"/>
      <c r="V408" s="165"/>
      <c r="W408" s="165"/>
    </row>
    <row r="409" spans="1:23" x14ac:dyDescent="0.25">
      <c r="A409" s="1" t="str">
        <f>IF($F$336="Y",'[1]Population Definitions'!$A$7,"...")</f>
        <v>...</v>
      </c>
      <c r="B409" s="1" t="str">
        <f>IF($F$336="Y","---&gt;","...")</f>
        <v>...</v>
      </c>
      <c r="C409" s="1" t="str">
        <f>IF($F$336="Y",'[1]Population Definitions'!$A$6,"...")</f>
        <v>...</v>
      </c>
      <c r="E409" s="165"/>
      <c r="F409" s="1" t="str">
        <f>IF($F$336="Y","OR","...")</f>
        <v>...</v>
      </c>
      <c r="G409" s="165"/>
      <c r="H409" s="165"/>
      <c r="I409" s="165"/>
      <c r="J409" s="165"/>
      <c r="K409" s="165"/>
      <c r="L409" s="165"/>
      <c r="M409" s="165"/>
      <c r="N409" s="165"/>
      <c r="O409" s="165"/>
      <c r="P409" s="165"/>
      <c r="Q409" s="165"/>
      <c r="R409" s="165"/>
      <c r="S409" s="165"/>
      <c r="T409" s="165"/>
      <c r="U409" s="165"/>
      <c r="V409" s="165"/>
      <c r="W409" s="165"/>
    </row>
    <row r="410" spans="1:23" x14ac:dyDescent="0.25">
      <c r="A410" s="1" t="str">
        <f>IF($G$336="Y",'[1]Population Definitions'!$A$7,"...")</f>
        <v>...</v>
      </c>
      <c r="B410" s="1" t="str">
        <f>IF($G$336="Y","---&gt;","...")</f>
        <v>...</v>
      </c>
      <c r="C410" s="1" t="str">
        <f>IF($G$336="Y",'[1]Population Definitions'!$A$7,"...")</f>
        <v>...</v>
      </c>
      <c r="E410" s="165"/>
      <c r="F410" s="1" t="str">
        <f>IF($G$336="Y","OR","...")</f>
        <v>...</v>
      </c>
      <c r="G410" s="165"/>
      <c r="H410" s="165"/>
      <c r="I410" s="165"/>
      <c r="J410" s="165"/>
      <c r="K410" s="165"/>
      <c r="L410" s="165"/>
      <c r="M410" s="165"/>
      <c r="N410" s="165"/>
      <c r="O410" s="165"/>
      <c r="P410" s="165"/>
      <c r="Q410" s="165"/>
      <c r="R410" s="165"/>
      <c r="S410" s="165"/>
      <c r="T410" s="165"/>
      <c r="U410" s="165"/>
      <c r="V410" s="165"/>
      <c r="W410" s="165"/>
    </row>
    <row r="411" spans="1:23" x14ac:dyDescent="0.25">
      <c r="A411" s="1" t="str">
        <f>IF($H$336="Y",'[1]Population Definitions'!$A$7,"...")</f>
        <v>...</v>
      </c>
      <c r="B411" s="1" t="str">
        <f>IF($H$336="Y","---&gt;","...")</f>
        <v>...</v>
      </c>
      <c r="C411" s="1" t="str">
        <f>IF($H$336="Y",'[1]Population Definitions'!$A$8,"...")</f>
        <v>...</v>
      </c>
      <c r="E411" s="165"/>
      <c r="F411" s="1" t="str">
        <f>IF($H$336="Y","OR","...")</f>
        <v>...</v>
      </c>
      <c r="G411" s="165"/>
      <c r="H411" s="165"/>
      <c r="I411" s="165"/>
      <c r="J411" s="165"/>
      <c r="K411" s="165"/>
      <c r="L411" s="165"/>
      <c r="M411" s="165"/>
      <c r="N411" s="165"/>
      <c r="O411" s="165"/>
      <c r="P411" s="165"/>
      <c r="Q411" s="165"/>
      <c r="R411" s="165"/>
      <c r="S411" s="165"/>
      <c r="T411" s="165"/>
      <c r="U411" s="165"/>
      <c r="V411" s="165"/>
      <c r="W411" s="165"/>
    </row>
    <row r="412" spans="1:23" x14ac:dyDescent="0.25">
      <c r="A412" s="1" t="str">
        <f>IF($I$336="Y",'[1]Population Definitions'!$A$7,"...")</f>
        <v>...</v>
      </c>
      <c r="B412" s="1" t="str">
        <f>IF($I$336="Y","---&gt;","...")</f>
        <v>...</v>
      </c>
      <c r="C412" s="1" t="str">
        <f>IF($I$336="Y",'[1]Population Definitions'!$A$9,"...")</f>
        <v>...</v>
      </c>
      <c r="E412" s="165"/>
      <c r="F412" s="1" t="str">
        <f>IF($I$336="Y","OR","...")</f>
        <v>...</v>
      </c>
      <c r="G412" s="165"/>
      <c r="H412" s="165"/>
      <c r="I412" s="165"/>
      <c r="J412" s="165"/>
      <c r="K412" s="165"/>
      <c r="L412" s="165"/>
      <c r="M412" s="165"/>
      <c r="N412" s="165"/>
      <c r="O412" s="165"/>
      <c r="P412" s="165"/>
      <c r="Q412" s="165"/>
      <c r="R412" s="165"/>
      <c r="S412" s="165"/>
      <c r="T412" s="165"/>
      <c r="U412" s="165"/>
      <c r="V412" s="165"/>
      <c r="W412" s="165"/>
    </row>
    <row r="413" spans="1:23" x14ac:dyDescent="0.25">
      <c r="A413" s="1" t="str">
        <f>IF($J$336="Y",'[1]Population Definitions'!$A$7,"...")</f>
        <v>...</v>
      </c>
      <c r="B413" s="1" t="str">
        <f>IF($J$336="Y","---&gt;","...")</f>
        <v>...</v>
      </c>
      <c r="C413" s="1" t="str">
        <f>IF($J$336="Y",'[1]Population Definitions'!$A$10,"...")</f>
        <v>...</v>
      </c>
      <c r="E413" s="165"/>
      <c r="F413" s="1" t="str">
        <f>IF($J$336="Y","OR","...")</f>
        <v>...</v>
      </c>
      <c r="G413" s="165"/>
      <c r="H413" s="165"/>
      <c r="I413" s="165"/>
      <c r="J413" s="165"/>
      <c r="K413" s="165"/>
      <c r="L413" s="165"/>
      <c r="M413" s="165"/>
      <c r="N413" s="165"/>
      <c r="O413" s="165"/>
      <c r="P413" s="165"/>
      <c r="Q413" s="165"/>
      <c r="R413" s="165"/>
      <c r="S413" s="165"/>
      <c r="T413" s="165"/>
      <c r="U413" s="165"/>
      <c r="V413" s="165"/>
      <c r="W413" s="165"/>
    </row>
    <row r="414" spans="1:23" x14ac:dyDescent="0.25">
      <c r="A414" s="1" t="str">
        <f>IF($K$336="Y",'[1]Population Definitions'!$A$7,"...")</f>
        <v>...</v>
      </c>
      <c r="B414" s="1" t="str">
        <f>IF($K$336="Y","---&gt;","...")</f>
        <v>...</v>
      </c>
      <c r="C414" s="1" t="str">
        <f>IF($K$336="Y",'[1]Population Definitions'!$A$11,"...")</f>
        <v>...</v>
      </c>
      <c r="E414" s="165"/>
      <c r="F414" s="1" t="str">
        <f>IF($K$336="Y","OR","...")</f>
        <v>...</v>
      </c>
      <c r="G414" s="165"/>
      <c r="H414" s="165"/>
      <c r="I414" s="165"/>
      <c r="J414" s="165"/>
      <c r="K414" s="165"/>
      <c r="L414" s="165"/>
      <c r="M414" s="165"/>
      <c r="N414" s="165"/>
      <c r="O414" s="165"/>
      <c r="P414" s="165"/>
      <c r="Q414" s="165"/>
      <c r="R414" s="165"/>
      <c r="S414" s="165"/>
      <c r="T414" s="165"/>
      <c r="U414" s="165"/>
      <c r="V414" s="165"/>
      <c r="W414" s="165"/>
    </row>
    <row r="415" spans="1:23" x14ac:dyDescent="0.25">
      <c r="A415" s="1" t="str">
        <f>IF($L$336="Y",'[1]Population Definitions'!$A$7,"...")</f>
        <v>...</v>
      </c>
      <c r="B415" s="1" t="str">
        <f>IF($L$336="Y","---&gt;","...")</f>
        <v>...</v>
      </c>
      <c r="C415" s="1" t="str">
        <f>IF($L$336="Y",'[1]Population Definitions'!$A$12,"...")</f>
        <v>...</v>
      </c>
      <c r="E415" s="165"/>
      <c r="F415" s="1" t="str">
        <f>IF($L$336="Y","OR","...")</f>
        <v>...</v>
      </c>
      <c r="G415" s="165"/>
      <c r="H415" s="165"/>
      <c r="I415" s="165"/>
      <c r="J415" s="165"/>
      <c r="K415" s="165"/>
      <c r="L415" s="165"/>
      <c r="M415" s="165"/>
      <c r="N415" s="165"/>
      <c r="O415" s="165"/>
      <c r="P415" s="165"/>
      <c r="Q415" s="165"/>
      <c r="R415" s="165"/>
      <c r="S415" s="165"/>
      <c r="T415" s="165"/>
      <c r="U415" s="165"/>
      <c r="V415" s="165"/>
      <c r="W415" s="165"/>
    </row>
    <row r="416" spans="1:23" x14ac:dyDescent="0.25">
      <c r="A416" s="1" t="str">
        <f>IF($M$336="Y",'[1]Population Definitions'!$A$7,"...")</f>
        <v>...</v>
      </c>
      <c r="B416" s="1" t="str">
        <f>IF($M$336="Y","---&gt;","...")</f>
        <v>...</v>
      </c>
      <c r="C416" s="1" t="str">
        <f>IF($M$336="Y",'[1]Population Definitions'!$A$13,"...")</f>
        <v>...</v>
      </c>
      <c r="E416" s="165"/>
      <c r="F416" s="1" t="str">
        <f>IF($M$336="Y","OR","...")</f>
        <v>...</v>
      </c>
      <c r="G416" s="165"/>
      <c r="H416" s="165"/>
      <c r="I416" s="165"/>
      <c r="J416" s="165"/>
      <c r="K416" s="165"/>
      <c r="L416" s="165"/>
      <c r="M416" s="165"/>
      <c r="N416" s="165"/>
      <c r="O416" s="165"/>
      <c r="P416" s="165"/>
      <c r="Q416" s="165"/>
      <c r="R416" s="165"/>
      <c r="S416" s="165"/>
      <c r="T416" s="165"/>
      <c r="U416" s="165"/>
      <c r="V416" s="165"/>
      <c r="W416" s="165"/>
    </row>
    <row r="417" spans="1:23" x14ac:dyDescent="0.25">
      <c r="A417" s="1" t="str">
        <f>IF($B$337="Y",'[1]Population Definitions'!$A$8,"...")</f>
        <v>...</v>
      </c>
      <c r="B417" s="1" t="str">
        <f>IF($B$337="Y","---&gt;","...")</f>
        <v>...</v>
      </c>
      <c r="C417" s="1" t="str">
        <f>IF($B$337="Y",'[1]Population Definitions'!$A$2,"...")</f>
        <v>...</v>
      </c>
      <c r="E417" s="165"/>
      <c r="F417" s="1" t="str">
        <f>IF($B$337="Y","OR","...")</f>
        <v>...</v>
      </c>
      <c r="G417" s="165"/>
      <c r="H417" s="165"/>
      <c r="I417" s="165"/>
      <c r="J417" s="165"/>
      <c r="K417" s="165"/>
      <c r="L417" s="165"/>
      <c r="M417" s="165"/>
      <c r="N417" s="165"/>
      <c r="O417" s="165"/>
      <c r="P417" s="165"/>
      <c r="Q417" s="165"/>
      <c r="R417" s="165"/>
      <c r="S417" s="165"/>
      <c r="T417" s="165"/>
      <c r="U417" s="165"/>
      <c r="V417" s="165"/>
      <c r="W417" s="165"/>
    </row>
    <row r="418" spans="1:23" x14ac:dyDescent="0.25">
      <c r="A418" s="1" t="str">
        <f>IF($C$337="Y",'[1]Population Definitions'!$A$8,"...")</f>
        <v>...</v>
      </c>
      <c r="B418" s="1" t="str">
        <f>IF($C$337="Y","---&gt;","...")</f>
        <v>...</v>
      </c>
      <c r="C418" s="1" t="str">
        <f>IF($C$337="Y",'[1]Population Definitions'!$A$3,"...")</f>
        <v>...</v>
      </c>
      <c r="E418" s="165"/>
      <c r="F418" s="1" t="str">
        <f>IF($C$337="Y","OR","...")</f>
        <v>...</v>
      </c>
      <c r="G418" s="165"/>
      <c r="H418" s="165"/>
      <c r="I418" s="165"/>
      <c r="J418" s="165"/>
      <c r="K418" s="165"/>
      <c r="L418" s="165"/>
      <c r="M418" s="165"/>
      <c r="N418" s="165"/>
      <c r="O418" s="165"/>
      <c r="P418" s="165"/>
      <c r="Q418" s="165"/>
      <c r="R418" s="165"/>
      <c r="S418" s="165"/>
      <c r="T418" s="165"/>
      <c r="U418" s="165"/>
      <c r="V418" s="165"/>
      <c r="W418" s="165"/>
    </row>
    <row r="419" spans="1:23" x14ac:dyDescent="0.25">
      <c r="A419" s="1" t="str">
        <f>IF($D$337="Y",'[1]Population Definitions'!$A$8,"...")</f>
        <v>Pris</v>
      </c>
      <c r="B419" s="1" t="str">
        <f>IF($D$337="Y","---&gt;","...")</f>
        <v>---&gt;</v>
      </c>
      <c r="C419" s="1" t="str">
        <f>IF($D$337="Y",'[1]Population Definitions'!$A$4,"...")</f>
        <v>15-64</v>
      </c>
      <c r="D419" s="132" t="s">
        <v>163</v>
      </c>
      <c r="E419" s="165"/>
      <c r="F419" s="1" t="str">
        <f>IF($D$337="Y","OR","...")</f>
        <v>OR</v>
      </c>
      <c r="G419" s="165">
        <v>8.834303521797926E-2</v>
      </c>
      <c r="H419" s="165">
        <v>8.6643739739763817E-2</v>
      </c>
      <c r="I419" s="165">
        <v>8.5008583097137394E-2</v>
      </c>
      <c r="J419" s="165">
        <v>8.343400123184723E-2</v>
      </c>
      <c r="K419" s="165">
        <v>8.1916689346271374E-2</v>
      </c>
      <c r="L419" s="165">
        <v>8.0453578750201857E-2</v>
      </c>
      <c r="M419" s="165">
        <v>7.9041816145319924E-2</v>
      </c>
      <c r="N419" s="165">
        <v>7.7678745053098963E-2</v>
      </c>
      <c r="O419" s="165">
        <v>7.4405109775470726E-2</v>
      </c>
      <c r="P419" s="165">
        <v>6.7338442666529982E-2</v>
      </c>
      <c r="Q419" s="165">
        <v>6.4721181243661136E-2</v>
      </c>
      <c r="R419" s="165">
        <v>6.2299759672447087E-2</v>
      </c>
      <c r="S419" s="165">
        <v>6.0052989728656747E-2</v>
      </c>
      <c r="T419" s="165">
        <v>5.7962633311986513E-2</v>
      </c>
      <c r="U419" s="165">
        <v>5.6012906269811057E-2</v>
      </c>
      <c r="V419" s="165">
        <v>5.4190079103271227E-2</v>
      </c>
      <c r="W419" s="165"/>
    </row>
    <row r="420" spans="1:23" x14ac:dyDescent="0.25">
      <c r="A420" s="1" t="str">
        <f>IF($E$337="Y",'[1]Population Definitions'!$A$8,"...")</f>
        <v>...</v>
      </c>
      <c r="B420" s="1" t="str">
        <f>IF($E$337="Y","---&gt;","...")</f>
        <v>...</v>
      </c>
      <c r="C420" s="1" t="str">
        <f>IF($E$337="Y",'[1]Population Definitions'!$A$5,"...")</f>
        <v>...</v>
      </c>
      <c r="E420" s="165"/>
      <c r="F420" s="1" t="str">
        <f>IF($E$337="Y","OR","...")</f>
        <v>...</v>
      </c>
      <c r="G420" s="165"/>
      <c r="H420" s="165"/>
      <c r="I420" s="165"/>
      <c r="J420" s="165"/>
      <c r="K420" s="165"/>
      <c r="L420" s="165"/>
      <c r="M420" s="165"/>
      <c r="N420" s="165"/>
      <c r="O420" s="165"/>
      <c r="P420" s="165"/>
      <c r="Q420" s="165"/>
      <c r="R420" s="165"/>
      <c r="S420" s="165"/>
      <c r="T420" s="165"/>
      <c r="U420" s="165"/>
      <c r="V420" s="165"/>
      <c r="W420" s="165"/>
    </row>
    <row r="421" spans="1:23" x14ac:dyDescent="0.25">
      <c r="A421" s="1" t="str">
        <f>IF($F$337="Y",'[1]Population Definitions'!$A$8,"...")</f>
        <v>...</v>
      </c>
      <c r="B421" s="1" t="str">
        <f>IF($F$337="Y","---&gt;","...")</f>
        <v>...</v>
      </c>
      <c r="C421" s="1" t="str">
        <f>IF($F$337="Y",'[1]Population Definitions'!$A$6,"...")</f>
        <v>...</v>
      </c>
      <c r="E421" s="165"/>
      <c r="F421" s="1" t="str">
        <f>IF($F$337="Y","OR","...")</f>
        <v>...</v>
      </c>
      <c r="G421" s="165"/>
      <c r="H421" s="165"/>
      <c r="I421" s="165"/>
      <c r="J421" s="165"/>
      <c r="K421" s="165"/>
      <c r="L421" s="165"/>
      <c r="M421" s="165"/>
      <c r="N421" s="165"/>
      <c r="O421" s="165"/>
      <c r="P421" s="165"/>
      <c r="Q421" s="165"/>
      <c r="R421" s="165"/>
      <c r="S421" s="165"/>
      <c r="T421" s="165"/>
      <c r="U421" s="165"/>
      <c r="V421" s="165"/>
      <c r="W421" s="165"/>
    </row>
    <row r="422" spans="1:23" x14ac:dyDescent="0.25">
      <c r="A422" s="1" t="str">
        <f>IF($G$337="Y",'[1]Population Definitions'!$A$8,"...")</f>
        <v>...</v>
      </c>
      <c r="B422" s="1" t="str">
        <f>IF($G$337="Y","---&gt;","...")</f>
        <v>...</v>
      </c>
      <c r="C422" s="1" t="str">
        <f>IF($G$337="Y",'[1]Population Definitions'!$A$7,"...")</f>
        <v>...</v>
      </c>
      <c r="E422" s="165"/>
      <c r="F422" s="1" t="str">
        <f>IF($G$337="Y","OR","...")</f>
        <v>...</v>
      </c>
      <c r="G422" s="165"/>
      <c r="H422" s="165"/>
      <c r="I422" s="165"/>
      <c r="J422" s="165"/>
      <c r="K422" s="165"/>
      <c r="L422" s="165"/>
      <c r="M422" s="165"/>
      <c r="N422" s="165"/>
      <c r="O422" s="165"/>
      <c r="P422" s="165"/>
      <c r="Q422" s="165"/>
      <c r="R422" s="165"/>
      <c r="S422" s="165"/>
      <c r="T422" s="165"/>
      <c r="U422" s="165"/>
      <c r="V422" s="165"/>
      <c r="W422" s="165"/>
    </row>
    <row r="423" spans="1:23" x14ac:dyDescent="0.25">
      <c r="A423" s="1" t="str">
        <f>IF($H$337="Y",'[1]Population Definitions'!$A$8,"...")</f>
        <v>...</v>
      </c>
      <c r="B423" s="1" t="str">
        <f>IF($H$337="Y","---&gt;","...")</f>
        <v>...</v>
      </c>
      <c r="C423" s="1" t="str">
        <f>IF($H$337="Y",'[1]Population Definitions'!$A$8,"...")</f>
        <v>...</v>
      </c>
      <c r="E423" s="165"/>
      <c r="F423" s="1" t="str">
        <f>IF($H$337="Y","OR","...")</f>
        <v>...</v>
      </c>
      <c r="G423" s="165"/>
      <c r="H423" s="165"/>
      <c r="I423" s="165"/>
      <c r="J423" s="165"/>
      <c r="K423" s="165"/>
      <c r="L423" s="165"/>
      <c r="M423" s="165"/>
      <c r="N423" s="165"/>
      <c r="O423" s="165"/>
      <c r="P423" s="165"/>
      <c r="Q423" s="165"/>
      <c r="R423" s="165"/>
      <c r="S423" s="165"/>
      <c r="T423" s="165"/>
      <c r="U423" s="165"/>
      <c r="V423" s="165"/>
      <c r="W423" s="165"/>
    </row>
    <row r="424" spans="1:23" x14ac:dyDescent="0.25">
      <c r="A424" s="1" t="str">
        <f>IF($I$337="Y",'[1]Population Definitions'!$A$8,"...")</f>
        <v>...</v>
      </c>
      <c r="B424" s="1" t="str">
        <f>IF($I$337="Y","---&gt;","...")</f>
        <v>...</v>
      </c>
      <c r="C424" s="1" t="str">
        <f>IF($I$337="Y",'[1]Population Definitions'!$A$9,"...")</f>
        <v>...</v>
      </c>
      <c r="E424" s="165"/>
      <c r="F424" s="1" t="str">
        <f>IF($I$337="Y","OR","...")</f>
        <v>...</v>
      </c>
      <c r="G424" s="165"/>
      <c r="H424" s="165"/>
      <c r="I424" s="165"/>
      <c r="J424" s="165"/>
      <c r="K424" s="165"/>
      <c r="L424" s="165"/>
      <c r="M424" s="165"/>
      <c r="N424" s="165"/>
      <c r="O424" s="165"/>
      <c r="P424" s="165"/>
      <c r="Q424" s="165"/>
      <c r="R424" s="165"/>
      <c r="S424" s="165"/>
      <c r="T424" s="165"/>
      <c r="U424" s="165"/>
      <c r="V424" s="165"/>
      <c r="W424" s="165"/>
    </row>
    <row r="425" spans="1:23" x14ac:dyDescent="0.25">
      <c r="A425" s="1" t="str">
        <f>IF($J$337="Y",'[1]Population Definitions'!$A$8,"...")</f>
        <v>...</v>
      </c>
      <c r="B425" s="1" t="str">
        <f>IF($J$337="Y","---&gt;","...")</f>
        <v>...</v>
      </c>
      <c r="C425" s="1" t="str">
        <f>IF($J$337="Y",'[1]Population Definitions'!$A$10,"...")</f>
        <v>...</v>
      </c>
      <c r="E425" s="165"/>
      <c r="F425" s="1" t="str">
        <f>IF($J$337="Y","OR","...")</f>
        <v>...</v>
      </c>
      <c r="G425" s="165"/>
      <c r="H425" s="165"/>
      <c r="I425" s="165"/>
      <c r="J425" s="165"/>
      <c r="K425" s="165"/>
      <c r="L425" s="165"/>
      <c r="M425" s="165"/>
      <c r="N425" s="165"/>
      <c r="O425" s="165"/>
      <c r="P425" s="165"/>
      <c r="Q425" s="165"/>
      <c r="R425" s="165"/>
      <c r="S425" s="165"/>
      <c r="T425" s="165"/>
      <c r="U425" s="165"/>
      <c r="V425" s="165"/>
      <c r="W425" s="165"/>
    </row>
    <row r="426" spans="1:23" x14ac:dyDescent="0.25">
      <c r="A426" s="1" t="str">
        <f>IF($K$337="Y",'[1]Population Definitions'!$A$8,"...")</f>
        <v>...</v>
      </c>
      <c r="B426" s="1" t="str">
        <f>IF($K$337="Y","---&gt;","...")</f>
        <v>...</v>
      </c>
      <c r="C426" s="1" t="str">
        <f>IF($K$337="Y",'[1]Population Definitions'!$A$11,"...")</f>
        <v>...</v>
      </c>
      <c r="E426" s="165"/>
      <c r="F426" s="1" t="str">
        <f>IF($K$337="Y","OR","...")</f>
        <v>...</v>
      </c>
      <c r="G426" s="165"/>
      <c r="H426" s="165"/>
      <c r="I426" s="165"/>
      <c r="J426" s="165"/>
      <c r="K426" s="165"/>
      <c r="L426" s="165"/>
      <c r="M426" s="165"/>
      <c r="N426" s="165"/>
      <c r="O426" s="165"/>
      <c r="P426" s="165"/>
      <c r="Q426" s="165"/>
      <c r="R426" s="165"/>
      <c r="S426" s="165"/>
      <c r="T426" s="165"/>
      <c r="U426" s="165"/>
      <c r="V426" s="165"/>
      <c r="W426" s="165"/>
    </row>
    <row r="427" spans="1:23" x14ac:dyDescent="0.25">
      <c r="A427" s="1" t="str">
        <f>IF($L$337="Y",'[1]Population Definitions'!$A$8,"...")</f>
        <v>...</v>
      </c>
      <c r="B427" s="1" t="str">
        <f>IF($L$337="Y","---&gt;","...")</f>
        <v>...</v>
      </c>
      <c r="C427" s="1" t="str">
        <f>IF($L$337="Y",'[1]Population Definitions'!$A$12,"...")</f>
        <v>...</v>
      </c>
      <c r="E427" s="165"/>
      <c r="F427" s="1" t="str">
        <f>IF($L$337="Y","OR","...")</f>
        <v>...</v>
      </c>
      <c r="G427" s="165"/>
      <c r="H427" s="165"/>
      <c r="I427" s="165"/>
      <c r="J427" s="165"/>
      <c r="K427" s="165"/>
      <c r="L427" s="165"/>
      <c r="M427" s="165"/>
      <c r="N427" s="165"/>
      <c r="O427" s="165"/>
      <c r="P427" s="165"/>
      <c r="Q427" s="165"/>
      <c r="R427" s="165"/>
      <c r="S427" s="165"/>
      <c r="T427" s="165"/>
      <c r="U427" s="165"/>
      <c r="V427" s="165"/>
      <c r="W427" s="165"/>
    </row>
    <row r="428" spans="1:23" x14ac:dyDescent="0.25">
      <c r="A428" s="1" t="str">
        <f>IF($M$337="Y",'[1]Population Definitions'!$A$8,"...")</f>
        <v>...</v>
      </c>
      <c r="B428" s="1" t="str">
        <f>IF($M$337="Y","---&gt;","...")</f>
        <v>...</v>
      </c>
      <c r="C428" s="1" t="str">
        <f>IF($M$337="Y",'[1]Population Definitions'!$A$13,"...")</f>
        <v>...</v>
      </c>
      <c r="E428" s="165"/>
      <c r="F428" s="1" t="str">
        <f>IF($M$337="Y","OR","...")</f>
        <v>...</v>
      </c>
      <c r="G428" s="165"/>
      <c r="H428" s="165"/>
      <c r="I428" s="165"/>
      <c r="J428" s="165"/>
      <c r="K428" s="165"/>
      <c r="L428" s="165"/>
      <c r="M428" s="165"/>
      <c r="N428" s="165"/>
      <c r="O428" s="165"/>
      <c r="P428" s="165"/>
      <c r="Q428" s="165"/>
      <c r="R428" s="165"/>
      <c r="S428" s="165"/>
      <c r="T428" s="165"/>
      <c r="U428" s="165"/>
      <c r="V428" s="165"/>
      <c r="W428" s="165"/>
    </row>
    <row r="429" spans="1:23" x14ac:dyDescent="0.25">
      <c r="A429" s="1" t="str">
        <f>IF($B$338="Y",'[1]Population Definitions'!$A$9,"...")</f>
        <v>...</v>
      </c>
      <c r="B429" s="1" t="str">
        <f>IF($B$338="Y","---&gt;","...")</f>
        <v>...</v>
      </c>
      <c r="C429" s="1" t="str">
        <f>IF($B$338="Y",'[1]Population Definitions'!$A$2,"...")</f>
        <v>...</v>
      </c>
      <c r="E429" s="165"/>
      <c r="F429" s="1" t="str">
        <f>IF($B$338="Y","OR","...")</f>
        <v>...</v>
      </c>
      <c r="G429" s="165"/>
      <c r="H429" s="165"/>
      <c r="I429" s="165"/>
      <c r="J429" s="165"/>
      <c r="K429" s="165"/>
      <c r="L429" s="165"/>
      <c r="M429" s="165"/>
      <c r="N429" s="165"/>
      <c r="O429" s="165"/>
      <c r="P429" s="165"/>
      <c r="Q429" s="165"/>
      <c r="R429" s="165"/>
      <c r="S429" s="165"/>
      <c r="T429" s="165"/>
      <c r="U429" s="165"/>
      <c r="V429" s="165"/>
      <c r="W429" s="165"/>
    </row>
    <row r="430" spans="1:23" x14ac:dyDescent="0.25">
      <c r="A430" s="1" t="str">
        <f>IF($C$338="Y",'[1]Population Definitions'!$A$9,"...")</f>
        <v>...</v>
      </c>
      <c r="B430" s="1" t="str">
        <f>IF($C$338="Y","---&gt;","...")</f>
        <v>...</v>
      </c>
      <c r="C430" s="1" t="str">
        <f>IF($C$338="Y",'[1]Population Definitions'!$A$3,"...")</f>
        <v>...</v>
      </c>
      <c r="E430" s="165"/>
      <c r="F430" s="1" t="str">
        <f>IF($C$338="Y","OR","...")</f>
        <v>...</v>
      </c>
      <c r="G430" s="165"/>
      <c r="H430" s="165"/>
      <c r="I430" s="165"/>
      <c r="J430" s="165"/>
      <c r="K430" s="165"/>
      <c r="L430" s="165"/>
      <c r="M430" s="165"/>
      <c r="N430" s="165"/>
      <c r="O430" s="165"/>
      <c r="P430" s="165"/>
      <c r="Q430" s="165"/>
      <c r="R430" s="165"/>
      <c r="S430" s="165"/>
      <c r="T430" s="165"/>
      <c r="U430" s="165"/>
      <c r="V430" s="165"/>
      <c r="W430" s="165"/>
    </row>
    <row r="431" spans="1:23" x14ac:dyDescent="0.25">
      <c r="A431" s="1" t="str">
        <f>IF($D$338="Y",'[1]Population Definitions'!$A$9,"...")</f>
        <v>...</v>
      </c>
      <c r="B431" s="1" t="str">
        <f>IF($D$338="Y","---&gt;","...")</f>
        <v>...</v>
      </c>
      <c r="C431" s="1" t="str">
        <f>IF($D$338="Y",'[1]Population Definitions'!$A$4,"...")</f>
        <v>...</v>
      </c>
      <c r="E431" s="165"/>
      <c r="F431" s="1" t="str">
        <f>IF($D$338="Y","OR","...")</f>
        <v>...</v>
      </c>
      <c r="G431" s="165"/>
      <c r="H431" s="165"/>
      <c r="I431" s="165"/>
      <c r="J431" s="165"/>
      <c r="K431" s="165"/>
      <c r="L431" s="165"/>
      <c r="M431" s="165"/>
      <c r="N431" s="165"/>
      <c r="O431" s="165"/>
      <c r="P431" s="165"/>
      <c r="Q431" s="165"/>
      <c r="R431" s="165"/>
      <c r="S431" s="165"/>
      <c r="T431" s="165"/>
      <c r="U431" s="165"/>
      <c r="V431" s="165"/>
      <c r="W431" s="165"/>
    </row>
    <row r="432" spans="1:23" x14ac:dyDescent="0.25">
      <c r="A432" s="1" t="str">
        <f>IF($E$338="Y",'[1]Population Definitions'!$A$9,"...")</f>
        <v>...</v>
      </c>
      <c r="B432" s="1" t="str">
        <f>IF($E$338="Y","---&gt;","...")</f>
        <v>...</v>
      </c>
      <c r="C432" s="1" t="str">
        <f>IF($E$338="Y",'[1]Population Definitions'!$A$5,"...")</f>
        <v>...</v>
      </c>
      <c r="E432" s="165"/>
      <c r="F432" s="1" t="str">
        <f>IF($E$338="Y","OR","...")</f>
        <v>...</v>
      </c>
      <c r="G432" s="165"/>
      <c r="H432" s="165"/>
      <c r="I432" s="165"/>
      <c r="J432" s="165"/>
      <c r="K432" s="165"/>
      <c r="L432" s="165"/>
      <c r="M432" s="165"/>
      <c r="N432" s="165"/>
      <c r="O432" s="165"/>
      <c r="P432" s="165"/>
      <c r="Q432" s="165"/>
      <c r="R432" s="165"/>
      <c r="S432" s="165"/>
      <c r="T432" s="165"/>
      <c r="U432" s="165"/>
      <c r="V432" s="165"/>
      <c r="W432" s="165"/>
    </row>
    <row r="433" spans="1:23" x14ac:dyDescent="0.25">
      <c r="A433" s="1" t="str">
        <f>IF($F$338="Y",'[1]Population Definitions'!$A$9,"...")</f>
        <v>Pris (HIV+)</v>
      </c>
      <c r="B433" s="1" t="str">
        <f>IF($F$338="Y","---&gt;","...")</f>
        <v>---&gt;</v>
      </c>
      <c r="C433" s="1" t="str">
        <f>IF($F$338="Y",'[1]Population Definitions'!$A$6,"...")</f>
        <v>15-64 (HIV+)</v>
      </c>
      <c r="D433" s="132" t="s">
        <v>163</v>
      </c>
      <c r="E433" s="165"/>
      <c r="F433" s="1" t="str">
        <f>IF($F$338="Y","OR","...")</f>
        <v>OR</v>
      </c>
      <c r="G433" s="165">
        <v>0.1060116422615751</v>
      </c>
      <c r="H433" s="165">
        <v>0.10397248768771659</v>
      </c>
      <c r="I433" s="165">
        <v>0.1020102997165649</v>
      </c>
      <c r="J433" s="165">
        <v>0.1001208014782167</v>
      </c>
      <c r="K433" s="165">
        <v>9.8300027215525651E-2</v>
      </c>
      <c r="L433" s="165">
        <v>9.6544294500242225E-2</v>
      </c>
      <c r="M433" s="165">
        <v>9.4850179374383892E-2</v>
      </c>
      <c r="N433" s="165">
        <v>9.3214494063718734E-2</v>
      </c>
      <c r="O433" s="165">
        <v>8.9286131730564891E-2</v>
      </c>
      <c r="P433" s="165">
        <v>8.0806131199835998E-2</v>
      </c>
      <c r="Q433" s="165">
        <v>7.7665417492393363E-2</v>
      </c>
      <c r="R433" s="165">
        <v>7.4759711606936508E-2</v>
      </c>
      <c r="S433" s="165">
        <v>7.2063587674388085E-2</v>
      </c>
      <c r="T433" s="165">
        <v>6.9555159974383815E-2</v>
      </c>
      <c r="U433" s="165">
        <v>6.7215487523773279E-2</v>
      </c>
      <c r="V433" s="165">
        <v>6.5028094923925472E-2</v>
      </c>
      <c r="W433" s="165"/>
    </row>
    <row r="434" spans="1:23" x14ac:dyDescent="0.25">
      <c r="A434" s="1" t="str">
        <f>IF($G$338="Y",'[1]Population Definitions'!$A$9,"...")</f>
        <v>...</v>
      </c>
      <c r="B434" s="1" t="str">
        <f>IF($G$338="Y","---&gt;","...")</f>
        <v>...</v>
      </c>
      <c r="C434" s="1" t="str">
        <f>IF($G$338="Y",'[1]Population Definitions'!$A$7,"...")</f>
        <v>...</v>
      </c>
      <c r="E434" s="165"/>
      <c r="F434" s="1" t="str">
        <f>IF($G$338="Y","OR","...")</f>
        <v>...</v>
      </c>
      <c r="G434" s="165"/>
      <c r="H434" s="165"/>
      <c r="I434" s="165"/>
      <c r="J434" s="165"/>
      <c r="K434" s="165"/>
      <c r="L434" s="165"/>
      <c r="M434" s="165"/>
      <c r="N434" s="165"/>
      <c r="O434" s="165"/>
      <c r="P434" s="165"/>
      <c r="Q434" s="165"/>
      <c r="R434" s="165"/>
      <c r="S434" s="165"/>
      <c r="T434" s="165"/>
      <c r="U434" s="165"/>
      <c r="V434" s="165"/>
      <c r="W434" s="165"/>
    </row>
    <row r="435" spans="1:23" x14ac:dyDescent="0.25">
      <c r="A435" s="1" t="str">
        <f>IF($H$338="Y",'[1]Population Definitions'!$A$9,"...")</f>
        <v>...</v>
      </c>
      <c r="B435" s="1" t="str">
        <f>IF($H$338="Y","---&gt;","...")</f>
        <v>...</v>
      </c>
      <c r="C435" s="1" t="str">
        <f>IF($H$338="Y",'[1]Population Definitions'!$A$8,"...")</f>
        <v>...</v>
      </c>
      <c r="E435" s="165"/>
      <c r="F435" s="1" t="str">
        <f>IF($H$338="Y","OR","...")</f>
        <v>...</v>
      </c>
      <c r="G435" s="165"/>
      <c r="H435" s="165"/>
      <c r="I435" s="165"/>
      <c r="J435" s="165"/>
      <c r="K435" s="165"/>
      <c r="L435" s="165"/>
      <c r="M435" s="165"/>
      <c r="N435" s="165"/>
      <c r="O435" s="165"/>
      <c r="P435" s="165"/>
      <c r="Q435" s="165"/>
      <c r="R435" s="165"/>
      <c r="S435" s="165"/>
      <c r="T435" s="165"/>
      <c r="U435" s="165"/>
      <c r="V435" s="165"/>
      <c r="W435" s="165"/>
    </row>
    <row r="436" spans="1:23" x14ac:dyDescent="0.25">
      <c r="A436" s="1" t="str">
        <f>IF($I$338="Y",'[1]Population Definitions'!$A$9,"...")</f>
        <v>...</v>
      </c>
      <c r="B436" s="1" t="str">
        <f>IF($I$338="Y","---&gt;","...")</f>
        <v>...</v>
      </c>
      <c r="C436" s="1" t="str">
        <f>IF($I$338="Y",'[1]Population Definitions'!$A$9,"...")</f>
        <v>...</v>
      </c>
      <c r="E436" s="165"/>
      <c r="F436" s="1" t="str">
        <f>IF($I$338="Y","OR","...")</f>
        <v>...</v>
      </c>
      <c r="G436" s="165"/>
      <c r="H436" s="165"/>
      <c r="I436" s="165"/>
      <c r="J436" s="165"/>
      <c r="K436" s="165"/>
      <c r="L436" s="165"/>
      <c r="M436" s="165"/>
      <c r="N436" s="165"/>
      <c r="O436" s="165"/>
      <c r="P436" s="165"/>
      <c r="Q436" s="165"/>
      <c r="R436" s="165"/>
      <c r="S436" s="165"/>
      <c r="T436" s="165"/>
      <c r="U436" s="165"/>
      <c r="V436" s="165"/>
      <c r="W436" s="165"/>
    </row>
    <row r="437" spans="1:23" x14ac:dyDescent="0.25">
      <c r="A437" s="1" t="str">
        <f>IF($J$338="Y",'[1]Population Definitions'!$A$9,"...")</f>
        <v>...</v>
      </c>
      <c r="B437" s="1" t="str">
        <f>IF($J$338="Y","---&gt;","...")</f>
        <v>...</v>
      </c>
      <c r="C437" s="1" t="str">
        <f>IF($J$338="Y",'[1]Population Definitions'!$A$10,"...")</f>
        <v>...</v>
      </c>
      <c r="E437" s="165"/>
      <c r="F437" s="1" t="str">
        <f>IF($J$338="Y","OR","...")</f>
        <v>...</v>
      </c>
      <c r="G437" s="165"/>
      <c r="H437" s="165"/>
      <c r="I437" s="165"/>
      <c r="J437" s="165"/>
      <c r="K437" s="165"/>
      <c r="L437" s="165"/>
      <c r="M437" s="165"/>
      <c r="N437" s="165"/>
      <c r="O437" s="165"/>
      <c r="P437" s="165"/>
      <c r="Q437" s="165"/>
      <c r="R437" s="165"/>
      <c r="S437" s="165"/>
      <c r="T437" s="165"/>
      <c r="U437" s="165"/>
      <c r="V437" s="165"/>
      <c r="W437" s="165"/>
    </row>
    <row r="438" spans="1:23" x14ac:dyDescent="0.25">
      <c r="A438" s="1" t="str">
        <f>IF($K$338="Y",'[1]Population Definitions'!$A$9,"...")</f>
        <v>...</v>
      </c>
      <c r="B438" s="1" t="str">
        <f>IF($K$338="Y","---&gt;","...")</f>
        <v>...</v>
      </c>
      <c r="C438" s="1" t="str">
        <f>IF($K$338="Y",'[1]Population Definitions'!$A$11,"...")</f>
        <v>...</v>
      </c>
      <c r="E438" s="165"/>
      <c r="F438" s="1" t="str">
        <f>IF($K$338="Y","OR","...")</f>
        <v>...</v>
      </c>
      <c r="G438" s="165"/>
      <c r="H438" s="165"/>
      <c r="I438" s="165"/>
      <c r="J438" s="165"/>
      <c r="K438" s="165"/>
      <c r="L438" s="165"/>
      <c r="M438" s="165"/>
      <c r="N438" s="165"/>
      <c r="O438" s="165"/>
      <c r="P438" s="165"/>
      <c r="Q438" s="165"/>
      <c r="R438" s="165"/>
      <c r="S438" s="165"/>
      <c r="T438" s="165"/>
      <c r="U438" s="165"/>
      <c r="V438" s="165"/>
      <c r="W438" s="165"/>
    </row>
    <row r="439" spans="1:23" x14ac:dyDescent="0.25">
      <c r="A439" s="1" t="str">
        <f>IF($L$338="Y",'[1]Population Definitions'!$A$9,"...")</f>
        <v>...</v>
      </c>
      <c r="B439" s="1" t="str">
        <f>IF($L$338="Y","---&gt;","...")</f>
        <v>...</v>
      </c>
      <c r="C439" s="1" t="str">
        <f>IF($L$338="Y",'[1]Population Definitions'!$A$12,"...")</f>
        <v>...</v>
      </c>
      <c r="E439" s="165"/>
      <c r="F439" s="1" t="str">
        <f>IF($L$338="Y","OR","...")</f>
        <v>...</v>
      </c>
      <c r="G439" s="165"/>
      <c r="H439" s="165"/>
      <c r="I439" s="165"/>
      <c r="J439" s="165"/>
      <c r="K439" s="165"/>
      <c r="L439" s="165"/>
      <c r="M439" s="165"/>
      <c r="N439" s="165"/>
      <c r="O439" s="165"/>
      <c r="P439" s="165"/>
      <c r="Q439" s="165"/>
      <c r="R439" s="165"/>
      <c r="S439" s="165"/>
      <c r="T439" s="165"/>
      <c r="U439" s="165"/>
      <c r="V439" s="165"/>
      <c r="W439" s="165"/>
    </row>
    <row r="440" spans="1:23" x14ac:dyDescent="0.25">
      <c r="A440" s="1" t="str">
        <f>IF($M$338="Y",'[1]Population Definitions'!$A$9,"...")</f>
        <v>...</v>
      </c>
      <c r="B440" s="1" t="str">
        <f>IF($M$338="Y","---&gt;","...")</f>
        <v>...</v>
      </c>
      <c r="C440" s="1" t="str">
        <f>IF($M$338="Y",'[1]Population Definitions'!$A$13,"...")</f>
        <v>...</v>
      </c>
      <c r="E440" s="165"/>
      <c r="F440" s="1" t="str">
        <f>IF($M$338="Y","OR","...")</f>
        <v>...</v>
      </c>
      <c r="G440" s="165"/>
      <c r="H440" s="165"/>
      <c r="I440" s="165"/>
      <c r="J440" s="165"/>
      <c r="K440" s="165"/>
      <c r="L440" s="165"/>
      <c r="M440" s="165"/>
      <c r="N440" s="165"/>
      <c r="O440" s="165"/>
      <c r="P440" s="165"/>
      <c r="Q440" s="165"/>
      <c r="R440" s="165"/>
      <c r="S440" s="165"/>
      <c r="T440" s="165"/>
      <c r="U440" s="165"/>
      <c r="V440" s="165"/>
      <c r="W440" s="165"/>
    </row>
    <row r="441" spans="1:23" x14ac:dyDescent="0.25">
      <c r="A441" s="1" t="str">
        <f>IF($B$339="Y",'[1]Population Definitions'!$A$10,"...")</f>
        <v>...</v>
      </c>
      <c r="B441" s="1" t="str">
        <f>IF($B$339="Y","---&gt;","...")</f>
        <v>...</v>
      </c>
      <c r="C441" s="1" t="str">
        <f>IF($B$339="Y",'[1]Population Definitions'!$A$2,"...")</f>
        <v>...</v>
      </c>
      <c r="E441" s="165"/>
      <c r="F441" s="1" t="str">
        <f>IF($B$339="Y","OR","...")</f>
        <v>...</v>
      </c>
      <c r="G441" s="165"/>
      <c r="H441" s="165"/>
      <c r="I441" s="165"/>
      <c r="J441" s="165"/>
      <c r="K441" s="165"/>
      <c r="L441" s="165"/>
      <c r="M441" s="165"/>
      <c r="N441" s="165"/>
      <c r="O441" s="165"/>
      <c r="P441" s="165"/>
      <c r="Q441" s="165"/>
      <c r="R441" s="165"/>
      <c r="S441" s="165"/>
      <c r="T441" s="165"/>
      <c r="U441" s="165"/>
      <c r="V441" s="165"/>
      <c r="W441" s="165"/>
    </row>
    <row r="442" spans="1:23" x14ac:dyDescent="0.25">
      <c r="A442" s="1" t="str">
        <f>IF($C$339="Y",'[1]Population Definitions'!$A$10,"...")</f>
        <v>...</v>
      </c>
      <c r="B442" s="1" t="str">
        <f>IF($C$339="Y","---&gt;","...")</f>
        <v>...</v>
      </c>
      <c r="C442" s="1" t="str">
        <f>IF($C$339="Y",'[1]Population Definitions'!$A$3,"...")</f>
        <v>...</v>
      </c>
      <c r="E442" s="165"/>
      <c r="F442" s="1" t="str">
        <f>IF($C$339="Y","OR","...")</f>
        <v>...</v>
      </c>
      <c r="G442" s="165"/>
      <c r="H442" s="165"/>
      <c r="I442" s="165"/>
      <c r="J442" s="165"/>
      <c r="K442" s="165"/>
      <c r="L442" s="165"/>
      <c r="M442" s="165"/>
      <c r="N442" s="165"/>
      <c r="O442" s="165"/>
      <c r="P442" s="165"/>
      <c r="Q442" s="165"/>
      <c r="R442" s="165"/>
      <c r="S442" s="165"/>
      <c r="T442" s="165"/>
      <c r="U442" s="165"/>
      <c r="V442" s="165"/>
      <c r="W442" s="165"/>
    </row>
    <row r="443" spans="1:23" x14ac:dyDescent="0.25">
      <c r="A443" s="1" t="str">
        <f>IF($D$339="Y",'[1]Population Definitions'!$A$10,"...")</f>
        <v>...</v>
      </c>
      <c r="B443" s="1" t="str">
        <f>IF($D$339="Y","---&gt;","...")</f>
        <v>...</v>
      </c>
      <c r="C443" s="1" t="str">
        <f>IF($D$339="Y",'[1]Population Definitions'!$A$4,"...")</f>
        <v>...</v>
      </c>
      <c r="E443" s="165"/>
      <c r="F443" s="1" t="str">
        <f>IF($D$339="Y","OR","...")</f>
        <v>...</v>
      </c>
      <c r="G443" s="165"/>
      <c r="H443" s="165"/>
      <c r="I443" s="165"/>
      <c r="J443" s="165"/>
      <c r="K443" s="165"/>
      <c r="L443" s="165"/>
      <c r="M443" s="165"/>
      <c r="N443" s="165"/>
      <c r="O443" s="165"/>
      <c r="P443" s="165"/>
      <c r="Q443" s="165"/>
      <c r="R443" s="165"/>
      <c r="S443" s="165"/>
      <c r="T443" s="165"/>
      <c r="U443" s="165"/>
      <c r="V443" s="165"/>
      <c r="W443" s="165"/>
    </row>
    <row r="444" spans="1:23" x14ac:dyDescent="0.25">
      <c r="A444" s="1" t="str">
        <f>IF($E$339="Y",'[1]Population Definitions'!$A$10,"...")</f>
        <v>...</v>
      </c>
      <c r="B444" s="1" t="str">
        <f>IF($E$339="Y","---&gt;","...")</f>
        <v>...</v>
      </c>
      <c r="C444" s="1" t="str">
        <f>IF($E$339="Y",'[1]Population Definitions'!$A$5,"...")</f>
        <v>...</v>
      </c>
      <c r="E444" s="165"/>
      <c r="F444" s="1" t="str">
        <f>IF($E$339="Y","OR","...")</f>
        <v>...</v>
      </c>
      <c r="G444" s="165"/>
      <c r="H444" s="165"/>
      <c r="I444" s="165"/>
      <c r="J444" s="165"/>
      <c r="K444" s="165"/>
      <c r="L444" s="165"/>
      <c r="M444" s="165"/>
      <c r="N444" s="165"/>
      <c r="O444" s="165"/>
      <c r="P444" s="165"/>
      <c r="Q444" s="165"/>
      <c r="R444" s="165"/>
      <c r="S444" s="165"/>
      <c r="T444" s="165"/>
      <c r="U444" s="165"/>
      <c r="V444" s="165"/>
      <c r="W444" s="165"/>
    </row>
    <row r="445" spans="1:23" x14ac:dyDescent="0.25">
      <c r="A445" s="1" t="str">
        <f>IF($F$339="Y",'[1]Population Definitions'!$A$10,"...")</f>
        <v>...</v>
      </c>
      <c r="B445" s="1" t="str">
        <f>IF($F$339="Y","---&gt;","...")</f>
        <v>...</v>
      </c>
      <c r="C445" s="1" t="str">
        <f>IF($F$339="Y",'[1]Population Definitions'!$A$6,"...")</f>
        <v>...</v>
      </c>
      <c r="E445" s="165"/>
      <c r="F445" s="1" t="str">
        <f>IF($F$339="Y","OR","...")</f>
        <v>...</v>
      </c>
      <c r="G445" s="165"/>
      <c r="H445" s="165"/>
      <c r="I445" s="165"/>
      <c r="J445" s="165"/>
      <c r="K445" s="165"/>
      <c r="L445" s="165"/>
      <c r="M445" s="165"/>
      <c r="N445" s="165"/>
      <c r="O445" s="165"/>
      <c r="P445" s="165"/>
      <c r="Q445" s="165"/>
      <c r="R445" s="165"/>
      <c r="S445" s="165"/>
      <c r="T445" s="165"/>
      <c r="U445" s="165"/>
      <c r="V445" s="165"/>
      <c r="W445" s="165"/>
    </row>
    <row r="446" spans="1:23" x14ac:dyDescent="0.25">
      <c r="A446" s="1" t="str">
        <f>IF($G$339="Y",'[1]Population Definitions'!$A$10,"...")</f>
        <v>...</v>
      </c>
      <c r="B446" s="1" t="str">
        <f>IF($G$339="Y","---&gt;","...")</f>
        <v>...</v>
      </c>
      <c r="C446" s="1" t="str">
        <f>IF($G$339="Y",'[1]Population Definitions'!$A$7,"...")</f>
        <v>...</v>
      </c>
      <c r="E446" s="165"/>
      <c r="F446" s="1" t="str">
        <f>IF($G$339="Y","OR","...")</f>
        <v>...</v>
      </c>
      <c r="G446" s="165"/>
      <c r="H446" s="165"/>
      <c r="I446" s="165"/>
      <c r="J446" s="165"/>
      <c r="K446" s="165"/>
      <c r="L446" s="165"/>
      <c r="M446" s="165"/>
      <c r="N446" s="165"/>
      <c r="O446" s="165"/>
      <c r="P446" s="165"/>
      <c r="Q446" s="165"/>
      <c r="R446" s="165"/>
      <c r="S446" s="165"/>
      <c r="T446" s="165"/>
      <c r="U446" s="165"/>
      <c r="V446" s="165"/>
      <c r="W446" s="165"/>
    </row>
    <row r="447" spans="1:23" x14ac:dyDescent="0.25">
      <c r="A447" s="1" t="str">
        <f>IF($H$339="Y",'[1]Population Definitions'!$A$10,"...")</f>
        <v>...</v>
      </c>
      <c r="B447" s="1" t="str">
        <f>IF($H$339="Y","---&gt;","...")</f>
        <v>...</v>
      </c>
      <c r="C447" s="1" t="str">
        <f>IF($H$339="Y",'[1]Population Definitions'!$A$8,"...")</f>
        <v>...</v>
      </c>
      <c r="E447" s="165"/>
      <c r="F447" s="1" t="str">
        <f>IF($H$339="Y","OR","...")</f>
        <v>...</v>
      </c>
      <c r="G447" s="165"/>
      <c r="H447" s="165"/>
      <c r="I447" s="165"/>
      <c r="J447" s="165"/>
      <c r="K447" s="165"/>
      <c r="L447" s="165"/>
      <c r="M447" s="165"/>
      <c r="N447" s="165"/>
      <c r="O447" s="165"/>
      <c r="P447" s="165"/>
      <c r="Q447" s="165"/>
      <c r="R447" s="165"/>
      <c r="S447" s="165"/>
      <c r="T447" s="165"/>
      <c r="U447" s="165"/>
      <c r="V447" s="165"/>
      <c r="W447" s="165"/>
    </row>
    <row r="448" spans="1:23" x14ac:dyDescent="0.25">
      <c r="A448" s="1" t="str">
        <f>IF($I$339="Y",'[1]Population Definitions'!$A$10,"...")</f>
        <v>...</v>
      </c>
      <c r="B448" s="1" t="str">
        <f>IF($I$339="Y","---&gt;","...")</f>
        <v>...</v>
      </c>
      <c r="C448" s="1" t="str">
        <f>IF($I$339="Y",'[1]Population Definitions'!$A$9,"...")</f>
        <v>...</v>
      </c>
      <c r="E448" s="165"/>
      <c r="F448" s="1" t="str">
        <f>IF($I$339="Y","OR","...")</f>
        <v>...</v>
      </c>
      <c r="G448" s="165"/>
      <c r="H448" s="165"/>
      <c r="I448" s="165"/>
      <c r="J448" s="165"/>
      <c r="K448" s="165"/>
      <c r="L448" s="165"/>
      <c r="M448" s="165"/>
      <c r="N448" s="165"/>
      <c r="O448" s="165"/>
      <c r="P448" s="165"/>
      <c r="Q448" s="165"/>
      <c r="R448" s="165"/>
      <c r="S448" s="165"/>
      <c r="T448" s="165"/>
      <c r="U448" s="165"/>
      <c r="V448" s="165"/>
      <c r="W448" s="165"/>
    </row>
    <row r="449" spans="1:23" x14ac:dyDescent="0.25">
      <c r="A449" s="1" t="str">
        <f>IF($J$339="Y",'[1]Population Definitions'!$A$10,"...")</f>
        <v>...</v>
      </c>
      <c r="B449" s="1" t="str">
        <f>IF($J$339="Y","---&gt;","...")</f>
        <v>...</v>
      </c>
      <c r="C449" s="1" t="str">
        <f>IF($J$339="Y",'[1]Population Definitions'!$A$10,"...")</f>
        <v>...</v>
      </c>
      <c r="E449" s="165"/>
      <c r="F449" s="1" t="str">
        <f>IF($J$339="Y","OR","...")</f>
        <v>...</v>
      </c>
      <c r="G449" s="165"/>
      <c r="H449" s="165"/>
      <c r="I449" s="165"/>
      <c r="J449" s="165"/>
      <c r="K449" s="165"/>
      <c r="L449" s="165"/>
      <c r="M449" s="165"/>
      <c r="N449" s="165"/>
      <c r="O449" s="165"/>
      <c r="P449" s="165"/>
      <c r="Q449" s="165"/>
      <c r="R449" s="165"/>
      <c r="S449" s="165"/>
      <c r="T449" s="165"/>
      <c r="U449" s="165"/>
      <c r="V449" s="165"/>
      <c r="W449" s="165"/>
    </row>
    <row r="450" spans="1:23" x14ac:dyDescent="0.25">
      <c r="A450" s="1" t="str">
        <f>IF($K$339="Y",'[1]Population Definitions'!$A$10,"...")</f>
        <v>...</v>
      </c>
      <c r="B450" s="1" t="str">
        <f>IF($K$339="Y","---&gt;","...")</f>
        <v>...</v>
      </c>
      <c r="C450" s="1" t="str">
        <f>IF($K$339="Y",'[1]Population Definitions'!$A$11,"...")</f>
        <v>...</v>
      </c>
      <c r="E450" s="165"/>
      <c r="F450" s="1" t="str">
        <f>IF($K$339="Y","OR","...")</f>
        <v>...</v>
      </c>
      <c r="G450" s="165"/>
      <c r="H450" s="165"/>
      <c r="I450" s="165"/>
      <c r="J450" s="165"/>
      <c r="K450" s="165"/>
      <c r="L450" s="165"/>
      <c r="M450" s="165"/>
      <c r="N450" s="165"/>
      <c r="O450" s="165"/>
      <c r="P450" s="165"/>
      <c r="Q450" s="165"/>
      <c r="R450" s="165"/>
      <c r="S450" s="165"/>
      <c r="T450" s="165"/>
      <c r="U450" s="165"/>
      <c r="V450" s="165"/>
      <c r="W450" s="165"/>
    </row>
    <row r="451" spans="1:23" x14ac:dyDescent="0.25">
      <c r="A451" s="1" t="str">
        <f>IF($L$339="Y",'[1]Population Definitions'!$A$10,"...")</f>
        <v>...</v>
      </c>
      <c r="B451" s="1" t="str">
        <f>IF($L$339="Y","---&gt;","...")</f>
        <v>...</v>
      </c>
      <c r="C451" s="1" t="str">
        <f>IF($L$339="Y",'[1]Population Definitions'!$A$12,"...")</f>
        <v>...</v>
      </c>
      <c r="E451" s="165"/>
      <c r="F451" s="1" t="str">
        <f>IF($L$339="Y","OR","...")</f>
        <v>...</v>
      </c>
      <c r="G451" s="165"/>
      <c r="H451" s="165"/>
      <c r="I451" s="165"/>
      <c r="J451" s="165"/>
      <c r="K451" s="165"/>
      <c r="L451" s="165"/>
      <c r="M451" s="165"/>
      <c r="N451" s="165"/>
      <c r="O451" s="165"/>
      <c r="P451" s="165"/>
      <c r="Q451" s="165"/>
      <c r="R451" s="165"/>
      <c r="S451" s="165"/>
      <c r="T451" s="165"/>
      <c r="U451" s="165"/>
      <c r="V451" s="165"/>
      <c r="W451" s="165"/>
    </row>
    <row r="452" spans="1:23" x14ac:dyDescent="0.25">
      <c r="A452" s="1" t="str">
        <f>IF($M$339="Y",'[1]Population Definitions'!$A$10,"...")</f>
        <v>...</v>
      </c>
      <c r="B452" s="1" t="str">
        <f>IF($M$339="Y","---&gt;","...")</f>
        <v>...</v>
      </c>
      <c r="C452" s="1" t="str">
        <f>IF($M$339="Y",'[1]Population Definitions'!$A$13,"...")</f>
        <v>...</v>
      </c>
      <c r="E452" s="165"/>
      <c r="F452" s="1" t="str">
        <f>IF($M$339="Y","OR","...")</f>
        <v>...</v>
      </c>
      <c r="G452" s="165"/>
      <c r="H452" s="165"/>
      <c r="I452" s="165"/>
      <c r="J452" s="165"/>
      <c r="K452" s="165"/>
      <c r="L452" s="165"/>
      <c r="M452" s="165"/>
      <c r="N452" s="165"/>
      <c r="O452" s="165"/>
      <c r="P452" s="165"/>
      <c r="Q452" s="165"/>
      <c r="R452" s="165"/>
      <c r="S452" s="165"/>
      <c r="T452" s="165"/>
      <c r="U452" s="165"/>
      <c r="V452" s="165"/>
      <c r="W452" s="165"/>
    </row>
    <row r="453" spans="1:23" x14ac:dyDescent="0.25">
      <c r="A453" s="1" t="str">
        <f>IF($B$340="Y",'[1]Population Definitions'!$A$11,"...")</f>
        <v>...</v>
      </c>
      <c r="B453" s="1" t="str">
        <f>IF($B$340="Y","---&gt;","...")</f>
        <v>...</v>
      </c>
      <c r="C453" s="1" t="str">
        <f>IF($B$340="Y",'[1]Population Definitions'!$A$2,"...")</f>
        <v>...</v>
      </c>
      <c r="E453" s="165"/>
      <c r="F453" s="1" t="str">
        <f>IF($B$340="Y","OR","...")</f>
        <v>...</v>
      </c>
      <c r="G453" s="165"/>
      <c r="H453" s="165"/>
      <c r="I453" s="165"/>
      <c r="J453" s="165"/>
      <c r="K453" s="165"/>
      <c r="L453" s="165"/>
      <c r="M453" s="165"/>
      <c r="N453" s="165"/>
      <c r="O453" s="165"/>
      <c r="P453" s="165"/>
      <c r="Q453" s="165"/>
      <c r="R453" s="165"/>
      <c r="S453" s="165"/>
      <c r="T453" s="165"/>
      <c r="U453" s="165"/>
      <c r="V453" s="165"/>
      <c r="W453" s="165"/>
    </row>
    <row r="454" spans="1:23" x14ac:dyDescent="0.25">
      <c r="A454" s="1" t="str">
        <f>IF($C$340="Y",'[1]Population Definitions'!$A$11,"...")</f>
        <v>...</v>
      </c>
      <c r="B454" s="1" t="str">
        <f>IF($C$340="Y","---&gt;","...")</f>
        <v>...</v>
      </c>
      <c r="C454" s="1" t="str">
        <f>IF($C$340="Y",'[1]Population Definitions'!$A$3,"...")</f>
        <v>...</v>
      </c>
      <c r="E454" s="165"/>
      <c r="F454" s="1" t="str">
        <f>IF($C$340="Y","OR","...")</f>
        <v>...</v>
      </c>
      <c r="G454" s="165"/>
      <c r="H454" s="165"/>
      <c r="I454" s="165"/>
      <c r="J454" s="165"/>
      <c r="K454" s="165"/>
      <c r="L454" s="165"/>
      <c r="M454" s="165"/>
      <c r="N454" s="165"/>
      <c r="O454" s="165"/>
      <c r="P454" s="165"/>
      <c r="Q454" s="165"/>
      <c r="R454" s="165"/>
      <c r="S454" s="165"/>
      <c r="T454" s="165"/>
      <c r="U454" s="165"/>
      <c r="V454" s="165"/>
      <c r="W454" s="165"/>
    </row>
    <row r="455" spans="1:23" x14ac:dyDescent="0.25">
      <c r="A455" s="1" t="str">
        <f>IF($D$340="Y",'[1]Population Definitions'!$A$11,"...")</f>
        <v>...</v>
      </c>
      <c r="B455" s="1" t="str">
        <f>IF($D$340="Y","---&gt;","...")</f>
        <v>...</v>
      </c>
      <c r="C455" s="1" t="str">
        <f>IF($D$340="Y",'[1]Population Definitions'!$A$4,"...")</f>
        <v>...</v>
      </c>
      <c r="E455" s="165"/>
      <c r="F455" s="1" t="str">
        <f>IF($D$340="Y","OR","...")</f>
        <v>...</v>
      </c>
      <c r="G455" s="165"/>
      <c r="H455" s="165"/>
      <c r="I455" s="165"/>
      <c r="J455" s="165"/>
      <c r="K455" s="165"/>
      <c r="L455" s="165"/>
      <c r="M455" s="165"/>
      <c r="N455" s="165"/>
      <c r="O455" s="165"/>
      <c r="P455" s="165"/>
      <c r="Q455" s="165"/>
      <c r="R455" s="165"/>
      <c r="S455" s="165"/>
      <c r="T455" s="165"/>
      <c r="U455" s="165"/>
      <c r="V455" s="165"/>
      <c r="W455" s="165"/>
    </row>
    <row r="456" spans="1:23" x14ac:dyDescent="0.25">
      <c r="A456" s="1" t="str">
        <f>IF($E$340="Y",'[1]Population Definitions'!$A$11,"...")</f>
        <v>...</v>
      </c>
      <c r="B456" s="1" t="str">
        <f>IF($E$340="Y","---&gt;","...")</f>
        <v>...</v>
      </c>
      <c r="C456" s="1" t="str">
        <f>IF($E$340="Y",'[1]Population Definitions'!$A$5,"...")</f>
        <v>...</v>
      </c>
      <c r="E456" s="165"/>
      <c r="F456" s="1" t="str">
        <f>IF($E$340="Y","OR","...")</f>
        <v>...</v>
      </c>
      <c r="G456" s="165"/>
      <c r="H456" s="165"/>
      <c r="I456" s="165"/>
      <c r="J456" s="165"/>
      <c r="K456" s="165"/>
      <c r="L456" s="165"/>
      <c r="M456" s="165"/>
      <c r="N456" s="165"/>
      <c r="O456" s="165"/>
      <c r="P456" s="165"/>
      <c r="Q456" s="165"/>
      <c r="R456" s="165"/>
      <c r="S456" s="165"/>
      <c r="T456" s="165"/>
      <c r="U456" s="165"/>
      <c r="V456" s="165"/>
      <c r="W456" s="165"/>
    </row>
    <row r="457" spans="1:23" x14ac:dyDescent="0.25">
      <c r="A457" s="1" t="str">
        <f>IF($F$340="Y",'[1]Population Definitions'!$A$11,"...")</f>
        <v>HCW (HIV+)</v>
      </c>
      <c r="B457" s="1" t="str">
        <f>IF($F$340="Y","---&gt;","...")</f>
        <v>---&gt;</v>
      </c>
      <c r="C457" s="1" t="str">
        <f>IF($F$340="Y",'[1]Population Definitions'!$A$6,"...")</f>
        <v>15-64 (HIV+)</v>
      </c>
      <c r="D457" s="132" t="s">
        <v>163</v>
      </c>
      <c r="E457" s="165"/>
      <c r="F457" s="1" t="str">
        <f>IF($F$340="Y","OR","...")</f>
        <v>OR</v>
      </c>
      <c r="G457" s="165">
        <v>0.01</v>
      </c>
      <c r="H457" s="165"/>
      <c r="I457" s="165"/>
      <c r="J457" s="165"/>
      <c r="K457" s="165"/>
      <c r="L457" s="165"/>
      <c r="M457" s="165"/>
      <c r="N457" s="165"/>
      <c r="O457" s="165"/>
      <c r="P457" s="165"/>
      <c r="Q457" s="165"/>
      <c r="R457" s="165"/>
      <c r="S457" s="165"/>
      <c r="T457" s="165"/>
      <c r="U457" s="165"/>
      <c r="V457" s="165"/>
      <c r="W457" s="165"/>
    </row>
    <row r="458" spans="1:23" x14ac:dyDescent="0.25">
      <c r="A458" s="1" t="str">
        <f>IF($G$340="Y",'[1]Population Definitions'!$A$11,"...")</f>
        <v>...</v>
      </c>
      <c r="B458" s="1" t="str">
        <f>IF($G$340="Y","---&gt;","...")</f>
        <v>...</v>
      </c>
      <c r="C458" s="1" t="str">
        <f>IF($G$340="Y",'[1]Population Definitions'!$A$7,"...")</f>
        <v>...</v>
      </c>
      <c r="E458" s="165"/>
      <c r="F458" s="1" t="str">
        <f>IF($G$340="Y","OR","...")</f>
        <v>...</v>
      </c>
      <c r="G458" s="165"/>
      <c r="H458" s="165"/>
      <c r="I458" s="165"/>
      <c r="J458" s="165"/>
      <c r="K458" s="165"/>
      <c r="L458" s="165"/>
      <c r="M458" s="165"/>
      <c r="N458" s="165"/>
      <c r="O458" s="165"/>
      <c r="P458" s="165"/>
      <c r="Q458" s="165"/>
      <c r="R458" s="165"/>
      <c r="S458" s="165"/>
      <c r="T458" s="165"/>
      <c r="U458" s="165"/>
      <c r="V458" s="165"/>
      <c r="W458" s="165"/>
    </row>
    <row r="459" spans="1:23" x14ac:dyDescent="0.25">
      <c r="A459" s="1" t="str">
        <f>IF($H$340="Y",'[1]Population Definitions'!$A$11,"...")</f>
        <v>...</v>
      </c>
      <c r="B459" s="1" t="str">
        <f>IF($H$340="Y","---&gt;","...")</f>
        <v>...</v>
      </c>
      <c r="C459" s="1" t="str">
        <f>IF($H$340="Y",'[1]Population Definitions'!$A$8,"...")</f>
        <v>...</v>
      </c>
      <c r="E459" s="165"/>
      <c r="F459" s="1" t="str">
        <f>IF($H$340="Y","OR","...")</f>
        <v>...</v>
      </c>
      <c r="G459" s="165"/>
      <c r="H459" s="165"/>
      <c r="I459" s="165"/>
      <c r="J459" s="165"/>
      <c r="K459" s="165"/>
      <c r="L459" s="165"/>
      <c r="M459" s="165"/>
      <c r="N459" s="165"/>
      <c r="O459" s="165"/>
      <c r="P459" s="165"/>
      <c r="Q459" s="165"/>
      <c r="R459" s="165"/>
      <c r="S459" s="165"/>
      <c r="T459" s="165"/>
      <c r="U459" s="165"/>
      <c r="V459" s="165"/>
      <c r="W459" s="165"/>
    </row>
    <row r="460" spans="1:23" x14ac:dyDescent="0.25">
      <c r="A460" s="1" t="str">
        <f>IF($I$340="Y",'[1]Population Definitions'!$A$11,"...")</f>
        <v>...</v>
      </c>
      <c r="B460" s="1" t="str">
        <f>IF($I$340="Y","---&gt;","...")</f>
        <v>...</v>
      </c>
      <c r="C460" s="1" t="str">
        <f>IF($I$340="Y",'[1]Population Definitions'!$A$9,"...")</f>
        <v>...</v>
      </c>
      <c r="E460" s="165"/>
      <c r="F460" s="1" t="str">
        <f>IF($I$340="Y","OR","...")</f>
        <v>...</v>
      </c>
      <c r="G460" s="165"/>
      <c r="H460" s="165"/>
      <c r="I460" s="165"/>
      <c r="J460" s="165"/>
      <c r="K460" s="165"/>
      <c r="L460" s="165"/>
      <c r="M460" s="165"/>
      <c r="N460" s="165"/>
      <c r="O460" s="165"/>
      <c r="P460" s="165"/>
      <c r="Q460" s="165"/>
      <c r="R460" s="165"/>
      <c r="S460" s="165"/>
      <c r="T460" s="165"/>
      <c r="U460" s="165"/>
      <c r="V460" s="165"/>
      <c r="W460" s="165"/>
    </row>
    <row r="461" spans="1:23" x14ac:dyDescent="0.25">
      <c r="A461" s="1" t="str">
        <f>IF($J$340="Y",'[1]Population Definitions'!$A$11,"...")</f>
        <v>...</v>
      </c>
      <c r="B461" s="1" t="str">
        <f>IF($J$340="Y","---&gt;","...")</f>
        <v>...</v>
      </c>
      <c r="C461" s="1" t="str">
        <f>IF($J$340="Y",'[1]Population Definitions'!$A$10,"...")</f>
        <v>...</v>
      </c>
      <c r="E461" s="165"/>
      <c r="F461" s="1" t="str">
        <f>IF($J$340="Y","OR","...")</f>
        <v>...</v>
      </c>
      <c r="G461" s="165"/>
      <c r="H461" s="165"/>
      <c r="I461" s="165"/>
      <c r="J461" s="165"/>
      <c r="K461" s="165"/>
      <c r="L461" s="165"/>
      <c r="M461" s="165"/>
      <c r="N461" s="165"/>
      <c r="O461" s="165"/>
      <c r="P461" s="165"/>
      <c r="Q461" s="165"/>
      <c r="R461" s="165"/>
      <c r="S461" s="165"/>
      <c r="T461" s="165"/>
      <c r="U461" s="165"/>
      <c r="V461" s="165"/>
      <c r="W461" s="165"/>
    </row>
    <row r="462" spans="1:23" x14ac:dyDescent="0.25">
      <c r="A462" s="1" t="str">
        <f>IF($K$340="Y",'[1]Population Definitions'!$A$11,"...")</f>
        <v>...</v>
      </c>
      <c r="B462" s="1" t="str">
        <f>IF($K$340="Y","---&gt;","...")</f>
        <v>...</v>
      </c>
      <c r="C462" s="1" t="str">
        <f>IF($K$340="Y",'[1]Population Definitions'!$A$11,"...")</f>
        <v>...</v>
      </c>
      <c r="E462" s="165"/>
      <c r="F462" s="1" t="str">
        <f>IF($K$340="Y","OR","...")</f>
        <v>...</v>
      </c>
      <c r="G462" s="165"/>
      <c r="H462" s="165"/>
      <c r="I462" s="165"/>
      <c r="J462" s="165"/>
      <c r="K462" s="165"/>
      <c r="L462" s="165"/>
      <c r="M462" s="165"/>
      <c r="N462" s="165"/>
      <c r="O462" s="165"/>
      <c r="P462" s="165"/>
      <c r="Q462" s="165"/>
      <c r="R462" s="165"/>
      <c r="S462" s="165"/>
      <c r="T462" s="165"/>
      <c r="U462" s="165"/>
      <c r="V462" s="165"/>
      <c r="W462" s="165"/>
    </row>
    <row r="463" spans="1:23" x14ac:dyDescent="0.25">
      <c r="A463" s="1" t="str">
        <f>IF($L$340="Y",'[1]Population Definitions'!$A$11,"...")</f>
        <v>...</v>
      </c>
      <c r="B463" s="1" t="str">
        <f>IF($L$340="Y","---&gt;","...")</f>
        <v>...</v>
      </c>
      <c r="C463" s="1" t="str">
        <f>IF($L$340="Y",'[1]Population Definitions'!$A$12,"...")</f>
        <v>...</v>
      </c>
      <c r="E463" s="165"/>
      <c r="F463" s="1" t="str">
        <f>IF($L$340="Y","OR","...")</f>
        <v>...</v>
      </c>
      <c r="G463" s="165"/>
      <c r="H463" s="165"/>
      <c r="I463" s="165"/>
      <c r="J463" s="165"/>
      <c r="K463" s="165"/>
      <c r="L463" s="165"/>
      <c r="M463" s="165"/>
      <c r="N463" s="165"/>
      <c r="O463" s="165"/>
      <c r="P463" s="165"/>
      <c r="Q463" s="165"/>
      <c r="R463" s="165"/>
      <c r="S463" s="165"/>
      <c r="T463" s="165"/>
      <c r="U463" s="165"/>
      <c r="V463" s="165"/>
      <c r="W463" s="165"/>
    </row>
    <row r="464" spans="1:23" x14ac:dyDescent="0.25">
      <c r="A464" s="1" t="str">
        <f>IF($M$340="Y",'[1]Population Definitions'!$A$11,"...")</f>
        <v>...</v>
      </c>
      <c r="B464" s="1" t="str">
        <f>IF($M$340="Y","---&gt;","...")</f>
        <v>...</v>
      </c>
      <c r="C464" s="1" t="str">
        <f>IF($M$340="Y",'[1]Population Definitions'!$A$13,"...")</f>
        <v>...</v>
      </c>
      <c r="E464" s="165"/>
      <c r="F464" s="1" t="str">
        <f>IF($M$340="Y","OR","...")</f>
        <v>...</v>
      </c>
      <c r="G464" s="165"/>
      <c r="H464" s="165"/>
      <c r="I464" s="165"/>
      <c r="J464" s="165"/>
      <c r="K464" s="165"/>
      <c r="L464" s="165"/>
      <c r="M464" s="165"/>
      <c r="N464" s="165"/>
      <c r="O464" s="165"/>
      <c r="P464" s="165"/>
      <c r="Q464" s="165"/>
      <c r="R464" s="165"/>
      <c r="S464" s="165"/>
      <c r="T464" s="165"/>
      <c r="U464" s="165"/>
      <c r="V464" s="165"/>
      <c r="W464" s="165"/>
    </row>
    <row r="465" spans="1:23" x14ac:dyDescent="0.25">
      <c r="A465" s="1" t="str">
        <f>IF($B$341="Y",'[1]Population Definitions'!$A$12,"...")</f>
        <v>...</v>
      </c>
      <c r="B465" s="1" t="str">
        <f>IF($B$341="Y","---&gt;","...")</f>
        <v>...</v>
      </c>
      <c r="C465" s="1" t="str">
        <f>IF($B$341="Y",'[1]Population Definitions'!$A$2,"...")</f>
        <v>...</v>
      </c>
      <c r="E465" s="165"/>
      <c r="F465" s="1" t="str">
        <f>IF($B$341="Y","OR","...")</f>
        <v>...</v>
      </c>
      <c r="G465" s="165"/>
      <c r="H465" s="165"/>
      <c r="I465" s="165"/>
      <c r="J465" s="165"/>
      <c r="K465" s="165"/>
      <c r="L465" s="165"/>
      <c r="M465" s="165"/>
      <c r="N465" s="165"/>
      <c r="O465" s="165"/>
      <c r="P465" s="165"/>
      <c r="Q465" s="165"/>
      <c r="R465" s="165"/>
      <c r="S465" s="165"/>
      <c r="T465" s="165"/>
      <c r="U465" s="165"/>
      <c r="V465" s="165"/>
      <c r="W465" s="165"/>
    </row>
    <row r="466" spans="1:23" x14ac:dyDescent="0.25">
      <c r="A466" s="1" t="str">
        <f>IF($C$341="Y",'[1]Population Definitions'!$A$12,"...")</f>
        <v>...</v>
      </c>
      <c r="B466" s="1" t="str">
        <f>IF($C$341="Y","---&gt;","...")</f>
        <v>...</v>
      </c>
      <c r="C466" s="1" t="str">
        <f>IF($C$341="Y",'[1]Population Definitions'!$A$3,"...")</f>
        <v>...</v>
      </c>
      <c r="E466" s="165"/>
      <c r="F466" s="1" t="str">
        <f>IF($C$341="Y","OR","...")</f>
        <v>...</v>
      </c>
      <c r="G466" s="165"/>
      <c r="H466" s="165"/>
      <c r="I466" s="165"/>
      <c r="J466" s="165"/>
      <c r="K466" s="165"/>
      <c r="L466" s="165"/>
      <c r="M466" s="165"/>
      <c r="N466" s="165"/>
      <c r="O466" s="165"/>
      <c r="P466" s="165"/>
      <c r="Q466" s="165"/>
      <c r="R466" s="165"/>
      <c r="S466" s="165"/>
      <c r="T466" s="165"/>
      <c r="U466" s="165"/>
      <c r="V466" s="165"/>
      <c r="W466" s="165"/>
    </row>
    <row r="467" spans="1:23" x14ac:dyDescent="0.25">
      <c r="A467" s="1" t="str">
        <f>IF($D$341="Y",'[1]Population Definitions'!$A$12,"...")</f>
        <v>Mine</v>
      </c>
      <c r="B467" s="1" t="str">
        <f>IF($D$341="Y","---&gt;","...")</f>
        <v>---&gt;</v>
      </c>
      <c r="C467" s="1" t="str">
        <f>IF($D$341="Y",'[1]Population Definitions'!$A$4,"...")</f>
        <v>15-64</v>
      </c>
      <c r="D467" s="132" t="s">
        <v>163</v>
      </c>
      <c r="E467" s="165"/>
      <c r="F467" s="1" t="str">
        <f>IF($D$341="Y","OR","...")</f>
        <v>OR</v>
      </c>
      <c r="G467" s="165">
        <v>2.5000000000000001E-2</v>
      </c>
      <c r="H467" s="165"/>
      <c r="I467" s="165"/>
      <c r="J467" s="165"/>
      <c r="K467" s="165"/>
      <c r="L467" s="165"/>
      <c r="M467" s="165"/>
      <c r="N467" s="165"/>
      <c r="O467" s="165"/>
      <c r="P467" s="165">
        <v>2.5000000000000001E-2</v>
      </c>
      <c r="Q467" s="165"/>
      <c r="R467" s="165">
        <v>3.6999999999999998E-2</v>
      </c>
      <c r="S467" s="165"/>
      <c r="T467" s="165">
        <v>3.6999999999999998E-2</v>
      </c>
      <c r="U467" s="165">
        <v>3.6999999999999998E-2</v>
      </c>
      <c r="V467" s="165">
        <v>5.0000000000000001E-3</v>
      </c>
      <c r="W467" s="165"/>
    </row>
    <row r="468" spans="1:23" x14ac:dyDescent="0.25">
      <c r="A468" s="1" t="str">
        <f>IF($E$341="Y",'[1]Population Definitions'!$A$12,"...")</f>
        <v>...</v>
      </c>
      <c r="B468" s="1" t="str">
        <f>IF($E$341="Y","---&gt;","...")</f>
        <v>...</v>
      </c>
      <c r="C468" s="1" t="str">
        <f>IF($E$341="Y",'[1]Population Definitions'!$A$5,"...")</f>
        <v>...</v>
      </c>
      <c r="E468" s="165"/>
      <c r="F468" s="1" t="str">
        <f>IF($E$341="Y","OR","...")</f>
        <v>...</v>
      </c>
      <c r="G468" s="165"/>
      <c r="H468" s="165"/>
      <c r="I468" s="165"/>
      <c r="J468" s="165"/>
      <c r="K468" s="165"/>
      <c r="L468" s="165"/>
      <c r="M468" s="165"/>
      <c r="N468" s="165"/>
      <c r="O468" s="165"/>
      <c r="P468" s="165"/>
      <c r="Q468" s="165"/>
      <c r="R468" s="165"/>
      <c r="S468" s="165"/>
      <c r="T468" s="165"/>
      <c r="U468" s="165"/>
      <c r="V468" s="165"/>
      <c r="W468" s="165"/>
    </row>
    <row r="469" spans="1:23" x14ac:dyDescent="0.25">
      <c r="A469" s="1" t="str">
        <f>IF($F$341="Y",'[1]Population Definitions'!$A$12,"...")</f>
        <v>...</v>
      </c>
      <c r="B469" s="1" t="str">
        <f>IF($F$341="Y","---&gt;","...")</f>
        <v>...</v>
      </c>
      <c r="C469" s="1" t="str">
        <f>IF($F$341="Y",'[1]Population Definitions'!$A$6,"...")</f>
        <v>...</v>
      </c>
      <c r="E469" s="165"/>
      <c r="F469" s="1" t="str">
        <f>IF($F$341="Y","OR","...")</f>
        <v>...</v>
      </c>
      <c r="G469" s="165"/>
      <c r="H469" s="165"/>
      <c r="I469" s="165"/>
      <c r="J469" s="165"/>
      <c r="K469" s="165"/>
      <c r="L469" s="165"/>
      <c r="M469" s="165"/>
      <c r="N469" s="165"/>
      <c r="O469" s="165"/>
      <c r="P469" s="165"/>
      <c r="Q469" s="165"/>
      <c r="R469" s="165"/>
      <c r="S469" s="165"/>
      <c r="T469" s="165"/>
      <c r="U469" s="165"/>
      <c r="V469" s="165"/>
      <c r="W469" s="165"/>
    </row>
    <row r="470" spans="1:23" x14ac:dyDescent="0.25">
      <c r="A470" s="1" t="str">
        <f>IF($G$341="Y",'[1]Population Definitions'!$A$12,"...")</f>
        <v>...</v>
      </c>
      <c r="B470" s="1" t="str">
        <f>IF($G$341="Y","---&gt;","...")</f>
        <v>...</v>
      </c>
      <c r="C470" s="1" t="str">
        <f>IF($G$341="Y",'[1]Population Definitions'!$A$7,"...")</f>
        <v>...</v>
      </c>
      <c r="E470" s="165"/>
      <c r="F470" s="1" t="str">
        <f>IF($G$341="Y","OR","...")</f>
        <v>...</v>
      </c>
      <c r="G470" s="165"/>
      <c r="H470" s="165"/>
      <c r="I470" s="165"/>
      <c r="J470" s="165"/>
      <c r="K470" s="165"/>
      <c r="L470" s="165"/>
      <c r="M470" s="165"/>
      <c r="N470" s="165"/>
      <c r="O470" s="165"/>
      <c r="P470" s="165"/>
      <c r="Q470" s="165"/>
      <c r="R470" s="165"/>
      <c r="S470" s="165"/>
      <c r="T470" s="165"/>
      <c r="U470" s="165"/>
      <c r="V470" s="165"/>
      <c r="W470" s="165"/>
    </row>
    <row r="471" spans="1:23" x14ac:dyDescent="0.25">
      <c r="A471" s="1" t="str">
        <f>IF($H$341="Y",'[1]Population Definitions'!$A$12,"...")</f>
        <v>...</v>
      </c>
      <c r="B471" s="1" t="str">
        <f>IF($H$341="Y","---&gt;","...")</f>
        <v>...</v>
      </c>
      <c r="C471" s="1" t="str">
        <f>IF($H$341="Y",'[1]Population Definitions'!$A$8,"...")</f>
        <v>...</v>
      </c>
      <c r="E471" s="165"/>
      <c r="F471" s="1" t="str">
        <f>IF($H$341="Y","OR","...")</f>
        <v>...</v>
      </c>
      <c r="G471" s="165"/>
      <c r="H471" s="165"/>
      <c r="I471" s="165"/>
      <c r="J471" s="165"/>
      <c r="K471" s="165"/>
      <c r="L471" s="165"/>
      <c r="M471" s="165"/>
      <c r="N471" s="165"/>
      <c r="O471" s="165"/>
      <c r="P471" s="165"/>
      <c r="Q471" s="165"/>
      <c r="R471" s="165"/>
      <c r="S471" s="165"/>
      <c r="T471" s="165"/>
      <c r="U471" s="165"/>
      <c r="V471" s="165"/>
      <c r="W471" s="165"/>
    </row>
    <row r="472" spans="1:23" x14ac:dyDescent="0.25">
      <c r="A472" s="1" t="str">
        <f>IF($I$341="Y",'[1]Population Definitions'!$A$12,"...")</f>
        <v>...</v>
      </c>
      <c r="B472" s="1" t="str">
        <f>IF($I$341="Y","---&gt;","...")</f>
        <v>...</v>
      </c>
      <c r="C472" s="1" t="str">
        <f>IF($I$341="Y",'[1]Population Definitions'!$A$9,"...")</f>
        <v>...</v>
      </c>
      <c r="E472" s="165"/>
      <c r="F472" s="1" t="str">
        <f>IF($I$341="Y","OR","...")</f>
        <v>...</v>
      </c>
      <c r="G472" s="165"/>
      <c r="H472" s="165"/>
      <c r="I472" s="165"/>
      <c r="J472" s="165"/>
      <c r="K472" s="165"/>
      <c r="L472" s="165"/>
      <c r="M472" s="165"/>
      <c r="N472" s="165"/>
      <c r="O472" s="165"/>
      <c r="P472" s="165"/>
      <c r="Q472" s="165"/>
      <c r="R472" s="165"/>
      <c r="S472" s="165"/>
      <c r="T472" s="165"/>
      <c r="U472" s="165"/>
      <c r="V472" s="165"/>
      <c r="W472" s="165"/>
    </row>
    <row r="473" spans="1:23" x14ac:dyDescent="0.25">
      <c r="A473" s="1" t="str">
        <f>IF($J$341="Y",'[1]Population Definitions'!$A$12,"...")</f>
        <v>...</v>
      </c>
      <c r="B473" s="1" t="str">
        <f>IF($J$341="Y","---&gt;","...")</f>
        <v>...</v>
      </c>
      <c r="C473" s="1" t="str">
        <f>IF($J$341="Y",'[1]Population Definitions'!$A$10,"...")</f>
        <v>...</v>
      </c>
      <c r="E473" s="165"/>
      <c r="F473" s="1" t="str">
        <f>IF($J$341="Y","OR","...")</f>
        <v>...</v>
      </c>
      <c r="G473" s="165"/>
      <c r="H473" s="165"/>
      <c r="I473" s="165"/>
      <c r="J473" s="165"/>
      <c r="K473" s="165"/>
      <c r="L473" s="165"/>
      <c r="M473" s="165"/>
      <c r="N473" s="165"/>
      <c r="O473" s="165"/>
      <c r="P473" s="165"/>
      <c r="Q473" s="165"/>
      <c r="R473" s="165"/>
      <c r="S473" s="165"/>
      <c r="T473" s="165"/>
      <c r="U473" s="165"/>
      <c r="V473" s="165"/>
      <c r="W473" s="165"/>
    </row>
    <row r="474" spans="1:23" x14ac:dyDescent="0.25">
      <c r="A474" s="1" t="str">
        <f>IF($K$341="Y",'[1]Population Definitions'!$A$12,"...")</f>
        <v>...</v>
      </c>
      <c r="B474" s="1" t="str">
        <f>IF($K$341="Y","---&gt;","...")</f>
        <v>...</v>
      </c>
      <c r="C474" s="1" t="str">
        <f>IF($K$341="Y",'[1]Population Definitions'!$A$11,"...")</f>
        <v>...</v>
      </c>
      <c r="E474" s="165"/>
      <c r="F474" s="1" t="str">
        <f>IF($K$341="Y","OR","...")</f>
        <v>...</v>
      </c>
      <c r="G474" s="165"/>
      <c r="H474" s="165"/>
      <c r="I474" s="165"/>
      <c r="J474" s="165"/>
      <c r="K474" s="165"/>
      <c r="L474" s="165"/>
      <c r="M474" s="165"/>
      <c r="N474" s="165"/>
      <c r="O474" s="165"/>
      <c r="P474" s="165"/>
      <c r="Q474" s="165"/>
      <c r="R474" s="165"/>
      <c r="S474" s="165"/>
      <c r="T474" s="165"/>
      <c r="U474" s="165"/>
      <c r="V474" s="165"/>
      <c r="W474" s="165"/>
    </row>
    <row r="475" spans="1:23" x14ac:dyDescent="0.25">
      <c r="A475" s="1" t="str">
        <f>IF($L$341="Y",'[1]Population Definitions'!$A$12,"...")</f>
        <v>...</v>
      </c>
      <c r="B475" s="1" t="str">
        <f>IF($L$341="Y","---&gt;","...")</f>
        <v>...</v>
      </c>
      <c r="C475" s="1" t="str">
        <f>IF($L$341="Y",'[1]Population Definitions'!$A$12,"...")</f>
        <v>...</v>
      </c>
      <c r="E475" s="165"/>
      <c r="F475" s="1" t="str">
        <f>IF($L$341="Y","OR","...")</f>
        <v>...</v>
      </c>
      <c r="G475" s="165"/>
      <c r="H475" s="165"/>
      <c r="I475" s="165"/>
      <c r="J475" s="165"/>
      <c r="K475" s="165"/>
      <c r="L475" s="165"/>
      <c r="M475" s="165"/>
      <c r="N475" s="165"/>
      <c r="O475" s="165"/>
      <c r="P475" s="165"/>
      <c r="Q475" s="165"/>
      <c r="R475" s="165"/>
      <c r="S475" s="165"/>
      <c r="T475" s="165"/>
      <c r="U475" s="165"/>
      <c r="V475" s="165"/>
      <c r="W475" s="165"/>
    </row>
    <row r="476" spans="1:23" x14ac:dyDescent="0.25">
      <c r="A476" s="1" t="str">
        <f>IF($M$341="Y",'[1]Population Definitions'!$A$12,"...")</f>
        <v>...</v>
      </c>
      <c r="B476" s="1" t="str">
        <f>IF($M$341="Y","---&gt;","...")</f>
        <v>...</v>
      </c>
      <c r="C476" s="1" t="str">
        <f>IF($M$341="Y",'[1]Population Definitions'!$A$13,"...")</f>
        <v>...</v>
      </c>
      <c r="E476" s="165"/>
      <c r="F476" s="1" t="str">
        <f>IF($M$341="Y","OR","...")</f>
        <v>...</v>
      </c>
      <c r="G476" s="165"/>
      <c r="H476" s="165"/>
      <c r="I476" s="165"/>
      <c r="J476" s="165"/>
      <c r="K476" s="165"/>
      <c r="L476" s="165"/>
      <c r="M476" s="165"/>
      <c r="N476" s="165"/>
      <c r="O476" s="165"/>
      <c r="P476" s="165"/>
      <c r="Q476" s="165"/>
      <c r="R476" s="165"/>
      <c r="S476" s="165"/>
      <c r="T476" s="165"/>
      <c r="U476" s="165"/>
      <c r="V476" s="165"/>
      <c r="W476" s="165"/>
    </row>
    <row r="477" spans="1:23" x14ac:dyDescent="0.25">
      <c r="A477" s="1" t="str">
        <f>IF($B$342="Y",'[1]Population Definitions'!$A$13,"...")</f>
        <v>...</v>
      </c>
      <c r="B477" s="1" t="str">
        <f>IF($B$342="Y","---&gt;","...")</f>
        <v>...</v>
      </c>
      <c r="C477" s="1" t="str">
        <f>IF($B$342="Y",'[1]Population Definitions'!$A$2,"...")</f>
        <v>...</v>
      </c>
      <c r="E477" s="165"/>
      <c r="F477" s="1" t="str">
        <f>IF($B$342="Y","OR","...")</f>
        <v>...</v>
      </c>
      <c r="G477" s="165"/>
      <c r="H477" s="165"/>
      <c r="I477" s="165"/>
      <c r="J477" s="165"/>
      <c r="K477" s="165"/>
      <c r="L477" s="165"/>
      <c r="M477" s="165"/>
      <c r="N477" s="165"/>
      <c r="O477" s="165"/>
      <c r="P477" s="165"/>
      <c r="Q477" s="165"/>
      <c r="R477" s="165"/>
      <c r="S477" s="165"/>
      <c r="T477" s="165"/>
      <c r="U477" s="165"/>
      <c r="V477" s="165"/>
      <c r="W477" s="165"/>
    </row>
    <row r="478" spans="1:23" x14ac:dyDescent="0.25">
      <c r="A478" s="1" t="str">
        <f>IF($C$342="Y",'[1]Population Definitions'!$A$13,"...")</f>
        <v>...</v>
      </c>
      <c r="B478" s="1" t="str">
        <f>IF($C$342="Y","---&gt;","...")</f>
        <v>...</v>
      </c>
      <c r="C478" s="1" t="str">
        <f>IF($C$342="Y",'[1]Population Definitions'!$A$3,"...")</f>
        <v>...</v>
      </c>
      <c r="E478" s="165"/>
      <c r="F478" s="1" t="str">
        <f>IF($C$342="Y","OR","...")</f>
        <v>...</v>
      </c>
      <c r="G478" s="165"/>
      <c r="H478" s="165"/>
      <c r="I478" s="165"/>
      <c r="J478" s="165"/>
      <c r="K478" s="165"/>
      <c r="L478" s="165"/>
      <c r="M478" s="165"/>
      <c r="N478" s="165"/>
      <c r="O478" s="165"/>
      <c r="P478" s="165"/>
      <c r="Q478" s="165"/>
      <c r="R478" s="165"/>
      <c r="S478" s="165"/>
      <c r="T478" s="165"/>
      <c r="U478" s="165"/>
      <c r="V478" s="165"/>
      <c r="W478" s="165"/>
    </row>
    <row r="479" spans="1:23" x14ac:dyDescent="0.25">
      <c r="A479" s="1" t="str">
        <f>IF($D$342="Y",'[1]Population Definitions'!$A$13,"...")</f>
        <v>...</v>
      </c>
      <c r="B479" s="1" t="str">
        <f>IF($D$342="Y","---&gt;","...")</f>
        <v>...</v>
      </c>
      <c r="C479" s="1" t="str">
        <f>IF($D$342="Y",'[1]Population Definitions'!$A$4,"...")</f>
        <v>...</v>
      </c>
      <c r="E479" s="165"/>
      <c r="F479" s="1" t="str">
        <f>IF($D$342="Y","OR","...")</f>
        <v>...</v>
      </c>
      <c r="G479" s="165"/>
      <c r="H479" s="165"/>
      <c r="I479" s="165"/>
      <c r="J479" s="165"/>
      <c r="K479" s="165"/>
      <c r="L479" s="165"/>
      <c r="M479" s="165"/>
      <c r="N479" s="165"/>
      <c r="O479" s="165"/>
      <c r="P479" s="165"/>
      <c r="Q479" s="165"/>
      <c r="R479" s="165"/>
      <c r="S479" s="165"/>
      <c r="T479" s="165"/>
      <c r="U479" s="165"/>
      <c r="V479" s="165"/>
      <c r="W479" s="165"/>
    </row>
    <row r="480" spans="1:23" x14ac:dyDescent="0.25">
      <c r="A480" s="1" t="str">
        <f>IF($E$342="Y",'[1]Population Definitions'!$A$13,"...")</f>
        <v>...</v>
      </c>
      <c r="B480" s="1" t="str">
        <f>IF($E$342="Y","---&gt;","...")</f>
        <v>...</v>
      </c>
      <c r="C480" s="1" t="str">
        <f>IF($E$342="Y",'[1]Population Definitions'!$A$5,"...")</f>
        <v>...</v>
      </c>
      <c r="E480" s="165"/>
      <c r="F480" s="1" t="str">
        <f>IF($E$342="Y","OR","...")</f>
        <v>...</v>
      </c>
      <c r="G480" s="165"/>
      <c r="H480" s="165"/>
      <c r="I480" s="165"/>
      <c r="J480" s="165"/>
      <c r="K480" s="165"/>
      <c r="L480" s="165"/>
      <c r="M480" s="165"/>
      <c r="N480" s="165"/>
      <c r="O480" s="165"/>
      <c r="P480" s="165"/>
      <c r="Q480" s="165"/>
      <c r="R480" s="165"/>
      <c r="S480" s="165"/>
      <c r="T480" s="165"/>
      <c r="U480" s="165"/>
      <c r="V480" s="165"/>
      <c r="W480" s="165"/>
    </row>
    <row r="481" spans="1:23" x14ac:dyDescent="0.25">
      <c r="A481" s="1" t="str">
        <f>IF($F$342="Y",'[1]Population Definitions'!$A$13,"...")</f>
        <v>Mine (HIV+)</v>
      </c>
      <c r="B481" s="1" t="str">
        <f>IF($F$342="Y","---&gt;","...")</f>
        <v>---&gt;</v>
      </c>
      <c r="C481" s="1" t="str">
        <f>IF($F$342="Y",'[1]Population Definitions'!$A$6,"...")</f>
        <v>15-64 (HIV+)</v>
      </c>
      <c r="D481" s="132" t="s">
        <v>163</v>
      </c>
      <c r="E481" s="165"/>
      <c r="F481" s="1" t="str">
        <f>IF($F$342="Y","OR","...")</f>
        <v>OR</v>
      </c>
      <c r="G481" s="165">
        <v>0.05</v>
      </c>
      <c r="H481" s="165"/>
      <c r="I481" s="165"/>
      <c r="J481" s="165"/>
      <c r="K481" s="165"/>
      <c r="L481" s="165"/>
      <c r="M481" s="165"/>
      <c r="N481" s="165"/>
      <c r="O481" s="165"/>
      <c r="P481" s="165"/>
      <c r="Q481" s="165"/>
      <c r="R481" s="165"/>
      <c r="S481" s="165"/>
      <c r="T481" s="165">
        <v>0.05</v>
      </c>
      <c r="U481" s="165"/>
      <c r="V481" s="165">
        <v>0.13</v>
      </c>
      <c r="W481" s="165"/>
    </row>
    <row r="482" spans="1:23" x14ac:dyDescent="0.25">
      <c r="A482" s="1" t="str">
        <f>IF($G$342="Y",'[1]Population Definitions'!$A$13,"...")</f>
        <v>...</v>
      </c>
      <c r="B482" s="1" t="str">
        <f>IF($G$342="Y","---&gt;","...")</f>
        <v>...</v>
      </c>
      <c r="C482" s="1" t="str">
        <f>IF($G$342="Y",'[1]Population Definitions'!$A$7,"...")</f>
        <v>...</v>
      </c>
      <c r="E482" s="165"/>
      <c r="F482" s="1" t="str">
        <f>IF($G$342="Y","OR","...")</f>
        <v>...</v>
      </c>
      <c r="G482" s="165"/>
      <c r="H482" s="165"/>
      <c r="I482" s="165"/>
      <c r="J482" s="165"/>
      <c r="K482" s="165"/>
      <c r="L482" s="165"/>
      <c r="M482" s="165"/>
      <c r="N482" s="165"/>
      <c r="O482" s="165"/>
      <c r="P482" s="165"/>
      <c r="Q482" s="165"/>
      <c r="R482" s="165"/>
      <c r="S482" s="165"/>
      <c r="T482" s="165"/>
      <c r="U482" s="165"/>
      <c r="V482" s="165"/>
      <c r="W482" s="165"/>
    </row>
    <row r="483" spans="1:23" x14ac:dyDescent="0.25">
      <c r="A483" s="1" t="str">
        <f>IF($H$342="Y",'[1]Population Definitions'!$A$13,"...")</f>
        <v>...</v>
      </c>
      <c r="B483" s="1" t="str">
        <f>IF($H$342="Y","---&gt;","...")</f>
        <v>...</v>
      </c>
      <c r="C483" s="1" t="str">
        <f>IF($H$342="Y",'[1]Population Definitions'!$A$8,"...")</f>
        <v>...</v>
      </c>
      <c r="E483" s="165"/>
      <c r="F483" s="1" t="str">
        <f>IF($H$342="Y","OR","...")</f>
        <v>...</v>
      </c>
      <c r="G483" s="165"/>
      <c r="H483" s="165"/>
      <c r="I483" s="165"/>
      <c r="J483" s="165"/>
      <c r="K483" s="165"/>
      <c r="L483" s="165"/>
      <c r="M483" s="165"/>
      <c r="N483" s="165"/>
      <c r="O483" s="165"/>
      <c r="P483" s="165"/>
      <c r="Q483" s="165"/>
      <c r="R483" s="165"/>
      <c r="S483" s="165"/>
      <c r="T483" s="165"/>
      <c r="U483" s="165"/>
      <c r="V483" s="165"/>
      <c r="W483" s="165"/>
    </row>
    <row r="484" spans="1:23" x14ac:dyDescent="0.25">
      <c r="A484" s="1" t="str">
        <f>IF($I$342="Y",'[1]Population Definitions'!$A$13,"...")</f>
        <v>...</v>
      </c>
      <c r="B484" s="1" t="str">
        <f>IF($I$342="Y","---&gt;","...")</f>
        <v>...</v>
      </c>
      <c r="C484" s="1" t="str">
        <f>IF($I$342="Y",'[1]Population Definitions'!$A$9,"...")</f>
        <v>...</v>
      </c>
      <c r="E484" s="165"/>
      <c r="F484" s="1" t="str">
        <f>IF($I$342="Y","OR","...")</f>
        <v>...</v>
      </c>
      <c r="G484" s="165"/>
      <c r="H484" s="165"/>
      <c r="I484" s="165"/>
      <c r="J484" s="165"/>
      <c r="K484" s="165"/>
      <c r="L484" s="165"/>
      <c r="M484" s="165"/>
      <c r="N484" s="165"/>
      <c r="O484" s="165"/>
      <c r="P484" s="165"/>
      <c r="Q484" s="165"/>
      <c r="R484" s="165"/>
      <c r="S484" s="165"/>
      <c r="T484" s="165"/>
      <c r="U484" s="165"/>
      <c r="V484" s="165"/>
      <c r="W484" s="165"/>
    </row>
    <row r="485" spans="1:23" x14ac:dyDescent="0.25">
      <c r="A485" s="1" t="str">
        <f>IF($J$342="Y",'[1]Population Definitions'!$A$13,"...")</f>
        <v>...</v>
      </c>
      <c r="B485" s="1" t="str">
        <f>IF($J$342="Y","---&gt;","...")</f>
        <v>...</v>
      </c>
      <c r="C485" s="1" t="str">
        <f>IF($J$342="Y",'[1]Population Definitions'!$A$10,"...")</f>
        <v>...</v>
      </c>
      <c r="E485" s="165"/>
      <c r="F485" s="1" t="str">
        <f>IF($J$342="Y","OR","...")</f>
        <v>...</v>
      </c>
      <c r="G485" s="165"/>
      <c r="H485" s="165"/>
      <c r="I485" s="165"/>
      <c r="J485" s="165"/>
      <c r="K485" s="165"/>
      <c r="L485" s="165"/>
      <c r="M485" s="165"/>
      <c r="N485" s="165"/>
      <c r="O485" s="165"/>
      <c r="P485" s="165"/>
      <c r="Q485" s="165"/>
      <c r="R485" s="165"/>
      <c r="S485" s="165"/>
      <c r="T485" s="165"/>
      <c r="U485" s="165"/>
      <c r="V485" s="165"/>
      <c r="W485" s="165"/>
    </row>
    <row r="486" spans="1:23" x14ac:dyDescent="0.25">
      <c r="A486" s="1" t="str">
        <f>IF($K$342="Y",'[1]Population Definitions'!$A$13,"...")</f>
        <v>...</v>
      </c>
      <c r="B486" s="1" t="str">
        <f>IF($K$342="Y","---&gt;","...")</f>
        <v>...</v>
      </c>
      <c r="C486" s="1" t="str">
        <f>IF($K$342="Y",'[1]Population Definitions'!$A$11,"...")</f>
        <v>...</v>
      </c>
      <c r="E486" s="165"/>
      <c r="F486" s="1" t="str">
        <f>IF($K$342="Y","OR","...")</f>
        <v>...</v>
      </c>
      <c r="G486" s="165"/>
      <c r="H486" s="165"/>
      <c r="I486" s="165"/>
      <c r="J486" s="165"/>
      <c r="K486" s="165"/>
      <c r="L486" s="165"/>
      <c r="M486" s="165"/>
      <c r="N486" s="165"/>
      <c r="O486" s="165"/>
      <c r="P486" s="165"/>
      <c r="Q486" s="165"/>
      <c r="R486" s="165"/>
      <c r="S486" s="165"/>
      <c r="T486" s="165"/>
      <c r="U486" s="165"/>
      <c r="V486" s="165"/>
      <c r="W486" s="165"/>
    </row>
    <row r="487" spans="1:23" x14ac:dyDescent="0.25">
      <c r="A487" s="1" t="str">
        <f>IF($L$342="Y",'[1]Population Definitions'!$A$13,"...")</f>
        <v>...</v>
      </c>
      <c r="B487" s="1" t="str">
        <f>IF($L$342="Y","---&gt;","...")</f>
        <v>...</v>
      </c>
      <c r="C487" s="1" t="str">
        <f>IF($L$342="Y",'[1]Population Definitions'!$A$12,"...")</f>
        <v>...</v>
      </c>
      <c r="E487" s="165"/>
      <c r="F487" s="1" t="str">
        <f>IF($L$342="Y","OR","...")</f>
        <v>...</v>
      </c>
      <c r="G487" s="165"/>
      <c r="H487" s="165"/>
      <c r="I487" s="165"/>
      <c r="J487" s="165"/>
      <c r="K487" s="165"/>
      <c r="L487" s="165"/>
      <c r="M487" s="165"/>
      <c r="N487" s="165"/>
      <c r="O487" s="165"/>
      <c r="P487" s="165"/>
      <c r="Q487" s="165"/>
      <c r="R487" s="165"/>
      <c r="S487" s="165"/>
      <c r="T487" s="165"/>
      <c r="U487" s="165"/>
      <c r="V487" s="165"/>
      <c r="W487" s="165"/>
    </row>
    <row r="488" spans="1:23" x14ac:dyDescent="0.25">
      <c r="A488" s="1" t="str">
        <f>IF($M$342="Y",'[1]Population Definitions'!$A$13,"...")</f>
        <v>...</v>
      </c>
      <c r="B488" s="1" t="str">
        <f>IF($M$342="Y","---&gt;","...")</f>
        <v>...</v>
      </c>
      <c r="C488" s="1" t="str">
        <f>IF($M$342="Y",'[1]Population Definitions'!$A$13,"...")</f>
        <v>...</v>
      </c>
      <c r="E488" s="165"/>
      <c r="F488" s="1" t="str">
        <f>IF($M$342="Y","OR","...")</f>
        <v>...</v>
      </c>
      <c r="G488" s="165"/>
      <c r="H488" s="165"/>
      <c r="I488" s="165"/>
      <c r="J488" s="165"/>
      <c r="K488" s="165"/>
      <c r="L488" s="165"/>
      <c r="M488" s="165"/>
      <c r="N488" s="165"/>
      <c r="O488" s="165"/>
      <c r="P488" s="165"/>
      <c r="Q488" s="165"/>
      <c r="R488" s="165"/>
      <c r="S488" s="165"/>
      <c r="T488" s="165"/>
      <c r="U488" s="165"/>
      <c r="V488" s="165"/>
      <c r="W488" s="165"/>
    </row>
  </sheetData>
  <dataValidations count="3">
    <dataValidation type="list" allowBlank="1" showInputMessage="1" showErrorMessage="1" sqref="B5 M342 L341 K340 J339 I338 H337 G336 F335 E334 D333 C332 B331 M179 L178 K177 J176 I175 H174 G173 F172 E171 D170 C169 B168 M16 L15 K14 J13 I12 H11 G10 F9 E8 D7 C6" xr:uid="{F417C339-CC1F-4BA2-AE12-9D59800543AF}">
      <formula1>"N.A."</formula1>
    </dataValidation>
    <dataValidation type="list" allowBlank="1" showInputMessage="1" showErrorMessage="1" sqref="D345:D488 D182:D325 D19:D162" xr:uid="{727460D5-B193-47AC-8205-507D3B8BE944}">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xr:uid="{84EC4A61-BB77-4A11-9A88-A9A469B9E1F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62"/>
  <sheetViews>
    <sheetView topLeftCell="A37" workbookViewId="0">
      <selection activeCell="A22" sqref="A22"/>
    </sheetView>
  </sheetViews>
  <sheetFormatPr defaultColWidth="9" defaultRowHeight="15" x14ac:dyDescent="0.25"/>
  <cols>
    <col min="1" max="1" width="54.85546875" style="132" bestFit="1" customWidth="1"/>
    <col min="2" max="2" width="24.85546875" style="132" customWidth="1"/>
    <col min="3" max="3" width="22.140625" style="132" bestFit="1" customWidth="1"/>
    <col min="4" max="4" width="12.28515625" style="132" bestFit="1" customWidth="1"/>
    <col min="5" max="5" width="8" style="132" bestFit="1" customWidth="1"/>
    <col min="6" max="6" width="10.85546875" style="132" bestFit="1" customWidth="1"/>
    <col min="7" max="7" width="9.140625" style="132" bestFit="1" customWidth="1"/>
    <col min="8" max="8" width="4.7109375" style="132" bestFit="1" customWidth="1"/>
    <col min="9" max="9" width="9.140625" style="132" bestFit="1" customWidth="1"/>
    <col min="10" max="10" width="4.7109375" style="132" bestFit="1" customWidth="1"/>
    <col min="11" max="11" width="10.140625" style="132" bestFit="1" customWidth="1"/>
    <col min="12" max="12" width="5" style="132" bestFit="1" customWidth="1"/>
    <col min="13" max="13" width="10.42578125" style="132" bestFit="1" customWidth="1"/>
    <col min="14" max="25" width="4.7109375" style="132" bestFit="1" customWidth="1"/>
    <col min="26" max="16384" width="9" style="132"/>
  </cols>
  <sheetData>
    <row r="1" spans="1:13" x14ac:dyDescent="0.25">
      <c r="A1" s="1" t="s">
        <v>0</v>
      </c>
      <c r="B1" s="1" t="s">
        <v>1</v>
      </c>
    </row>
    <row r="2" spans="1:13" x14ac:dyDescent="0.25">
      <c r="A2" s="38" t="s">
        <v>143</v>
      </c>
      <c r="B2" s="163" t="s">
        <v>136</v>
      </c>
    </row>
    <row r="4" spans="1:13" x14ac:dyDescent="0.25">
      <c r="A4" s="1" t="s">
        <v>136</v>
      </c>
      <c r="B4" s="152" t="str">
        <f>'Population Definitions'!$A$2</f>
        <v>0-4</v>
      </c>
      <c r="C4" s="152" t="str">
        <f>'Population Definitions'!$A$3</f>
        <v>5-14</v>
      </c>
      <c r="D4" s="152" t="str">
        <f>'Population Definitions'!$A$4</f>
        <v>15-64</v>
      </c>
      <c r="E4" s="152" t="str">
        <f>'Population Definitions'!$A$5</f>
        <v>65+</v>
      </c>
      <c r="F4" s="152" t="str">
        <f>'Population Definitions'!$A$6</f>
        <v>15-64 (HIV+)</v>
      </c>
      <c r="G4" s="152" t="str">
        <f>'Population Definitions'!$A$7</f>
        <v>65+ (HIV+)</v>
      </c>
      <c r="H4" s="152" t="str">
        <f>'Population Definitions'!$A$8</f>
        <v>Pris</v>
      </c>
      <c r="I4" s="152" t="str">
        <f>'Population Definitions'!$A$9</f>
        <v>Pris (HIV+)</v>
      </c>
      <c r="J4" s="152" t="str">
        <f>'Population Definitions'!$A$10</f>
        <v>HCW</v>
      </c>
      <c r="K4" s="152" t="str">
        <f>'Population Definitions'!$A$11</f>
        <v>HCW (HIV+)</v>
      </c>
      <c r="L4" s="152" t="str">
        <f>'Population Definitions'!$A$12</f>
        <v>Mine</v>
      </c>
      <c r="M4" s="152" t="str">
        <f>'Population Definitions'!$A$13</f>
        <v>Mine (HIV+)</v>
      </c>
    </row>
    <row r="5" spans="1:13" x14ac:dyDescent="0.25">
      <c r="A5" s="152" t="str">
        <f>'Population Definitions'!$A$2</f>
        <v>0-4</v>
      </c>
      <c r="B5" s="5">
        <v>5</v>
      </c>
      <c r="C5" s="5">
        <v>1</v>
      </c>
      <c r="D5" s="5">
        <v>3</v>
      </c>
      <c r="E5" s="5"/>
      <c r="F5" s="5">
        <v>1</v>
      </c>
      <c r="G5" s="5"/>
      <c r="H5" s="5"/>
      <c r="I5" s="5"/>
      <c r="J5" s="5"/>
      <c r="K5" s="5"/>
      <c r="L5" s="5"/>
      <c r="M5" s="5"/>
    </row>
    <row r="6" spans="1:13" x14ac:dyDescent="0.25">
      <c r="A6" s="152" t="str">
        <f>'Population Definitions'!$A$3</f>
        <v>5-14</v>
      </c>
      <c r="B6" s="5">
        <v>1</v>
      </c>
      <c r="C6" s="5">
        <v>5</v>
      </c>
      <c r="D6" s="5">
        <v>3</v>
      </c>
      <c r="E6" s="5">
        <v>1</v>
      </c>
      <c r="F6" s="5"/>
      <c r="G6" s="5"/>
      <c r="H6" s="5"/>
      <c r="I6" s="5"/>
      <c r="J6" s="5"/>
      <c r="K6" s="5"/>
      <c r="L6" s="5"/>
      <c r="M6" s="5"/>
    </row>
    <row r="7" spans="1:13" x14ac:dyDescent="0.25">
      <c r="A7" s="152" t="str">
        <f>'Population Definitions'!$A$4</f>
        <v>15-64</v>
      </c>
      <c r="B7" s="5">
        <v>1</v>
      </c>
      <c r="C7" s="5">
        <v>1</v>
      </c>
      <c r="D7" s="5">
        <v>5</v>
      </c>
      <c r="E7" s="5">
        <v>1</v>
      </c>
      <c r="F7" s="5">
        <v>1</v>
      </c>
      <c r="G7" s="5">
        <v>1</v>
      </c>
      <c r="H7" s="5"/>
      <c r="I7" s="5"/>
      <c r="J7" s="5"/>
      <c r="K7" s="5"/>
      <c r="L7" s="5"/>
      <c r="M7" s="5"/>
    </row>
    <row r="8" spans="1:13" x14ac:dyDescent="0.25">
      <c r="A8" s="152" t="str">
        <f>'Population Definitions'!$A$5</f>
        <v>65+</v>
      </c>
      <c r="B8" s="5"/>
      <c r="C8" s="5">
        <v>1</v>
      </c>
      <c r="D8" s="5">
        <v>1</v>
      </c>
      <c r="E8" s="5">
        <v>10</v>
      </c>
      <c r="F8" s="5">
        <v>1</v>
      </c>
      <c r="G8" s="5">
        <v>1</v>
      </c>
      <c r="H8" s="5"/>
      <c r="I8" s="5"/>
      <c r="J8" s="5"/>
      <c r="K8" s="5"/>
      <c r="L8" s="5"/>
      <c r="M8" s="5"/>
    </row>
    <row r="9" spans="1:13" x14ac:dyDescent="0.25">
      <c r="A9" s="152" t="str">
        <f>'Population Definitions'!$A$6</f>
        <v>15-64 (HIV+)</v>
      </c>
      <c r="B9" s="5">
        <v>1</v>
      </c>
      <c r="C9" s="5"/>
      <c r="D9" s="5">
        <v>1</v>
      </c>
      <c r="E9" s="5">
        <v>1</v>
      </c>
      <c r="F9" s="5">
        <v>5</v>
      </c>
      <c r="G9" s="5">
        <v>2</v>
      </c>
      <c r="H9" s="5"/>
      <c r="I9" s="5"/>
      <c r="J9" s="5"/>
      <c r="K9" s="5"/>
      <c r="L9" s="5"/>
      <c r="M9" s="5"/>
    </row>
    <row r="10" spans="1:13" x14ac:dyDescent="0.25">
      <c r="A10" s="152" t="str">
        <f>'Population Definitions'!$A$7</f>
        <v>65+ (HIV+)</v>
      </c>
      <c r="B10" s="5"/>
      <c r="C10" s="5"/>
      <c r="D10" s="5">
        <v>1</v>
      </c>
      <c r="E10" s="5">
        <v>1</v>
      </c>
      <c r="F10" s="5">
        <v>1</v>
      </c>
      <c r="G10" s="5">
        <v>10</v>
      </c>
      <c r="H10" s="5"/>
      <c r="I10" s="5"/>
      <c r="J10" s="5"/>
      <c r="K10" s="5"/>
      <c r="L10" s="5"/>
      <c r="M10" s="5"/>
    </row>
    <row r="11" spans="1:13" x14ac:dyDescent="0.25">
      <c r="A11" s="152" t="str">
        <f>'Population Definitions'!$A$8</f>
        <v>Pris</v>
      </c>
      <c r="B11" s="5"/>
      <c r="C11" s="5"/>
      <c r="D11" s="5"/>
      <c r="E11" s="5"/>
      <c r="F11" s="5"/>
      <c r="G11" s="5"/>
      <c r="H11" s="5">
        <v>1</v>
      </c>
      <c r="I11" s="5">
        <v>1</v>
      </c>
      <c r="J11" s="5"/>
      <c r="K11" s="5"/>
      <c r="L11" s="5"/>
      <c r="M11" s="5"/>
    </row>
    <row r="12" spans="1:13" x14ac:dyDescent="0.25">
      <c r="A12" s="152" t="str">
        <f>'Population Definitions'!$A$9</f>
        <v>Pris (HIV+)</v>
      </c>
      <c r="B12" s="5"/>
      <c r="C12" s="5"/>
      <c r="D12" s="5"/>
      <c r="E12" s="5"/>
      <c r="F12" s="5"/>
      <c r="G12" s="5"/>
      <c r="H12" s="5">
        <v>1</v>
      </c>
      <c r="I12" s="5">
        <v>1</v>
      </c>
      <c r="J12" s="5"/>
      <c r="K12" s="5"/>
      <c r="L12" s="5"/>
      <c r="M12" s="5"/>
    </row>
    <row r="13" spans="1:13" x14ac:dyDescent="0.25">
      <c r="A13" s="152" t="str">
        <f>'Population Definitions'!$A$10</f>
        <v>HCW</v>
      </c>
      <c r="B13" s="5"/>
      <c r="C13" s="5"/>
      <c r="D13" s="5">
        <v>1</v>
      </c>
      <c r="E13" s="5">
        <v>3</v>
      </c>
      <c r="F13" s="5">
        <v>5</v>
      </c>
      <c r="G13" s="5">
        <v>5</v>
      </c>
      <c r="H13" s="5" t="s">
        <v>137</v>
      </c>
      <c r="I13" s="5" t="s">
        <v>137</v>
      </c>
      <c r="J13" s="5">
        <v>10</v>
      </c>
      <c r="K13" s="5">
        <v>10</v>
      </c>
      <c r="L13" s="5"/>
      <c r="M13" s="5"/>
    </row>
    <row r="14" spans="1:13" x14ac:dyDescent="0.25">
      <c r="A14" s="152" t="str">
        <f>'Population Definitions'!$A$11</f>
        <v>HCW (HIV+)</v>
      </c>
      <c r="B14" s="5"/>
      <c r="C14" s="5"/>
      <c r="D14" s="5">
        <v>1</v>
      </c>
      <c r="E14" s="5">
        <v>3</v>
      </c>
      <c r="F14" s="5">
        <v>5</v>
      </c>
      <c r="G14" s="5">
        <v>5</v>
      </c>
      <c r="H14" s="5" t="s">
        <v>137</v>
      </c>
      <c r="I14" s="5" t="s">
        <v>137</v>
      </c>
      <c r="J14" s="5">
        <v>10</v>
      </c>
      <c r="K14" s="5">
        <v>10</v>
      </c>
      <c r="L14" s="5"/>
      <c r="M14" s="5"/>
    </row>
    <row r="15" spans="1:13" x14ac:dyDescent="0.25">
      <c r="A15" s="152" t="str">
        <f>'Population Definitions'!$A$12</f>
        <v>Mine</v>
      </c>
      <c r="B15" s="5"/>
      <c r="C15" s="5"/>
      <c r="D15" s="5"/>
      <c r="E15" s="5"/>
      <c r="F15" s="5"/>
      <c r="G15" s="5"/>
      <c r="H15" s="5" t="s">
        <v>137</v>
      </c>
      <c r="I15" s="5" t="s">
        <v>137</v>
      </c>
      <c r="J15" s="5"/>
      <c r="K15" s="5"/>
      <c r="L15" s="5">
        <v>1</v>
      </c>
      <c r="M15" s="5">
        <v>1</v>
      </c>
    </row>
    <row r="16" spans="1:13" x14ac:dyDescent="0.25">
      <c r="A16" s="152" t="str">
        <f>'Population Definitions'!$A$13</f>
        <v>Mine (HIV+)</v>
      </c>
      <c r="B16" s="5"/>
      <c r="C16" s="5"/>
      <c r="D16" s="5"/>
      <c r="E16" s="5"/>
      <c r="F16" s="5"/>
      <c r="G16" s="5"/>
      <c r="H16" s="5" t="s">
        <v>137</v>
      </c>
      <c r="I16" s="5" t="s">
        <v>137</v>
      </c>
      <c r="J16" s="5"/>
      <c r="K16" s="5"/>
      <c r="L16" s="5">
        <v>1</v>
      </c>
      <c r="M16" s="5">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8" t="str">
        <f>IF(NOT(OR(Interactions!B5="y",ISNUMBER(Interactions!B5))),"...",'Population Definitions'!$A$2)</f>
        <v>0-4</v>
      </c>
      <c r="B19" s="1" t="str">
        <f t="shared" ref="B19:B82" si="0">IF(C19="","","---&gt;")</f>
        <v>---&gt;</v>
      </c>
      <c r="C19" s="38" t="str">
        <f>IF(NOT(OR(Interactions!B5="y",ISNUMBER(Interactions!B5))),"",'Population Definitions'!$A$2)</f>
        <v>0-4</v>
      </c>
      <c r="D19" s="132" t="str">
        <f>IF(OR(Interactions!B5="y",ISNUMBER(Interactions!B5)),"N.A.","")</f>
        <v>N.A.</v>
      </c>
      <c r="E19" s="132">
        <f>IF(OR(Interactions!B5="y",ISNUMBER(Interactions!B5)),IF(SUMPRODUCT(--(G19:Y19&lt;&gt;""))=0,IF(ISNUMBER(Interactions!B5),Interactions!B5,1),"N.A."),"")</f>
        <v>5</v>
      </c>
      <c r="F19" s="38" t="str">
        <f>IF(OR(Interactions!B5="y",ISNUMBER(Interactions!B5)),"OR","")</f>
        <v>OR</v>
      </c>
    </row>
    <row r="20" spans="1:25" x14ac:dyDescent="0.25">
      <c r="A20" s="38" t="str">
        <f>IF(NOT(OR(Interactions!C5="y",ISNUMBER(Interactions!C5))),"...",'Population Definitions'!$A$2)</f>
        <v>0-4</v>
      </c>
      <c r="B20" s="1" t="str">
        <f t="shared" si="0"/>
        <v>---&gt;</v>
      </c>
      <c r="C20" s="38" t="str">
        <f>IF(NOT(OR(Interactions!C5="y",ISNUMBER(Interactions!C5))),"",'Population Definitions'!$A$3)</f>
        <v>5-14</v>
      </c>
      <c r="D20" s="132" t="str">
        <f>IF(OR(Interactions!C5="y",ISNUMBER(Interactions!C5)),"N.A.","")</f>
        <v>N.A.</v>
      </c>
      <c r="E20" s="132">
        <f>IF(OR(Interactions!C5="y",ISNUMBER(Interactions!C5)),IF(SUMPRODUCT(--(G20:Y20&lt;&gt;""))=0,IF(ISNUMBER(Interactions!C5),Interactions!C5,1),"N.A."),"")</f>
        <v>1</v>
      </c>
      <c r="F20" s="38" t="str">
        <f>IF(OR(Interactions!C5="y",ISNUMBER(Interactions!C5)),"OR","")</f>
        <v>OR</v>
      </c>
    </row>
    <row r="21" spans="1:25" x14ac:dyDescent="0.25">
      <c r="A21" s="38" t="str">
        <f>IF(NOT(OR(Interactions!D5="y",ISNUMBER(Interactions!D5))),"...",'Population Definitions'!$A$2)</f>
        <v>0-4</v>
      </c>
      <c r="B21" s="1" t="str">
        <f t="shared" si="0"/>
        <v>---&gt;</v>
      </c>
      <c r="C21" s="38" t="str">
        <f>IF(NOT(OR(Interactions!D5="y",ISNUMBER(Interactions!D5))),"",'Population Definitions'!$A$4)</f>
        <v>15-64</v>
      </c>
      <c r="D21" s="132" t="str">
        <f>IF(OR(Interactions!D5="y",ISNUMBER(Interactions!D5)),"N.A.","")</f>
        <v>N.A.</v>
      </c>
      <c r="E21" s="132">
        <f>IF(OR(Interactions!D5="y",ISNUMBER(Interactions!D5)),IF(SUMPRODUCT(--(G21:Y21&lt;&gt;""))=0,IF(ISNUMBER(Interactions!D5),Interactions!D5,1),"N.A."),"")</f>
        <v>3</v>
      </c>
      <c r="F21" s="38" t="str">
        <f>IF(OR(Interactions!D5="y",ISNUMBER(Interactions!D5)),"OR","")</f>
        <v>OR</v>
      </c>
    </row>
    <row r="22" spans="1:25" x14ac:dyDescent="0.25">
      <c r="A22" s="38" t="str">
        <f>IF(NOT(OR(Interactions!E5="y",ISNUMBER(Interactions!E5))),"...",'Population Definitions'!$A$2)</f>
        <v>...</v>
      </c>
      <c r="B22" s="1" t="str">
        <f t="shared" si="0"/>
        <v/>
      </c>
      <c r="C22" s="38" t="str">
        <f>IF(NOT(OR(Interactions!E5="y",ISNUMBER(Interactions!E5))),"",'Population Definitions'!$A$5)</f>
        <v/>
      </c>
      <c r="D22" s="132" t="str">
        <f>IF(OR(Interactions!E5="y",ISNUMBER(Interactions!E5)),"N.A.","")</f>
        <v/>
      </c>
      <c r="E22" s="132" t="str">
        <f>IF(OR(Interactions!E5="y",ISNUMBER(Interactions!E5)),IF(SUMPRODUCT(--(G22:Y22&lt;&gt;""))=0,IF(ISNUMBER(Interactions!E5),Interactions!E5,1),"N.A."),"")</f>
        <v/>
      </c>
      <c r="F22" s="38" t="str">
        <f>IF(OR(Interactions!E5="y",ISNUMBER(Interactions!E5)),"OR","")</f>
        <v/>
      </c>
    </row>
    <row r="23" spans="1:25" x14ac:dyDescent="0.25">
      <c r="A23" s="38" t="str">
        <f>IF(NOT(OR(Interactions!F5="y",ISNUMBER(Interactions!F5))),"...",'Population Definitions'!$A$2)</f>
        <v>0-4</v>
      </c>
      <c r="B23" s="1" t="str">
        <f t="shared" si="0"/>
        <v>---&gt;</v>
      </c>
      <c r="C23" s="38" t="str">
        <f>IF(NOT(OR(Interactions!F5="y",ISNUMBER(Interactions!F5))),"",'Population Definitions'!$A$6)</f>
        <v>15-64 (HIV+)</v>
      </c>
      <c r="D23" s="132" t="str">
        <f>IF(OR(Interactions!F5="y",ISNUMBER(Interactions!F5)),"N.A.","")</f>
        <v>N.A.</v>
      </c>
      <c r="E23" s="132">
        <f>IF(OR(Interactions!F5="y",ISNUMBER(Interactions!F5)),IF(SUMPRODUCT(--(G23:Y23&lt;&gt;""))=0,IF(ISNUMBER(Interactions!F5),Interactions!F5,1),"N.A."),"")</f>
        <v>1</v>
      </c>
      <c r="F23" s="38" t="str">
        <f>IF(OR(Interactions!F5="y",ISNUMBER(Interactions!F5)),"OR","")</f>
        <v>OR</v>
      </c>
    </row>
    <row r="24" spans="1:25" x14ac:dyDescent="0.25">
      <c r="A24" s="38" t="str">
        <f>IF(NOT(OR(Interactions!G5="y",ISNUMBER(Interactions!G5))),"...",'Population Definitions'!$A$2)</f>
        <v>...</v>
      </c>
      <c r="B24" s="1" t="str">
        <f t="shared" si="0"/>
        <v/>
      </c>
      <c r="C24" s="38" t="str">
        <f>IF(NOT(OR(Interactions!G5="y",ISNUMBER(Interactions!G5))),"",'Population Definitions'!$A$7)</f>
        <v/>
      </c>
      <c r="D24" s="132" t="str">
        <f>IF(OR(Interactions!G5="y",ISNUMBER(Interactions!G5)),"N.A.","")</f>
        <v/>
      </c>
      <c r="E24" s="132" t="str">
        <f>IF(OR(Interactions!G5="y",ISNUMBER(Interactions!G5)),IF(SUMPRODUCT(--(G24:Y24&lt;&gt;""))=0,IF(ISNUMBER(Interactions!G5),Interactions!G5,1),"N.A."),"")</f>
        <v/>
      </c>
      <c r="F24" s="38" t="str">
        <f>IF(OR(Interactions!G5="y",ISNUMBER(Interactions!G5)),"OR","")</f>
        <v/>
      </c>
    </row>
    <row r="25" spans="1:25" x14ac:dyDescent="0.25">
      <c r="A25" s="38" t="str">
        <f>IF(NOT(OR(Interactions!H5="y",ISNUMBER(Interactions!H5))),"...",'Population Definitions'!$A$2)</f>
        <v>...</v>
      </c>
      <c r="B25" s="1" t="str">
        <f t="shared" si="0"/>
        <v/>
      </c>
      <c r="C25" s="38" t="str">
        <f>IF(NOT(OR(Interactions!H5="y",ISNUMBER(Interactions!H5))),"",'Population Definitions'!$A$8)</f>
        <v/>
      </c>
      <c r="D25" s="132" t="str">
        <f>IF(OR(Interactions!H5="y",ISNUMBER(Interactions!H5)),"N.A.","")</f>
        <v/>
      </c>
      <c r="E25" s="132" t="str">
        <f>IF(OR(Interactions!H5="y",ISNUMBER(Interactions!H5)),IF(SUMPRODUCT(--(G25:Y25&lt;&gt;""))=0,IF(ISNUMBER(Interactions!H5),Interactions!H5,1),"N.A."),"")</f>
        <v/>
      </c>
      <c r="F25" s="38" t="str">
        <f>IF(OR(Interactions!H5="y",ISNUMBER(Interactions!H5)),"OR","")</f>
        <v/>
      </c>
    </row>
    <row r="26" spans="1:25" x14ac:dyDescent="0.25">
      <c r="A26" s="38" t="str">
        <f>IF(NOT(OR(Interactions!I5="y",ISNUMBER(Interactions!I5))),"...",'Population Definitions'!$A$2)</f>
        <v>...</v>
      </c>
      <c r="B26" s="1" t="str">
        <f t="shared" si="0"/>
        <v/>
      </c>
      <c r="C26" s="38" t="str">
        <f>IF(NOT(OR(Interactions!I5="y",ISNUMBER(Interactions!I5))),"",'Population Definitions'!$A$9)</f>
        <v/>
      </c>
      <c r="D26" s="132" t="str">
        <f>IF(OR(Interactions!I5="y",ISNUMBER(Interactions!I5)),"N.A.","")</f>
        <v/>
      </c>
      <c r="E26" s="132" t="str">
        <f>IF(OR(Interactions!I5="y",ISNUMBER(Interactions!I5)),IF(SUMPRODUCT(--(G26:Y26&lt;&gt;""))=0,IF(ISNUMBER(Interactions!I5),Interactions!I5,1),"N.A."),"")</f>
        <v/>
      </c>
      <c r="F26" s="38" t="str">
        <f>IF(OR(Interactions!I5="y",ISNUMBER(Interactions!I5)),"OR","")</f>
        <v/>
      </c>
    </row>
    <row r="27" spans="1:25" x14ac:dyDescent="0.25">
      <c r="A27" s="38" t="str">
        <f>IF(NOT(OR(Interactions!J5="y",ISNUMBER(Interactions!J5))),"...",'Population Definitions'!$A$2)</f>
        <v>...</v>
      </c>
      <c r="B27" s="1" t="str">
        <f t="shared" si="0"/>
        <v/>
      </c>
      <c r="C27" s="38" t="str">
        <f>IF(NOT(OR(Interactions!J5="y",ISNUMBER(Interactions!J5))),"",'Population Definitions'!$A$10)</f>
        <v/>
      </c>
      <c r="D27" s="132" t="str">
        <f>IF(OR(Interactions!J5="y",ISNUMBER(Interactions!J5)),"N.A.","")</f>
        <v/>
      </c>
      <c r="E27" s="132" t="str">
        <f>IF(OR(Interactions!J5="y",ISNUMBER(Interactions!J5)),IF(SUMPRODUCT(--(G27:Y27&lt;&gt;""))=0,IF(ISNUMBER(Interactions!J5),Interactions!J5,1),"N.A."),"")</f>
        <v/>
      </c>
      <c r="F27" s="38" t="str">
        <f>IF(OR(Interactions!J5="y",ISNUMBER(Interactions!J5)),"OR","")</f>
        <v/>
      </c>
    </row>
    <row r="28" spans="1:25" x14ac:dyDescent="0.25">
      <c r="A28" s="38" t="str">
        <f>IF(NOT(OR(Interactions!K5="y",ISNUMBER(Interactions!K5))),"...",'Population Definitions'!$A$2)</f>
        <v>...</v>
      </c>
      <c r="B28" s="1" t="str">
        <f t="shared" si="0"/>
        <v/>
      </c>
      <c r="C28" s="38" t="str">
        <f>IF(NOT(OR(Interactions!K5="y",ISNUMBER(Interactions!K5))),"",'Population Definitions'!$A$11)</f>
        <v/>
      </c>
      <c r="D28" s="132" t="str">
        <f>IF(OR(Interactions!K5="y",ISNUMBER(Interactions!K5)),"N.A.","")</f>
        <v/>
      </c>
      <c r="E28" s="132" t="str">
        <f>IF(OR(Interactions!K5="y",ISNUMBER(Interactions!K5)),IF(SUMPRODUCT(--(G28:Y28&lt;&gt;""))=0,IF(ISNUMBER(Interactions!K5),Interactions!K5,1),"N.A."),"")</f>
        <v/>
      </c>
      <c r="F28" s="38" t="str">
        <f>IF(OR(Interactions!K5="y",ISNUMBER(Interactions!K5)),"OR","")</f>
        <v/>
      </c>
    </row>
    <row r="29" spans="1:25" x14ac:dyDescent="0.25">
      <c r="A29" s="38" t="str">
        <f>IF(NOT(OR(Interactions!L5="y",ISNUMBER(Interactions!L5))),"...",'Population Definitions'!$A$2)</f>
        <v>...</v>
      </c>
      <c r="B29" s="1" t="str">
        <f t="shared" si="0"/>
        <v/>
      </c>
      <c r="C29" s="38" t="str">
        <f>IF(NOT(OR(Interactions!L5="y",ISNUMBER(Interactions!L5))),"",'Population Definitions'!$A$12)</f>
        <v/>
      </c>
      <c r="D29" s="132" t="str">
        <f>IF(OR(Interactions!L5="y",ISNUMBER(Interactions!L5)),"N.A.","")</f>
        <v/>
      </c>
      <c r="E29" s="132" t="str">
        <f>IF(OR(Interactions!L5="y",ISNUMBER(Interactions!L5)),IF(SUMPRODUCT(--(G29:Y29&lt;&gt;""))=0,IF(ISNUMBER(Interactions!L5),Interactions!L5,1),"N.A."),"")</f>
        <v/>
      </c>
      <c r="F29" s="38" t="str">
        <f>IF(OR(Interactions!L5="y",ISNUMBER(Interactions!L5)),"OR","")</f>
        <v/>
      </c>
    </row>
    <row r="30" spans="1:25" x14ac:dyDescent="0.25">
      <c r="A30" s="38" t="str">
        <f>IF(NOT(OR(Interactions!M5="y",ISNUMBER(Interactions!M5))),"...",'Population Definitions'!$A$2)</f>
        <v>...</v>
      </c>
      <c r="B30" s="1" t="str">
        <f t="shared" si="0"/>
        <v/>
      </c>
      <c r="C30" s="38" t="str">
        <f>IF(NOT(OR(Interactions!M5="y",ISNUMBER(Interactions!M5))),"",'Population Definitions'!$A$13)</f>
        <v/>
      </c>
      <c r="D30" s="132" t="str">
        <f>IF(OR(Interactions!M5="y",ISNUMBER(Interactions!M5)),"N.A.","")</f>
        <v/>
      </c>
      <c r="E30" s="132" t="str">
        <f>IF(OR(Interactions!M5="y",ISNUMBER(Interactions!M5)),IF(SUMPRODUCT(--(G30:Y30&lt;&gt;""))=0,IF(ISNUMBER(Interactions!M5),Interactions!M5,1),"N.A."),"")</f>
        <v/>
      </c>
      <c r="F30" s="38" t="str">
        <f>IF(OR(Interactions!M5="y",ISNUMBER(Interactions!M5)),"OR","")</f>
        <v/>
      </c>
    </row>
    <row r="31" spans="1:25" x14ac:dyDescent="0.25">
      <c r="A31" s="38" t="str">
        <f>IF(NOT(OR(Interactions!B6="y",ISNUMBER(Interactions!B6))),"...",'Population Definitions'!$A$3)</f>
        <v>5-14</v>
      </c>
      <c r="B31" s="1" t="str">
        <f t="shared" si="0"/>
        <v>---&gt;</v>
      </c>
      <c r="C31" s="38" t="str">
        <f>IF(NOT(OR(Interactions!B6="y",ISNUMBER(Interactions!B6))),"",'Population Definitions'!$A$2)</f>
        <v>0-4</v>
      </c>
      <c r="D31" s="132" t="str">
        <f>IF(OR(Interactions!B6="y",ISNUMBER(Interactions!B6)),"N.A.","")</f>
        <v>N.A.</v>
      </c>
      <c r="E31" s="132">
        <f>IF(OR(Interactions!B6="y",ISNUMBER(Interactions!B6)),IF(SUMPRODUCT(--(G31:Y31&lt;&gt;""))=0,IF(ISNUMBER(Interactions!B6),Interactions!B6,1),"N.A."),"")</f>
        <v>1</v>
      </c>
      <c r="F31" s="38" t="str">
        <f>IF(OR(Interactions!B6="y",ISNUMBER(Interactions!B6)),"OR","")</f>
        <v>OR</v>
      </c>
    </row>
    <row r="32" spans="1:25" x14ac:dyDescent="0.25">
      <c r="A32" s="38" t="str">
        <f>IF(NOT(OR(Interactions!C6="y",ISNUMBER(Interactions!C6))),"...",'Population Definitions'!$A$3)</f>
        <v>5-14</v>
      </c>
      <c r="B32" s="1" t="str">
        <f t="shared" si="0"/>
        <v>---&gt;</v>
      </c>
      <c r="C32" s="38" t="str">
        <f>IF(NOT(OR(Interactions!C6="y",ISNUMBER(Interactions!C6))),"",'Population Definitions'!$A$3)</f>
        <v>5-14</v>
      </c>
      <c r="D32" s="132" t="str">
        <f>IF(OR(Interactions!C6="y",ISNUMBER(Interactions!C6)),"N.A.","")</f>
        <v>N.A.</v>
      </c>
      <c r="E32" s="132">
        <f>IF(OR(Interactions!C6="y",ISNUMBER(Interactions!C6)),IF(SUMPRODUCT(--(G32:Y32&lt;&gt;""))=0,IF(ISNUMBER(Interactions!C6),Interactions!C6,1),"N.A."),"")</f>
        <v>5</v>
      </c>
      <c r="F32" s="38" t="str">
        <f>IF(OR(Interactions!C6="y",ISNUMBER(Interactions!C6)),"OR","")</f>
        <v>OR</v>
      </c>
    </row>
    <row r="33" spans="1:6" x14ac:dyDescent="0.25">
      <c r="A33" s="38" t="str">
        <f>IF(NOT(OR(Interactions!D6="y",ISNUMBER(Interactions!D6))),"...",'Population Definitions'!$A$3)</f>
        <v>5-14</v>
      </c>
      <c r="B33" s="1" t="str">
        <f t="shared" si="0"/>
        <v>---&gt;</v>
      </c>
      <c r="C33" s="38" t="str">
        <f>IF(NOT(OR(Interactions!D6="y",ISNUMBER(Interactions!D6))),"",'Population Definitions'!$A$4)</f>
        <v>15-64</v>
      </c>
      <c r="D33" s="132" t="str">
        <f>IF(OR(Interactions!D6="y",ISNUMBER(Interactions!D6)),"N.A.","")</f>
        <v>N.A.</v>
      </c>
      <c r="E33" s="132">
        <f>IF(OR(Interactions!D6="y",ISNUMBER(Interactions!D6)),IF(SUMPRODUCT(--(G33:Y33&lt;&gt;""))=0,IF(ISNUMBER(Interactions!D6),Interactions!D6,1),"N.A."),"")</f>
        <v>3</v>
      </c>
      <c r="F33" s="38" t="str">
        <f>IF(OR(Interactions!D6="y",ISNUMBER(Interactions!D6)),"OR","")</f>
        <v>OR</v>
      </c>
    </row>
    <row r="34" spans="1:6" x14ac:dyDescent="0.25">
      <c r="A34" s="38" t="str">
        <f>IF(NOT(OR(Interactions!E6="y",ISNUMBER(Interactions!E6))),"...",'Population Definitions'!$A$3)</f>
        <v>5-14</v>
      </c>
      <c r="B34" s="1" t="str">
        <f t="shared" si="0"/>
        <v>---&gt;</v>
      </c>
      <c r="C34" s="38" t="str">
        <f>IF(NOT(OR(Interactions!E6="y",ISNUMBER(Interactions!E6))),"",'Population Definitions'!$A$5)</f>
        <v>65+</v>
      </c>
      <c r="D34" s="132" t="str">
        <f>IF(OR(Interactions!E6="y",ISNUMBER(Interactions!E6)),"N.A.","")</f>
        <v>N.A.</v>
      </c>
      <c r="E34" s="132">
        <f>IF(OR(Interactions!E6="y",ISNUMBER(Interactions!E6)),IF(SUMPRODUCT(--(G34:Y34&lt;&gt;""))=0,IF(ISNUMBER(Interactions!E6),Interactions!E6,1),"N.A."),"")</f>
        <v>1</v>
      </c>
      <c r="F34" s="38" t="str">
        <f>IF(OR(Interactions!E6="y",ISNUMBER(Interactions!E6)),"OR","")</f>
        <v>OR</v>
      </c>
    </row>
    <row r="35" spans="1:6" x14ac:dyDescent="0.25">
      <c r="A35" s="38" t="str">
        <f>IF(NOT(OR(Interactions!F6="y",ISNUMBER(Interactions!F6))),"...",'Population Definitions'!$A$3)</f>
        <v>...</v>
      </c>
      <c r="B35" s="1" t="str">
        <f t="shared" si="0"/>
        <v/>
      </c>
      <c r="C35" s="38" t="str">
        <f>IF(NOT(OR(Interactions!F6="y",ISNUMBER(Interactions!F6))),"",'Population Definitions'!$A$6)</f>
        <v/>
      </c>
      <c r="D35" s="132" t="str">
        <f>IF(OR(Interactions!F6="y",ISNUMBER(Interactions!F6)),"N.A.","")</f>
        <v/>
      </c>
      <c r="E35" s="132" t="str">
        <f>IF(OR(Interactions!F6="y",ISNUMBER(Interactions!F6)),IF(SUMPRODUCT(--(G35:Y35&lt;&gt;""))=0,IF(ISNUMBER(Interactions!F6),Interactions!F6,1),"N.A."),"")</f>
        <v/>
      </c>
      <c r="F35" s="38" t="str">
        <f>IF(OR(Interactions!F6="y",ISNUMBER(Interactions!F6)),"OR","")</f>
        <v/>
      </c>
    </row>
    <row r="36" spans="1:6" x14ac:dyDescent="0.25">
      <c r="A36" s="38" t="str">
        <f>IF(NOT(OR(Interactions!G6="y",ISNUMBER(Interactions!G6))),"...",'Population Definitions'!$A$3)</f>
        <v>...</v>
      </c>
      <c r="B36" s="1" t="str">
        <f t="shared" si="0"/>
        <v/>
      </c>
      <c r="C36" s="38" t="str">
        <f>IF(NOT(OR(Interactions!G6="y",ISNUMBER(Interactions!G6))),"",'Population Definitions'!$A$7)</f>
        <v/>
      </c>
      <c r="D36" s="132" t="str">
        <f>IF(OR(Interactions!G6="y",ISNUMBER(Interactions!G6)),"N.A.","")</f>
        <v/>
      </c>
      <c r="E36" s="132" t="str">
        <f>IF(OR(Interactions!G6="y",ISNUMBER(Interactions!G6)),IF(SUMPRODUCT(--(G36:Y36&lt;&gt;""))=0,IF(ISNUMBER(Interactions!G6),Interactions!G6,1),"N.A."),"")</f>
        <v/>
      </c>
      <c r="F36" s="38" t="str">
        <f>IF(OR(Interactions!G6="y",ISNUMBER(Interactions!G6)),"OR","")</f>
        <v/>
      </c>
    </row>
    <row r="37" spans="1:6" x14ac:dyDescent="0.25">
      <c r="A37" s="38" t="str">
        <f>IF(NOT(OR(Interactions!H6="y",ISNUMBER(Interactions!H6))),"...",'Population Definitions'!$A$3)</f>
        <v>...</v>
      </c>
      <c r="B37" s="1" t="str">
        <f t="shared" si="0"/>
        <v/>
      </c>
      <c r="C37" s="38" t="str">
        <f>IF(NOT(OR(Interactions!H6="y",ISNUMBER(Interactions!H6))),"",'Population Definitions'!$A$8)</f>
        <v/>
      </c>
      <c r="D37" s="132" t="str">
        <f>IF(OR(Interactions!H6="y",ISNUMBER(Interactions!H6)),"N.A.","")</f>
        <v/>
      </c>
      <c r="E37" s="132" t="str">
        <f>IF(OR(Interactions!H6="y",ISNUMBER(Interactions!H6)),IF(SUMPRODUCT(--(G37:Y37&lt;&gt;""))=0,IF(ISNUMBER(Interactions!H6),Interactions!H6,1),"N.A."),"")</f>
        <v/>
      </c>
      <c r="F37" s="38" t="str">
        <f>IF(OR(Interactions!H6="y",ISNUMBER(Interactions!H6)),"OR","")</f>
        <v/>
      </c>
    </row>
    <row r="38" spans="1:6" x14ac:dyDescent="0.25">
      <c r="A38" s="38" t="str">
        <f>IF(NOT(OR(Interactions!I6="y",ISNUMBER(Interactions!I6))),"...",'Population Definitions'!$A$3)</f>
        <v>...</v>
      </c>
      <c r="B38" s="1" t="str">
        <f t="shared" si="0"/>
        <v/>
      </c>
      <c r="C38" s="38" t="str">
        <f>IF(NOT(OR(Interactions!I6="y",ISNUMBER(Interactions!I6))),"",'Population Definitions'!$A$9)</f>
        <v/>
      </c>
      <c r="D38" s="132" t="str">
        <f>IF(OR(Interactions!I6="y",ISNUMBER(Interactions!I6)),"N.A.","")</f>
        <v/>
      </c>
      <c r="E38" s="132" t="str">
        <f>IF(OR(Interactions!I6="y",ISNUMBER(Interactions!I6)),IF(SUMPRODUCT(--(G38:Y38&lt;&gt;""))=0,IF(ISNUMBER(Interactions!I6),Interactions!I6,1),"N.A."),"")</f>
        <v/>
      </c>
      <c r="F38" s="38" t="str">
        <f>IF(OR(Interactions!I6="y",ISNUMBER(Interactions!I6)),"OR","")</f>
        <v/>
      </c>
    </row>
    <row r="39" spans="1:6" x14ac:dyDescent="0.25">
      <c r="A39" s="38" t="str">
        <f>IF(NOT(OR(Interactions!J6="y",ISNUMBER(Interactions!J6))),"...",'Population Definitions'!$A$3)</f>
        <v>...</v>
      </c>
      <c r="B39" s="1" t="str">
        <f t="shared" si="0"/>
        <v/>
      </c>
      <c r="C39" s="38" t="str">
        <f>IF(NOT(OR(Interactions!J6="y",ISNUMBER(Interactions!J6))),"",'Population Definitions'!$A$10)</f>
        <v/>
      </c>
      <c r="D39" s="132" t="str">
        <f>IF(OR(Interactions!J6="y",ISNUMBER(Interactions!J6)),"N.A.","")</f>
        <v/>
      </c>
      <c r="E39" s="132" t="str">
        <f>IF(OR(Interactions!J6="y",ISNUMBER(Interactions!J6)),IF(SUMPRODUCT(--(G39:Y39&lt;&gt;""))=0,IF(ISNUMBER(Interactions!J6),Interactions!J6,1),"N.A."),"")</f>
        <v/>
      </c>
      <c r="F39" s="38" t="str">
        <f>IF(OR(Interactions!J6="y",ISNUMBER(Interactions!J6)),"OR","")</f>
        <v/>
      </c>
    </row>
    <row r="40" spans="1:6" x14ac:dyDescent="0.25">
      <c r="A40" s="38" t="str">
        <f>IF(NOT(OR(Interactions!K6="y",ISNUMBER(Interactions!K6))),"...",'Population Definitions'!$A$3)</f>
        <v>...</v>
      </c>
      <c r="B40" s="1" t="str">
        <f t="shared" si="0"/>
        <v/>
      </c>
      <c r="C40" s="38" t="str">
        <f>IF(NOT(OR(Interactions!K6="y",ISNUMBER(Interactions!K6))),"",'Population Definitions'!$A$11)</f>
        <v/>
      </c>
      <c r="D40" s="132" t="str">
        <f>IF(OR(Interactions!K6="y",ISNUMBER(Interactions!K6)),"N.A.","")</f>
        <v/>
      </c>
      <c r="E40" s="132" t="str">
        <f>IF(OR(Interactions!K6="y",ISNUMBER(Interactions!K6)),IF(SUMPRODUCT(--(G40:Y40&lt;&gt;""))=0,IF(ISNUMBER(Interactions!K6),Interactions!K6,1),"N.A."),"")</f>
        <v/>
      </c>
      <c r="F40" s="38" t="str">
        <f>IF(OR(Interactions!K6="y",ISNUMBER(Interactions!K6)),"OR","")</f>
        <v/>
      </c>
    </row>
    <row r="41" spans="1:6" x14ac:dyDescent="0.25">
      <c r="A41" s="38" t="str">
        <f>IF(NOT(OR(Interactions!L6="y",ISNUMBER(Interactions!L6))),"...",'Population Definitions'!$A$3)</f>
        <v>...</v>
      </c>
      <c r="B41" s="1" t="str">
        <f t="shared" si="0"/>
        <v/>
      </c>
      <c r="C41" s="38" t="str">
        <f>IF(NOT(OR(Interactions!L6="y",ISNUMBER(Interactions!L6))),"",'Population Definitions'!$A$12)</f>
        <v/>
      </c>
      <c r="D41" s="132" t="str">
        <f>IF(OR(Interactions!L6="y",ISNUMBER(Interactions!L6)),"N.A.","")</f>
        <v/>
      </c>
      <c r="E41" s="132" t="str">
        <f>IF(OR(Interactions!L6="y",ISNUMBER(Interactions!L6)),IF(SUMPRODUCT(--(G41:Y41&lt;&gt;""))=0,IF(ISNUMBER(Interactions!L6),Interactions!L6,1),"N.A."),"")</f>
        <v/>
      </c>
      <c r="F41" s="38" t="str">
        <f>IF(OR(Interactions!L6="y",ISNUMBER(Interactions!L6)),"OR","")</f>
        <v/>
      </c>
    </row>
    <row r="42" spans="1:6" x14ac:dyDescent="0.25">
      <c r="A42" s="38" t="str">
        <f>IF(NOT(OR(Interactions!M6="y",ISNUMBER(Interactions!M6))),"...",'Population Definitions'!$A$3)</f>
        <v>...</v>
      </c>
      <c r="B42" s="1" t="str">
        <f t="shared" si="0"/>
        <v/>
      </c>
      <c r="C42" s="38" t="str">
        <f>IF(NOT(OR(Interactions!M6="y",ISNUMBER(Interactions!M6))),"",'Population Definitions'!$A$13)</f>
        <v/>
      </c>
      <c r="D42" s="132" t="str">
        <f>IF(OR(Interactions!M6="y",ISNUMBER(Interactions!M6)),"N.A.","")</f>
        <v/>
      </c>
      <c r="E42" s="132" t="str">
        <f>IF(OR(Interactions!M6="y",ISNUMBER(Interactions!M6)),IF(SUMPRODUCT(--(G42:Y42&lt;&gt;""))=0,IF(ISNUMBER(Interactions!M6),Interactions!M6,1),"N.A."),"")</f>
        <v/>
      </c>
      <c r="F42" s="38" t="str">
        <f>IF(OR(Interactions!M6="y",ISNUMBER(Interactions!M6)),"OR","")</f>
        <v/>
      </c>
    </row>
    <row r="43" spans="1:6" x14ac:dyDescent="0.25">
      <c r="A43" s="38" t="str">
        <f>IF(NOT(OR(Interactions!B7="y",ISNUMBER(Interactions!B7))),"...",'Population Definitions'!$A$4)</f>
        <v>15-64</v>
      </c>
      <c r="B43" s="1" t="str">
        <f t="shared" si="0"/>
        <v>---&gt;</v>
      </c>
      <c r="C43" s="38" t="str">
        <f>IF(NOT(OR(Interactions!B7="y",ISNUMBER(Interactions!B7))),"",'Population Definitions'!$A$2)</f>
        <v>0-4</v>
      </c>
      <c r="D43" s="132" t="str">
        <f>IF(OR(Interactions!B7="y",ISNUMBER(Interactions!B7)),"N.A.","")</f>
        <v>N.A.</v>
      </c>
      <c r="E43" s="132">
        <f>IF(OR(Interactions!B7="y",ISNUMBER(Interactions!B7)),IF(SUMPRODUCT(--(G43:Y43&lt;&gt;""))=0,IF(ISNUMBER(Interactions!B7),Interactions!B7,1),"N.A."),"")</f>
        <v>1</v>
      </c>
      <c r="F43" s="38" t="str">
        <f>IF(OR(Interactions!B7="y",ISNUMBER(Interactions!B7)),"OR","")</f>
        <v>OR</v>
      </c>
    </row>
    <row r="44" spans="1:6" x14ac:dyDescent="0.25">
      <c r="A44" s="38" t="str">
        <f>IF(NOT(OR(Interactions!C7="y",ISNUMBER(Interactions!C7))),"...",'Population Definitions'!$A$4)</f>
        <v>15-64</v>
      </c>
      <c r="B44" s="1" t="str">
        <f t="shared" si="0"/>
        <v>---&gt;</v>
      </c>
      <c r="C44" s="38" t="str">
        <f>IF(NOT(OR(Interactions!C7="y",ISNUMBER(Interactions!C7))),"",'Population Definitions'!$A$3)</f>
        <v>5-14</v>
      </c>
      <c r="D44" s="132" t="str">
        <f>IF(OR(Interactions!C7="y",ISNUMBER(Interactions!C7)),"N.A.","")</f>
        <v>N.A.</v>
      </c>
      <c r="E44" s="132">
        <f>IF(OR(Interactions!C7="y",ISNUMBER(Interactions!C7)),IF(SUMPRODUCT(--(G44:Y44&lt;&gt;""))=0,IF(ISNUMBER(Interactions!C7),Interactions!C7,1),"N.A."),"")</f>
        <v>1</v>
      </c>
      <c r="F44" s="38" t="str">
        <f>IF(OR(Interactions!C7="y",ISNUMBER(Interactions!C7)),"OR","")</f>
        <v>OR</v>
      </c>
    </row>
    <row r="45" spans="1:6" x14ac:dyDescent="0.25">
      <c r="A45" s="38" t="str">
        <f>IF(NOT(OR(Interactions!D7="y",ISNUMBER(Interactions!D7))),"...",'Population Definitions'!$A$4)</f>
        <v>15-64</v>
      </c>
      <c r="B45" s="1" t="str">
        <f t="shared" si="0"/>
        <v>---&gt;</v>
      </c>
      <c r="C45" s="38" t="str">
        <f>IF(NOT(OR(Interactions!D7="y",ISNUMBER(Interactions!D7))),"",'Population Definitions'!$A$4)</f>
        <v>15-64</v>
      </c>
      <c r="D45" s="132" t="str">
        <f>IF(OR(Interactions!D7="y",ISNUMBER(Interactions!D7)),"N.A.","")</f>
        <v>N.A.</v>
      </c>
      <c r="E45" s="132">
        <f>IF(OR(Interactions!D7="y",ISNUMBER(Interactions!D7)),IF(SUMPRODUCT(--(G45:Y45&lt;&gt;""))=0,IF(ISNUMBER(Interactions!D7),Interactions!D7,1),"N.A."),"")</f>
        <v>5</v>
      </c>
      <c r="F45" s="38" t="str">
        <f>IF(OR(Interactions!D7="y",ISNUMBER(Interactions!D7)),"OR","")</f>
        <v>OR</v>
      </c>
    </row>
    <row r="46" spans="1:6" x14ac:dyDescent="0.25">
      <c r="A46" s="38" t="str">
        <f>IF(NOT(OR(Interactions!E7="y",ISNUMBER(Interactions!E7))),"...",'Population Definitions'!$A$4)</f>
        <v>15-64</v>
      </c>
      <c r="B46" s="1" t="str">
        <f t="shared" si="0"/>
        <v>---&gt;</v>
      </c>
      <c r="C46" s="38" t="str">
        <f>IF(NOT(OR(Interactions!E7="y",ISNUMBER(Interactions!E7))),"",'Population Definitions'!$A$5)</f>
        <v>65+</v>
      </c>
      <c r="D46" s="132" t="str">
        <f>IF(OR(Interactions!E7="y",ISNUMBER(Interactions!E7)),"N.A.","")</f>
        <v>N.A.</v>
      </c>
      <c r="E46" s="132">
        <f>IF(OR(Interactions!E7="y",ISNUMBER(Interactions!E7)),IF(SUMPRODUCT(--(G46:Y46&lt;&gt;""))=0,IF(ISNUMBER(Interactions!E7),Interactions!E7,1),"N.A."),"")</f>
        <v>1</v>
      </c>
      <c r="F46" s="38" t="str">
        <f>IF(OR(Interactions!E7="y",ISNUMBER(Interactions!E7)),"OR","")</f>
        <v>OR</v>
      </c>
    </row>
    <row r="47" spans="1:6" x14ac:dyDescent="0.25">
      <c r="A47" s="38" t="str">
        <f>IF(NOT(OR(Interactions!F7="y",ISNUMBER(Interactions!F7))),"...",'Population Definitions'!$A$4)</f>
        <v>15-64</v>
      </c>
      <c r="B47" s="1" t="str">
        <f t="shared" si="0"/>
        <v>---&gt;</v>
      </c>
      <c r="C47" s="38" t="str">
        <f>IF(NOT(OR(Interactions!F7="y",ISNUMBER(Interactions!F7))),"",'Population Definitions'!$A$6)</f>
        <v>15-64 (HIV+)</v>
      </c>
      <c r="D47" s="132" t="str">
        <f>IF(OR(Interactions!F7="y",ISNUMBER(Interactions!F7)),"N.A.","")</f>
        <v>N.A.</v>
      </c>
      <c r="E47" s="132">
        <f>IF(OR(Interactions!F7="y",ISNUMBER(Interactions!F7)),IF(SUMPRODUCT(--(G47:Y47&lt;&gt;""))=0,IF(ISNUMBER(Interactions!F7),Interactions!F7,1),"N.A."),"")</f>
        <v>1</v>
      </c>
      <c r="F47" s="38" t="str">
        <f>IF(OR(Interactions!F7="y",ISNUMBER(Interactions!F7)),"OR","")</f>
        <v>OR</v>
      </c>
    </row>
    <row r="48" spans="1:6" x14ac:dyDescent="0.25">
      <c r="A48" s="38" t="str">
        <f>IF(NOT(OR(Interactions!G7="y",ISNUMBER(Interactions!G7))),"...",'Population Definitions'!$A$4)</f>
        <v>15-64</v>
      </c>
      <c r="B48" s="1" t="str">
        <f t="shared" si="0"/>
        <v>---&gt;</v>
      </c>
      <c r="C48" s="38" t="str">
        <f>IF(NOT(OR(Interactions!G7="y",ISNUMBER(Interactions!G7))),"",'Population Definitions'!$A$7)</f>
        <v>65+ (HIV+)</v>
      </c>
      <c r="D48" s="132" t="str">
        <f>IF(OR(Interactions!G7="y",ISNUMBER(Interactions!G7)),"N.A.","")</f>
        <v>N.A.</v>
      </c>
      <c r="E48" s="132">
        <f>IF(OR(Interactions!G7="y",ISNUMBER(Interactions!G7)),IF(SUMPRODUCT(--(G48:Y48&lt;&gt;""))=0,IF(ISNUMBER(Interactions!G7),Interactions!G7,1),"N.A."),"")</f>
        <v>1</v>
      </c>
      <c r="F48" s="38" t="str">
        <f>IF(OR(Interactions!G7="y",ISNUMBER(Interactions!G7)),"OR","")</f>
        <v>OR</v>
      </c>
    </row>
    <row r="49" spans="1:6" x14ac:dyDescent="0.25">
      <c r="A49" s="38" t="str">
        <f>IF(NOT(OR(Interactions!H7="y",ISNUMBER(Interactions!H7))),"...",'Population Definitions'!$A$4)</f>
        <v>...</v>
      </c>
      <c r="B49" s="1" t="str">
        <f t="shared" si="0"/>
        <v/>
      </c>
      <c r="C49" s="38" t="str">
        <f>IF(NOT(OR(Interactions!H7="y",ISNUMBER(Interactions!H7))),"",'Population Definitions'!$A$8)</f>
        <v/>
      </c>
      <c r="D49" s="132" t="str">
        <f>IF(OR(Interactions!H7="y",ISNUMBER(Interactions!H7)),"N.A.","")</f>
        <v/>
      </c>
      <c r="E49" s="132" t="str">
        <f>IF(OR(Interactions!H7="y",ISNUMBER(Interactions!H7)),IF(SUMPRODUCT(--(G49:Y49&lt;&gt;""))=0,IF(ISNUMBER(Interactions!H7),Interactions!H7,1),"N.A."),"")</f>
        <v/>
      </c>
      <c r="F49" s="38" t="str">
        <f>IF(OR(Interactions!H7="y",ISNUMBER(Interactions!H7)),"OR","")</f>
        <v/>
      </c>
    </row>
    <row r="50" spans="1:6" x14ac:dyDescent="0.25">
      <c r="A50" s="38" t="str">
        <f>IF(NOT(OR(Interactions!I7="y",ISNUMBER(Interactions!I7))),"...",'Population Definitions'!$A$4)</f>
        <v>...</v>
      </c>
      <c r="B50" s="1" t="str">
        <f t="shared" si="0"/>
        <v/>
      </c>
      <c r="C50" s="38" t="str">
        <f>IF(NOT(OR(Interactions!I7="y",ISNUMBER(Interactions!I7))),"",'Population Definitions'!$A$9)</f>
        <v/>
      </c>
      <c r="D50" s="132" t="str">
        <f>IF(OR(Interactions!I7="y",ISNUMBER(Interactions!I7)),"N.A.","")</f>
        <v/>
      </c>
      <c r="E50" s="132" t="str">
        <f>IF(OR(Interactions!I7="y",ISNUMBER(Interactions!I7)),IF(SUMPRODUCT(--(G50:Y50&lt;&gt;""))=0,IF(ISNUMBER(Interactions!I7),Interactions!I7,1),"N.A."),"")</f>
        <v/>
      </c>
      <c r="F50" s="38" t="str">
        <f>IF(OR(Interactions!I7="y",ISNUMBER(Interactions!I7)),"OR","")</f>
        <v/>
      </c>
    </row>
    <row r="51" spans="1:6" x14ac:dyDescent="0.25">
      <c r="A51" s="38" t="str">
        <f>IF(NOT(OR(Interactions!J7="y",ISNUMBER(Interactions!J7))),"...",'Population Definitions'!$A$4)</f>
        <v>...</v>
      </c>
      <c r="B51" s="1" t="str">
        <f t="shared" si="0"/>
        <v/>
      </c>
      <c r="C51" s="38" t="str">
        <f>IF(NOT(OR(Interactions!J7="y",ISNUMBER(Interactions!J7))),"",'Population Definitions'!$A$10)</f>
        <v/>
      </c>
      <c r="D51" s="132" t="str">
        <f>IF(OR(Interactions!J7="y",ISNUMBER(Interactions!J7)),"N.A.","")</f>
        <v/>
      </c>
      <c r="E51" s="132" t="str">
        <f>IF(OR(Interactions!J7="y",ISNUMBER(Interactions!J7)),IF(SUMPRODUCT(--(G51:Y51&lt;&gt;""))=0,IF(ISNUMBER(Interactions!J7),Interactions!J7,1),"N.A."),"")</f>
        <v/>
      </c>
      <c r="F51" s="38" t="str">
        <f>IF(OR(Interactions!J7="y",ISNUMBER(Interactions!J7)),"OR","")</f>
        <v/>
      </c>
    </row>
    <row r="52" spans="1:6" x14ac:dyDescent="0.25">
      <c r="A52" s="38" t="str">
        <f>IF(NOT(OR(Interactions!K7="y",ISNUMBER(Interactions!K7))),"...",'Population Definitions'!$A$4)</f>
        <v>...</v>
      </c>
      <c r="B52" s="1" t="str">
        <f t="shared" si="0"/>
        <v/>
      </c>
      <c r="C52" s="38" t="str">
        <f>IF(NOT(OR(Interactions!K7="y",ISNUMBER(Interactions!K7))),"",'Population Definitions'!$A$11)</f>
        <v/>
      </c>
      <c r="D52" s="132" t="str">
        <f>IF(OR(Interactions!K7="y",ISNUMBER(Interactions!K7)),"N.A.","")</f>
        <v/>
      </c>
      <c r="E52" s="132" t="str">
        <f>IF(OR(Interactions!K7="y",ISNUMBER(Interactions!K7)),IF(SUMPRODUCT(--(G52:Y52&lt;&gt;""))=0,IF(ISNUMBER(Interactions!K7),Interactions!K7,1),"N.A."),"")</f>
        <v/>
      </c>
      <c r="F52" s="38" t="str">
        <f>IF(OR(Interactions!K7="y",ISNUMBER(Interactions!K7)),"OR","")</f>
        <v/>
      </c>
    </row>
    <row r="53" spans="1:6" x14ac:dyDescent="0.25">
      <c r="A53" s="38" t="str">
        <f>IF(NOT(OR(Interactions!L7="y",ISNUMBER(Interactions!L7))),"...",'Population Definitions'!$A$4)</f>
        <v>...</v>
      </c>
      <c r="B53" s="1" t="str">
        <f t="shared" si="0"/>
        <v/>
      </c>
      <c r="C53" s="38" t="str">
        <f>IF(NOT(OR(Interactions!L7="y",ISNUMBER(Interactions!L7))),"",'Population Definitions'!$A$12)</f>
        <v/>
      </c>
      <c r="D53" s="132" t="str">
        <f>IF(OR(Interactions!L7="y",ISNUMBER(Interactions!L7)),"N.A.","")</f>
        <v/>
      </c>
      <c r="E53" s="132" t="str">
        <f>IF(OR(Interactions!L7="y",ISNUMBER(Interactions!L7)),IF(SUMPRODUCT(--(G53:Y53&lt;&gt;""))=0,IF(ISNUMBER(Interactions!L7),Interactions!L7,1),"N.A."),"")</f>
        <v/>
      </c>
      <c r="F53" s="38" t="str">
        <f>IF(OR(Interactions!L7="y",ISNUMBER(Interactions!L7)),"OR","")</f>
        <v/>
      </c>
    </row>
    <row r="54" spans="1:6" x14ac:dyDescent="0.25">
      <c r="A54" s="38" t="str">
        <f>IF(NOT(OR(Interactions!M7="y",ISNUMBER(Interactions!M7))),"...",'Population Definitions'!$A$4)</f>
        <v>...</v>
      </c>
      <c r="B54" s="1" t="str">
        <f t="shared" si="0"/>
        <v/>
      </c>
      <c r="C54" s="38" t="str">
        <f>IF(NOT(OR(Interactions!M7="y",ISNUMBER(Interactions!M7))),"",'Population Definitions'!$A$13)</f>
        <v/>
      </c>
      <c r="D54" s="132" t="str">
        <f>IF(OR(Interactions!M7="y",ISNUMBER(Interactions!M7)),"N.A.","")</f>
        <v/>
      </c>
      <c r="E54" s="132" t="str">
        <f>IF(OR(Interactions!M7="y",ISNUMBER(Interactions!M7)),IF(SUMPRODUCT(--(G54:Y54&lt;&gt;""))=0,IF(ISNUMBER(Interactions!M7),Interactions!M7,1),"N.A."),"")</f>
        <v/>
      </c>
      <c r="F54" s="38" t="str">
        <f>IF(OR(Interactions!M7="y",ISNUMBER(Interactions!M7)),"OR","")</f>
        <v/>
      </c>
    </row>
    <row r="55" spans="1:6" x14ac:dyDescent="0.25">
      <c r="A55" s="38" t="str">
        <f>IF(NOT(OR(Interactions!B8="y",ISNUMBER(Interactions!B8))),"...",'Population Definitions'!$A$5)</f>
        <v>...</v>
      </c>
      <c r="B55" s="1" t="str">
        <f t="shared" si="0"/>
        <v/>
      </c>
      <c r="C55" s="38" t="str">
        <f>IF(NOT(OR(Interactions!B8="y",ISNUMBER(Interactions!B8))),"",'Population Definitions'!$A$2)</f>
        <v/>
      </c>
      <c r="D55" s="132" t="str">
        <f>IF(OR(Interactions!B8="y",ISNUMBER(Interactions!B8)),"N.A.","")</f>
        <v/>
      </c>
      <c r="E55" s="132" t="str">
        <f>IF(OR(Interactions!B8="y",ISNUMBER(Interactions!B8)),IF(SUMPRODUCT(--(G55:Y55&lt;&gt;""))=0,IF(ISNUMBER(Interactions!B8),Interactions!B8,1),"N.A."),"")</f>
        <v/>
      </c>
      <c r="F55" s="38" t="str">
        <f>IF(OR(Interactions!B8="y",ISNUMBER(Interactions!B8)),"OR","")</f>
        <v/>
      </c>
    </row>
    <row r="56" spans="1:6" x14ac:dyDescent="0.25">
      <c r="A56" s="38" t="str">
        <f>IF(NOT(OR(Interactions!C8="y",ISNUMBER(Interactions!C8))),"...",'Population Definitions'!$A$5)</f>
        <v>65+</v>
      </c>
      <c r="B56" s="1" t="str">
        <f t="shared" si="0"/>
        <v>---&gt;</v>
      </c>
      <c r="C56" s="38" t="str">
        <f>IF(NOT(OR(Interactions!C8="y",ISNUMBER(Interactions!C8))),"",'Population Definitions'!$A$3)</f>
        <v>5-14</v>
      </c>
      <c r="D56" s="132" t="str">
        <f>IF(OR(Interactions!C8="y",ISNUMBER(Interactions!C8)),"N.A.","")</f>
        <v>N.A.</v>
      </c>
      <c r="E56" s="132">
        <f>IF(OR(Interactions!C8="y",ISNUMBER(Interactions!C8)),IF(SUMPRODUCT(--(G56:Y56&lt;&gt;""))=0,IF(ISNUMBER(Interactions!C8),Interactions!C8,1),"N.A."),"")</f>
        <v>1</v>
      </c>
      <c r="F56" s="38" t="str">
        <f>IF(OR(Interactions!C8="y",ISNUMBER(Interactions!C8)),"OR","")</f>
        <v>OR</v>
      </c>
    </row>
    <row r="57" spans="1:6" x14ac:dyDescent="0.25">
      <c r="A57" s="38" t="str">
        <f>IF(NOT(OR(Interactions!D8="y",ISNUMBER(Interactions!D8))),"...",'Population Definitions'!$A$5)</f>
        <v>65+</v>
      </c>
      <c r="B57" s="1" t="str">
        <f t="shared" si="0"/>
        <v>---&gt;</v>
      </c>
      <c r="C57" s="38" t="str">
        <f>IF(NOT(OR(Interactions!D8="y",ISNUMBER(Interactions!D8))),"",'Population Definitions'!$A$4)</f>
        <v>15-64</v>
      </c>
      <c r="D57" s="132" t="str">
        <f>IF(OR(Interactions!D8="y",ISNUMBER(Interactions!D8)),"N.A.","")</f>
        <v>N.A.</v>
      </c>
      <c r="E57" s="132">
        <f>IF(OR(Interactions!D8="y",ISNUMBER(Interactions!D8)),IF(SUMPRODUCT(--(G57:Y57&lt;&gt;""))=0,IF(ISNUMBER(Interactions!D8),Interactions!D8,1),"N.A."),"")</f>
        <v>1</v>
      </c>
      <c r="F57" s="38" t="str">
        <f>IF(OR(Interactions!D8="y",ISNUMBER(Interactions!D8)),"OR","")</f>
        <v>OR</v>
      </c>
    </row>
    <row r="58" spans="1:6" x14ac:dyDescent="0.25">
      <c r="A58" s="38" t="str">
        <f>IF(NOT(OR(Interactions!E8="y",ISNUMBER(Interactions!E8))),"...",'Population Definitions'!$A$5)</f>
        <v>65+</v>
      </c>
      <c r="B58" s="1" t="str">
        <f t="shared" si="0"/>
        <v>---&gt;</v>
      </c>
      <c r="C58" s="38" t="str">
        <f>IF(NOT(OR(Interactions!E8="y",ISNUMBER(Interactions!E8))),"",'Population Definitions'!$A$5)</f>
        <v>65+</v>
      </c>
      <c r="D58" s="132" t="str">
        <f>IF(OR(Interactions!E8="y",ISNUMBER(Interactions!E8)),"N.A.","")</f>
        <v>N.A.</v>
      </c>
      <c r="E58" s="132">
        <f>IF(OR(Interactions!E8="y",ISNUMBER(Interactions!E8)),IF(SUMPRODUCT(--(G58:Y58&lt;&gt;""))=0,IF(ISNUMBER(Interactions!E8),Interactions!E8,1),"N.A."),"")</f>
        <v>10</v>
      </c>
      <c r="F58" s="38" t="str">
        <f>IF(OR(Interactions!E8="y",ISNUMBER(Interactions!E8)),"OR","")</f>
        <v>OR</v>
      </c>
    </row>
    <row r="59" spans="1:6" x14ac:dyDescent="0.25">
      <c r="A59" s="38" t="str">
        <f>IF(NOT(OR(Interactions!F8="y",ISNUMBER(Interactions!F8))),"...",'Population Definitions'!$A$5)</f>
        <v>65+</v>
      </c>
      <c r="B59" s="1" t="str">
        <f t="shared" si="0"/>
        <v>---&gt;</v>
      </c>
      <c r="C59" s="38" t="str">
        <f>IF(NOT(OR(Interactions!F8="y",ISNUMBER(Interactions!F8))),"",'Population Definitions'!$A$6)</f>
        <v>15-64 (HIV+)</v>
      </c>
      <c r="D59" s="132" t="str">
        <f>IF(OR(Interactions!F8="y",ISNUMBER(Interactions!F8)),"N.A.","")</f>
        <v>N.A.</v>
      </c>
      <c r="E59" s="132">
        <f>IF(OR(Interactions!F8="y",ISNUMBER(Interactions!F8)),IF(SUMPRODUCT(--(G59:Y59&lt;&gt;""))=0,IF(ISNUMBER(Interactions!F8),Interactions!F8,1),"N.A."),"")</f>
        <v>1</v>
      </c>
      <c r="F59" s="38" t="str">
        <f>IF(OR(Interactions!F8="y",ISNUMBER(Interactions!F8)),"OR","")</f>
        <v>OR</v>
      </c>
    </row>
    <row r="60" spans="1:6" x14ac:dyDescent="0.25">
      <c r="A60" s="38" t="str">
        <f>IF(NOT(OR(Interactions!G8="y",ISNUMBER(Interactions!G8))),"...",'Population Definitions'!$A$5)</f>
        <v>65+</v>
      </c>
      <c r="B60" s="1" t="str">
        <f t="shared" si="0"/>
        <v>---&gt;</v>
      </c>
      <c r="C60" s="38" t="str">
        <f>IF(NOT(OR(Interactions!G8="y",ISNUMBER(Interactions!G8))),"",'Population Definitions'!$A$7)</f>
        <v>65+ (HIV+)</v>
      </c>
      <c r="D60" s="132" t="str">
        <f>IF(OR(Interactions!G8="y",ISNUMBER(Interactions!G8)),"N.A.","")</f>
        <v>N.A.</v>
      </c>
      <c r="E60" s="132">
        <f>IF(OR(Interactions!G8="y",ISNUMBER(Interactions!G8)),IF(SUMPRODUCT(--(G60:Y60&lt;&gt;""))=0,IF(ISNUMBER(Interactions!G8),Interactions!G8,1),"N.A."),"")</f>
        <v>1</v>
      </c>
      <c r="F60" s="38" t="str">
        <f>IF(OR(Interactions!G8="y",ISNUMBER(Interactions!G8)),"OR","")</f>
        <v>OR</v>
      </c>
    </row>
    <row r="61" spans="1:6" x14ac:dyDescent="0.25">
      <c r="A61" s="38" t="str">
        <f>IF(NOT(OR(Interactions!H8="y",ISNUMBER(Interactions!H8))),"...",'Population Definitions'!$A$5)</f>
        <v>...</v>
      </c>
      <c r="B61" s="1" t="str">
        <f t="shared" si="0"/>
        <v/>
      </c>
      <c r="C61" s="38" t="str">
        <f>IF(NOT(OR(Interactions!H8="y",ISNUMBER(Interactions!H8))),"",'Population Definitions'!$A$8)</f>
        <v/>
      </c>
      <c r="D61" s="132" t="str">
        <f>IF(OR(Interactions!H8="y",ISNUMBER(Interactions!H8)),"N.A.","")</f>
        <v/>
      </c>
      <c r="E61" s="132" t="str">
        <f>IF(OR(Interactions!H8="y",ISNUMBER(Interactions!H8)),IF(SUMPRODUCT(--(G61:Y61&lt;&gt;""))=0,IF(ISNUMBER(Interactions!H8),Interactions!H8,1),"N.A."),"")</f>
        <v/>
      </c>
      <c r="F61" s="38" t="str">
        <f>IF(OR(Interactions!H8="y",ISNUMBER(Interactions!H8)),"OR","")</f>
        <v/>
      </c>
    </row>
    <row r="62" spans="1:6" x14ac:dyDescent="0.25">
      <c r="A62" s="38" t="str">
        <f>IF(NOT(OR(Interactions!I8="y",ISNUMBER(Interactions!I8))),"...",'Population Definitions'!$A$5)</f>
        <v>...</v>
      </c>
      <c r="B62" s="1" t="str">
        <f t="shared" si="0"/>
        <v/>
      </c>
      <c r="C62" s="38" t="str">
        <f>IF(NOT(OR(Interactions!I8="y",ISNUMBER(Interactions!I8))),"",'Population Definitions'!$A$9)</f>
        <v/>
      </c>
      <c r="D62" s="132" t="str">
        <f>IF(OR(Interactions!I8="y",ISNUMBER(Interactions!I8)),"N.A.","")</f>
        <v/>
      </c>
      <c r="E62" s="132" t="str">
        <f>IF(OR(Interactions!I8="y",ISNUMBER(Interactions!I8)),IF(SUMPRODUCT(--(G62:Y62&lt;&gt;""))=0,IF(ISNUMBER(Interactions!I8),Interactions!I8,1),"N.A."),"")</f>
        <v/>
      </c>
      <c r="F62" s="38" t="str">
        <f>IF(OR(Interactions!I8="y",ISNUMBER(Interactions!I8)),"OR","")</f>
        <v/>
      </c>
    </row>
    <row r="63" spans="1:6" x14ac:dyDescent="0.25">
      <c r="A63" s="38" t="str">
        <f>IF(NOT(OR(Interactions!J8="y",ISNUMBER(Interactions!J8))),"...",'Population Definitions'!$A$5)</f>
        <v>...</v>
      </c>
      <c r="B63" s="1" t="str">
        <f t="shared" si="0"/>
        <v/>
      </c>
      <c r="C63" s="38" t="str">
        <f>IF(NOT(OR(Interactions!J8="y",ISNUMBER(Interactions!J8))),"",'Population Definitions'!$A$10)</f>
        <v/>
      </c>
      <c r="D63" s="132" t="str">
        <f>IF(OR(Interactions!J8="y",ISNUMBER(Interactions!J8)),"N.A.","")</f>
        <v/>
      </c>
      <c r="E63" s="132" t="str">
        <f>IF(OR(Interactions!J8="y",ISNUMBER(Interactions!J8)),IF(SUMPRODUCT(--(G63:Y63&lt;&gt;""))=0,IF(ISNUMBER(Interactions!J8),Interactions!J8,1),"N.A."),"")</f>
        <v/>
      </c>
      <c r="F63" s="38" t="str">
        <f>IF(OR(Interactions!J8="y",ISNUMBER(Interactions!J8)),"OR","")</f>
        <v/>
      </c>
    </row>
    <row r="64" spans="1:6" x14ac:dyDescent="0.25">
      <c r="A64" s="38" t="str">
        <f>IF(NOT(OR(Interactions!K8="y",ISNUMBER(Interactions!K8))),"...",'Population Definitions'!$A$5)</f>
        <v>...</v>
      </c>
      <c r="B64" s="1" t="str">
        <f t="shared" si="0"/>
        <v/>
      </c>
      <c r="C64" s="38" t="str">
        <f>IF(NOT(OR(Interactions!K8="y",ISNUMBER(Interactions!K8))),"",'Population Definitions'!$A$11)</f>
        <v/>
      </c>
      <c r="D64" s="132" t="str">
        <f>IF(OR(Interactions!K8="y",ISNUMBER(Interactions!K8)),"N.A.","")</f>
        <v/>
      </c>
      <c r="E64" s="132" t="str">
        <f>IF(OR(Interactions!K8="y",ISNUMBER(Interactions!K8)),IF(SUMPRODUCT(--(G64:Y64&lt;&gt;""))=0,IF(ISNUMBER(Interactions!K8),Interactions!K8,1),"N.A."),"")</f>
        <v/>
      </c>
      <c r="F64" s="38" t="str">
        <f>IF(OR(Interactions!K8="y",ISNUMBER(Interactions!K8)),"OR","")</f>
        <v/>
      </c>
    </row>
    <row r="65" spans="1:6" x14ac:dyDescent="0.25">
      <c r="A65" s="38" t="str">
        <f>IF(NOT(OR(Interactions!L8="y",ISNUMBER(Interactions!L8))),"...",'Population Definitions'!$A$5)</f>
        <v>...</v>
      </c>
      <c r="B65" s="1" t="str">
        <f t="shared" si="0"/>
        <v/>
      </c>
      <c r="C65" s="38" t="str">
        <f>IF(NOT(OR(Interactions!L8="y",ISNUMBER(Interactions!L8))),"",'Population Definitions'!$A$12)</f>
        <v/>
      </c>
      <c r="D65" s="132" t="str">
        <f>IF(OR(Interactions!L8="y",ISNUMBER(Interactions!L8)),"N.A.","")</f>
        <v/>
      </c>
      <c r="E65" s="132" t="str">
        <f>IF(OR(Interactions!L8="y",ISNUMBER(Interactions!L8)),IF(SUMPRODUCT(--(G65:Y65&lt;&gt;""))=0,IF(ISNUMBER(Interactions!L8),Interactions!L8,1),"N.A."),"")</f>
        <v/>
      </c>
      <c r="F65" s="38" t="str">
        <f>IF(OR(Interactions!L8="y",ISNUMBER(Interactions!L8)),"OR","")</f>
        <v/>
      </c>
    </row>
    <row r="66" spans="1:6" x14ac:dyDescent="0.25">
      <c r="A66" s="38" t="str">
        <f>IF(NOT(OR(Interactions!M8="y",ISNUMBER(Interactions!M8))),"...",'Population Definitions'!$A$5)</f>
        <v>...</v>
      </c>
      <c r="B66" s="1" t="str">
        <f t="shared" si="0"/>
        <v/>
      </c>
      <c r="C66" s="38" t="str">
        <f>IF(NOT(OR(Interactions!M8="y",ISNUMBER(Interactions!M8))),"",'Population Definitions'!$A$13)</f>
        <v/>
      </c>
      <c r="D66" s="132" t="str">
        <f>IF(OR(Interactions!M8="y",ISNUMBER(Interactions!M8)),"N.A.","")</f>
        <v/>
      </c>
      <c r="E66" s="132" t="str">
        <f>IF(OR(Interactions!M8="y",ISNUMBER(Interactions!M8)),IF(SUMPRODUCT(--(G66:Y66&lt;&gt;""))=0,IF(ISNUMBER(Interactions!M8),Interactions!M8,1),"N.A."),"")</f>
        <v/>
      </c>
      <c r="F66" s="38" t="str">
        <f>IF(OR(Interactions!M8="y",ISNUMBER(Interactions!M8)),"OR","")</f>
        <v/>
      </c>
    </row>
    <row r="67" spans="1:6" x14ac:dyDescent="0.25">
      <c r="A67" s="38" t="str">
        <f>IF(NOT(OR(Interactions!B9="y",ISNUMBER(Interactions!B9))),"...",'Population Definitions'!$A$6)</f>
        <v>15-64 (HIV+)</v>
      </c>
      <c r="B67" s="1" t="str">
        <f t="shared" si="0"/>
        <v>---&gt;</v>
      </c>
      <c r="C67" s="38" t="str">
        <f>IF(NOT(OR(Interactions!B9="y",ISNUMBER(Interactions!B9))),"",'Population Definitions'!$A$2)</f>
        <v>0-4</v>
      </c>
      <c r="D67" s="132" t="str">
        <f>IF(OR(Interactions!B9="y",ISNUMBER(Interactions!B9)),"N.A.","")</f>
        <v>N.A.</v>
      </c>
      <c r="E67" s="132">
        <f>IF(OR(Interactions!B9="y",ISNUMBER(Interactions!B9)),IF(SUMPRODUCT(--(G67:Y67&lt;&gt;""))=0,IF(ISNUMBER(Interactions!B9),Interactions!B9,1),"N.A."),"")</f>
        <v>1</v>
      </c>
      <c r="F67" s="38" t="str">
        <f>IF(OR(Interactions!B9="y",ISNUMBER(Interactions!B9)),"OR","")</f>
        <v>OR</v>
      </c>
    </row>
    <row r="68" spans="1:6" x14ac:dyDescent="0.25">
      <c r="A68" s="38" t="str">
        <f>IF(NOT(OR(Interactions!C9="y",ISNUMBER(Interactions!C9))),"...",'Population Definitions'!$A$6)</f>
        <v>...</v>
      </c>
      <c r="B68" s="1" t="str">
        <f t="shared" si="0"/>
        <v/>
      </c>
      <c r="C68" s="38" t="str">
        <f>IF(NOT(OR(Interactions!C9="y",ISNUMBER(Interactions!C9))),"",'Population Definitions'!$A$3)</f>
        <v/>
      </c>
      <c r="D68" s="132" t="str">
        <f>IF(OR(Interactions!C9="y",ISNUMBER(Interactions!C9)),"N.A.","")</f>
        <v/>
      </c>
      <c r="E68" s="132" t="str">
        <f>IF(OR(Interactions!C9="y",ISNUMBER(Interactions!C9)),IF(SUMPRODUCT(--(G68:Y68&lt;&gt;""))=0,IF(ISNUMBER(Interactions!C9),Interactions!C9,1),"N.A."),"")</f>
        <v/>
      </c>
      <c r="F68" s="38" t="str">
        <f>IF(OR(Interactions!C9="y",ISNUMBER(Interactions!C9)),"OR","")</f>
        <v/>
      </c>
    </row>
    <row r="69" spans="1:6" x14ac:dyDescent="0.25">
      <c r="A69" s="38" t="str">
        <f>IF(NOT(OR(Interactions!D9="y",ISNUMBER(Interactions!D9))),"...",'Population Definitions'!$A$6)</f>
        <v>15-64 (HIV+)</v>
      </c>
      <c r="B69" s="1" t="str">
        <f t="shared" si="0"/>
        <v>---&gt;</v>
      </c>
      <c r="C69" s="38" t="str">
        <f>IF(NOT(OR(Interactions!D9="y",ISNUMBER(Interactions!D9))),"",'Population Definitions'!$A$4)</f>
        <v>15-64</v>
      </c>
      <c r="D69" s="132" t="str">
        <f>IF(OR(Interactions!D9="y",ISNUMBER(Interactions!D9)),"N.A.","")</f>
        <v>N.A.</v>
      </c>
      <c r="E69" s="132">
        <f>IF(OR(Interactions!D9="y",ISNUMBER(Interactions!D9)),IF(SUMPRODUCT(--(G69:Y69&lt;&gt;""))=0,IF(ISNUMBER(Interactions!D9),Interactions!D9,1),"N.A."),"")</f>
        <v>1</v>
      </c>
      <c r="F69" s="38" t="str">
        <f>IF(OR(Interactions!D9="y",ISNUMBER(Interactions!D9)),"OR","")</f>
        <v>OR</v>
      </c>
    </row>
    <row r="70" spans="1:6" x14ac:dyDescent="0.25">
      <c r="A70" s="38" t="str">
        <f>IF(NOT(OR(Interactions!E9="y",ISNUMBER(Interactions!E9))),"...",'Population Definitions'!$A$6)</f>
        <v>15-64 (HIV+)</v>
      </c>
      <c r="B70" s="1" t="str">
        <f t="shared" si="0"/>
        <v>---&gt;</v>
      </c>
      <c r="C70" s="38" t="str">
        <f>IF(NOT(OR(Interactions!E9="y",ISNUMBER(Interactions!E9))),"",'Population Definitions'!$A$5)</f>
        <v>65+</v>
      </c>
      <c r="D70" s="132" t="str">
        <f>IF(OR(Interactions!E9="y",ISNUMBER(Interactions!E9)),"N.A.","")</f>
        <v>N.A.</v>
      </c>
      <c r="E70" s="132">
        <f>IF(OR(Interactions!E9="y",ISNUMBER(Interactions!E9)),IF(SUMPRODUCT(--(G70:Y70&lt;&gt;""))=0,IF(ISNUMBER(Interactions!E9),Interactions!E9,1),"N.A."),"")</f>
        <v>1</v>
      </c>
      <c r="F70" s="38" t="str">
        <f>IF(OR(Interactions!E9="y",ISNUMBER(Interactions!E9)),"OR","")</f>
        <v>OR</v>
      </c>
    </row>
    <row r="71" spans="1:6" x14ac:dyDescent="0.25">
      <c r="A71" s="38" t="str">
        <f>IF(NOT(OR(Interactions!F9="y",ISNUMBER(Interactions!F9))),"...",'Population Definitions'!$A$6)</f>
        <v>15-64 (HIV+)</v>
      </c>
      <c r="B71" s="1" t="str">
        <f t="shared" si="0"/>
        <v>---&gt;</v>
      </c>
      <c r="C71" s="38" t="str">
        <f>IF(NOT(OR(Interactions!F9="y",ISNUMBER(Interactions!F9))),"",'Population Definitions'!$A$6)</f>
        <v>15-64 (HIV+)</v>
      </c>
      <c r="D71" s="132" t="str">
        <f>IF(OR(Interactions!F9="y",ISNUMBER(Interactions!F9)),"N.A.","")</f>
        <v>N.A.</v>
      </c>
      <c r="E71" s="132">
        <f>IF(OR(Interactions!F9="y",ISNUMBER(Interactions!F9)),IF(SUMPRODUCT(--(G71:Y71&lt;&gt;""))=0,IF(ISNUMBER(Interactions!F9),Interactions!F9,1),"N.A."),"")</f>
        <v>5</v>
      </c>
      <c r="F71" s="38" t="str">
        <f>IF(OR(Interactions!F9="y",ISNUMBER(Interactions!F9)),"OR","")</f>
        <v>OR</v>
      </c>
    </row>
    <row r="72" spans="1:6" x14ac:dyDescent="0.25">
      <c r="A72" s="38" t="str">
        <f>IF(NOT(OR(Interactions!G9="y",ISNUMBER(Interactions!G9))),"...",'Population Definitions'!$A$6)</f>
        <v>15-64 (HIV+)</v>
      </c>
      <c r="B72" s="1" t="str">
        <f t="shared" si="0"/>
        <v>---&gt;</v>
      </c>
      <c r="C72" s="38" t="str">
        <f>IF(NOT(OR(Interactions!G9="y",ISNUMBER(Interactions!G9))),"",'Population Definitions'!$A$7)</f>
        <v>65+ (HIV+)</v>
      </c>
      <c r="D72" s="132" t="str">
        <f>IF(OR(Interactions!G9="y",ISNUMBER(Interactions!G9)),"N.A.","")</f>
        <v>N.A.</v>
      </c>
      <c r="E72" s="132">
        <f>IF(OR(Interactions!G9="y",ISNUMBER(Interactions!G9)),IF(SUMPRODUCT(--(G72:Y72&lt;&gt;""))=0,IF(ISNUMBER(Interactions!G9),Interactions!G9,1),"N.A."),"")</f>
        <v>2</v>
      </c>
      <c r="F72" s="38" t="str">
        <f>IF(OR(Interactions!G9="y",ISNUMBER(Interactions!G9)),"OR","")</f>
        <v>OR</v>
      </c>
    </row>
    <row r="73" spans="1:6" x14ac:dyDescent="0.25">
      <c r="A73" s="38" t="str">
        <f>IF(NOT(OR(Interactions!H9="y",ISNUMBER(Interactions!H9))),"...",'Population Definitions'!$A$6)</f>
        <v>...</v>
      </c>
      <c r="B73" s="1" t="str">
        <f t="shared" si="0"/>
        <v/>
      </c>
      <c r="C73" s="38" t="str">
        <f>IF(NOT(OR(Interactions!H9="y",ISNUMBER(Interactions!H9))),"",'Population Definitions'!$A$8)</f>
        <v/>
      </c>
      <c r="D73" s="132" t="str">
        <f>IF(OR(Interactions!H9="y",ISNUMBER(Interactions!H9)),"N.A.","")</f>
        <v/>
      </c>
      <c r="E73" s="132" t="str">
        <f>IF(OR(Interactions!H9="y",ISNUMBER(Interactions!H9)),IF(SUMPRODUCT(--(G73:Y73&lt;&gt;""))=0,IF(ISNUMBER(Interactions!H9),Interactions!H9,1),"N.A."),"")</f>
        <v/>
      </c>
      <c r="F73" s="38" t="str">
        <f>IF(OR(Interactions!H9="y",ISNUMBER(Interactions!H9)),"OR","")</f>
        <v/>
      </c>
    </row>
    <row r="74" spans="1:6" x14ac:dyDescent="0.25">
      <c r="A74" s="38" t="str">
        <f>IF(NOT(OR(Interactions!I9="y",ISNUMBER(Interactions!I9))),"...",'Population Definitions'!$A$6)</f>
        <v>...</v>
      </c>
      <c r="B74" s="1" t="str">
        <f t="shared" si="0"/>
        <v/>
      </c>
      <c r="C74" s="38" t="str">
        <f>IF(NOT(OR(Interactions!I9="y",ISNUMBER(Interactions!I9))),"",'Population Definitions'!$A$9)</f>
        <v/>
      </c>
      <c r="D74" s="132" t="str">
        <f>IF(OR(Interactions!I9="y",ISNUMBER(Interactions!I9)),"N.A.","")</f>
        <v/>
      </c>
      <c r="E74" s="132" t="str">
        <f>IF(OR(Interactions!I9="y",ISNUMBER(Interactions!I9)),IF(SUMPRODUCT(--(G74:Y74&lt;&gt;""))=0,IF(ISNUMBER(Interactions!I9),Interactions!I9,1),"N.A."),"")</f>
        <v/>
      </c>
      <c r="F74" s="38" t="str">
        <f>IF(OR(Interactions!I9="y",ISNUMBER(Interactions!I9)),"OR","")</f>
        <v/>
      </c>
    </row>
    <row r="75" spans="1:6" x14ac:dyDescent="0.25">
      <c r="A75" s="38" t="str">
        <f>IF(NOT(OR(Interactions!J9="y",ISNUMBER(Interactions!J9))),"...",'Population Definitions'!$A$6)</f>
        <v>...</v>
      </c>
      <c r="B75" s="1" t="str">
        <f t="shared" si="0"/>
        <v/>
      </c>
      <c r="C75" s="38" t="str">
        <f>IF(NOT(OR(Interactions!J9="y",ISNUMBER(Interactions!J9))),"",'Population Definitions'!$A$10)</f>
        <v/>
      </c>
      <c r="D75" s="132" t="str">
        <f>IF(OR(Interactions!J9="y",ISNUMBER(Interactions!J9)),"N.A.","")</f>
        <v/>
      </c>
      <c r="E75" s="132" t="str">
        <f>IF(OR(Interactions!J9="y",ISNUMBER(Interactions!J9)),IF(SUMPRODUCT(--(G75:Y75&lt;&gt;""))=0,IF(ISNUMBER(Interactions!J9),Interactions!J9,1),"N.A."),"")</f>
        <v/>
      </c>
      <c r="F75" s="38" t="str">
        <f>IF(OR(Interactions!J9="y",ISNUMBER(Interactions!J9)),"OR","")</f>
        <v/>
      </c>
    </row>
    <row r="76" spans="1:6" x14ac:dyDescent="0.25">
      <c r="A76" s="38" t="str">
        <f>IF(NOT(OR(Interactions!K9="y",ISNUMBER(Interactions!K9))),"...",'Population Definitions'!$A$6)</f>
        <v>...</v>
      </c>
      <c r="B76" s="1" t="str">
        <f t="shared" si="0"/>
        <v/>
      </c>
      <c r="C76" s="38" t="str">
        <f>IF(NOT(OR(Interactions!K9="y",ISNUMBER(Interactions!K9))),"",'Population Definitions'!$A$11)</f>
        <v/>
      </c>
      <c r="D76" s="132" t="str">
        <f>IF(OR(Interactions!K9="y",ISNUMBER(Interactions!K9)),"N.A.","")</f>
        <v/>
      </c>
      <c r="E76" s="132" t="str">
        <f>IF(OR(Interactions!K9="y",ISNUMBER(Interactions!K9)),IF(SUMPRODUCT(--(G76:Y76&lt;&gt;""))=0,IF(ISNUMBER(Interactions!K9),Interactions!K9,1),"N.A."),"")</f>
        <v/>
      </c>
      <c r="F76" s="38" t="str">
        <f>IF(OR(Interactions!K9="y",ISNUMBER(Interactions!K9)),"OR","")</f>
        <v/>
      </c>
    </row>
    <row r="77" spans="1:6" x14ac:dyDescent="0.25">
      <c r="A77" s="38" t="str">
        <f>IF(NOT(OR(Interactions!L9="y",ISNUMBER(Interactions!L9))),"...",'Population Definitions'!$A$6)</f>
        <v>...</v>
      </c>
      <c r="B77" s="1" t="str">
        <f t="shared" si="0"/>
        <v/>
      </c>
      <c r="C77" s="38" t="str">
        <f>IF(NOT(OR(Interactions!L9="y",ISNUMBER(Interactions!L9))),"",'Population Definitions'!$A$12)</f>
        <v/>
      </c>
      <c r="D77" s="132" t="str">
        <f>IF(OR(Interactions!L9="y",ISNUMBER(Interactions!L9)),"N.A.","")</f>
        <v/>
      </c>
      <c r="E77" s="132" t="str">
        <f>IF(OR(Interactions!L9="y",ISNUMBER(Interactions!L9)),IF(SUMPRODUCT(--(G77:Y77&lt;&gt;""))=0,IF(ISNUMBER(Interactions!L9),Interactions!L9,1),"N.A."),"")</f>
        <v/>
      </c>
      <c r="F77" s="38" t="str">
        <f>IF(OR(Interactions!L9="y",ISNUMBER(Interactions!L9)),"OR","")</f>
        <v/>
      </c>
    </row>
    <row r="78" spans="1:6" x14ac:dyDescent="0.25">
      <c r="A78" s="38" t="str">
        <f>IF(NOT(OR(Interactions!M9="y",ISNUMBER(Interactions!M9))),"...",'Population Definitions'!$A$6)</f>
        <v>...</v>
      </c>
      <c r="B78" s="1" t="str">
        <f t="shared" si="0"/>
        <v/>
      </c>
      <c r="C78" s="38" t="str">
        <f>IF(NOT(OR(Interactions!M9="y",ISNUMBER(Interactions!M9))),"",'Population Definitions'!$A$13)</f>
        <v/>
      </c>
      <c r="D78" s="132" t="str">
        <f>IF(OR(Interactions!M9="y",ISNUMBER(Interactions!M9)),"N.A.","")</f>
        <v/>
      </c>
      <c r="E78" s="132" t="str">
        <f>IF(OR(Interactions!M9="y",ISNUMBER(Interactions!M9)),IF(SUMPRODUCT(--(G78:Y78&lt;&gt;""))=0,IF(ISNUMBER(Interactions!M9),Interactions!M9,1),"N.A."),"")</f>
        <v/>
      </c>
      <c r="F78" s="38" t="str">
        <f>IF(OR(Interactions!M9="y",ISNUMBER(Interactions!M9)),"OR","")</f>
        <v/>
      </c>
    </row>
    <row r="79" spans="1:6" x14ac:dyDescent="0.25">
      <c r="A79" s="38" t="str">
        <f>IF(NOT(OR(Interactions!B10="y",ISNUMBER(Interactions!B10))),"...",'Population Definitions'!$A$7)</f>
        <v>...</v>
      </c>
      <c r="B79" s="1" t="str">
        <f t="shared" si="0"/>
        <v/>
      </c>
      <c r="C79" s="38" t="str">
        <f>IF(NOT(OR(Interactions!B10="y",ISNUMBER(Interactions!B10))),"",'Population Definitions'!$A$2)</f>
        <v/>
      </c>
      <c r="D79" s="132" t="str">
        <f>IF(OR(Interactions!B10="y",ISNUMBER(Interactions!B10)),"N.A.","")</f>
        <v/>
      </c>
      <c r="E79" s="132" t="str">
        <f>IF(OR(Interactions!B10="y",ISNUMBER(Interactions!B10)),IF(SUMPRODUCT(--(G79:Y79&lt;&gt;""))=0,IF(ISNUMBER(Interactions!B10),Interactions!B10,1),"N.A."),"")</f>
        <v/>
      </c>
      <c r="F79" s="38" t="str">
        <f>IF(OR(Interactions!B10="y",ISNUMBER(Interactions!B10)),"OR","")</f>
        <v/>
      </c>
    </row>
    <row r="80" spans="1:6" x14ac:dyDescent="0.25">
      <c r="A80" s="38" t="str">
        <f>IF(NOT(OR(Interactions!C10="y",ISNUMBER(Interactions!C10))),"...",'Population Definitions'!$A$7)</f>
        <v>...</v>
      </c>
      <c r="B80" s="1" t="str">
        <f t="shared" si="0"/>
        <v/>
      </c>
      <c r="C80" s="38" t="str">
        <f>IF(NOT(OR(Interactions!C10="y",ISNUMBER(Interactions!C10))),"",'Population Definitions'!$A$3)</f>
        <v/>
      </c>
      <c r="D80" s="132" t="str">
        <f>IF(OR(Interactions!C10="y",ISNUMBER(Interactions!C10)),"N.A.","")</f>
        <v/>
      </c>
      <c r="E80" s="132" t="str">
        <f>IF(OR(Interactions!C10="y",ISNUMBER(Interactions!C10)),IF(SUMPRODUCT(--(G80:Y80&lt;&gt;""))=0,IF(ISNUMBER(Interactions!C10),Interactions!C10,1),"N.A."),"")</f>
        <v/>
      </c>
      <c r="F80" s="38" t="str">
        <f>IF(OR(Interactions!C10="y",ISNUMBER(Interactions!C10)),"OR","")</f>
        <v/>
      </c>
    </row>
    <row r="81" spans="1:6" x14ac:dyDescent="0.25">
      <c r="A81" s="38" t="str">
        <f>IF(NOT(OR(Interactions!D10="y",ISNUMBER(Interactions!D10))),"...",'Population Definitions'!$A$7)</f>
        <v>65+ (HIV+)</v>
      </c>
      <c r="B81" s="1" t="str">
        <f t="shared" si="0"/>
        <v>---&gt;</v>
      </c>
      <c r="C81" s="38" t="str">
        <f>IF(NOT(OR(Interactions!D10="y",ISNUMBER(Interactions!D10))),"",'Population Definitions'!$A$4)</f>
        <v>15-64</v>
      </c>
      <c r="D81" s="132" t="str">
        <f>IF(OR(Interactions!D10="y",ISNUMBER(Interactions!D10)),"N.A.","")</f>
        <v>N.A.</v>
      </c>
      <c r="E81" s="132">
        <f>IF(OR(Interactions!D10="y",ISNUMBER(Interactions!D10)),IF(SUMPRODUCT(--(G81:Y81&lt;&gt;""))=0,IF(ISNUMBER(Interactions!D10),Interactions!D10,1),"N.A."),"")</f>
        <v>1</v>
      </c>
      <c r="F81" s="38" t="str">
        <f>IF(OR(Interactions!D10="y",ISNUMBER(Interactions!D10)),"OR","")</f>
        <v>OR</v>
      </c>
    </row>
    <row r="82" spans="1:6" x14ac:dyDescent="0.25">
      <c r="A82" s="38" t="str">
        <f>IF(NOT(OR(Interactions!E10="y",ISNUMBER(Interactions!E10))),"...",'Population Definitions'!$A$7)</f>
        <v>65+ (HIV+)</v>
      </c>
      <c r="B82" s="1" t="str">
        <f t="shared" si="0"/>
        <v>---&gt;</v>
      </c>
      <c r="C82" s="38" t="str">
        <f>IF(NOT(OR(Interactions!E10="y",ISNUMBER(Interactions!E10))),"",'Population Definitions'!$A$5)</f>
        <v>65+</v>
      </c>
      <c r="D82" s="132" t="str">
        <f>IF(OR(Interactions!E10="y",ISNUMBER(Interactions!E10)),"N.A.","")</f>
        <v>N.A.</v>
      </c>
      <c r="E82" s="132">
        <f>IF(OR(Interactions!E10="y",ISNUMBER(Interactions!E10)),IF(SUMPRODUCT(--(G82:Y82&lt;&gt;""))=0,IF(ISNUMBER(Interactions!E10),Interactions!E10,1),"N.A."),"")</f>
        <v>1</v>
      </c>
      <c r="F82" s="38" t="str">
        <f>IF(OR(Interactions!E10="y",ISNUMBER(Interactions!E10)),"OR","")</f>
        <v>OR</v>
      </c>
    </row>
    <row r="83" spans="1:6" x14ac:dyDescent="0.25">
      <c r="A83" s="38" t="str">
        <f>IF(NOT(OR(Interactions!F10="y",ISNUMBER(Interactions!F10))),"...",'Population Definitions'!$A$7)</f>
        <v>65+ (HIV+)</v>
      </c>
      <c r="B83" s="1" t="str">
        <f t="shared" ref="B83:B146" si="1">IF(C83="","","---&gt;")</f>
        <v>---&gt;</v>
      </c>
      <c r="C83" s="38" t="str">
        <f>IF(NOT(OR(Interactions!F10="y",ISNUMBER(Interactions!F10))),"",'Population Definitions'!$A$6)</f>
        <v>15-64 (HIV+)</v>
      </c>
      <c r="D83" s="132" t="str">
        <f>IF(OR(Interactions!F10="y",ISNUMBER(Interactions!F10)),"N.A.","")</f>
        <v>N.A.</v>
      </c>
      <c r="E83" s="132">
        <f>IF(OR(Interactions!F10="y",ISNUMBER(Interactions!F10)),IF(SUMPRODUCT(--(G83:Y83&lt;&gt;""))=0,IF(ISNUMBER(Interactions!F10),Interactions!F10,1),"N.A."),"")</f>
        <v>1</v>
      </c>
      <c r="F83" s="38" t="str">
        <f>IF(OR(Interactions!F10="y",ISNUMBER(Interactions!F10)),"OR","")</f>
        <v>OR</v>
      </c>
    </row>
    <row r="84" spans="1:6" x14ac:dyDescent="0.25">
      <c r="A84" s="38" t="str">
        <f>IF(NOT(OR(Interactions!G10="y",ISNUMBER(Interactions!G10))),"...",'Population Definitions'!$A$7)</f>
        <v>65+ (HIV+)</v>
      </c>
      <c r="B84" s="1" t="str">
        <f t="shared" si="1"/>
        <v>---&gt;</v>
      </c>
      <c r="C84" s="38" t="str">
        <f>IF(NOT(OR(Interactions!G10="y",ISNUMBER(Interactions!G10))),"",'Population Definitions'!$A$7)</f>
        <v>65+ (HIV+)</v>
      </c>
      <c r="D84" s="132" t="str">
        <f>IF(OR(Interactions!G10="y",ISNUMBER(Interactions!G10)),"N.A.","")</f>
        <v>N.A.</v>
      </c>
      <c r="E84" s="132">
        <f>IF(OR(Interactions!G10="y",ISNUMBER(Interactions!G10)),IF(SUMPRODUCT(--(G84:Y84&lt;&gt;""))=0,IF(ISNUMBER(Interactions!G10),Interactions!G10,1),"N.A."),"")</f>
        <v>10</v>
      </c>
      <c r="F84" s="38" t="str">
        <f>IF(OR(Interactions!G10="y",ISNUMBER(Interactions!G10)),"OR","")</f>
        <v>OR</v>
      </c>
    </row>
    <row r="85" spans="1:6" x14ac:dyDescent="0.25">
      <c r="A85" s="38" t="str">
        <f>IF(NOT(OR(Interactions!H10="y",ISNUMBER(Interactions!H10))),"...",'Population Definitions'!$A$7)</f>
        <v>...</v>
      </c>
      <c r="B85" s="1" t="str">
        <f t="shared" si="1"/>
        <v/>
      </c>
      <c r="C85" s="38" t="str">
        <f>IF(NOT(OR(Interactions!H10="y",ISNUMBER(Interactions!H10))),"",'Population Definitions'!$A$8)</f>
        <v/>
      </c>
      <c r="D85" s="132" t="str">
        <f>IF(OR(Interactions!H10="y",ISNUMBER(Interactions!H10)),"N.A.","")</f>
        <v/>
      </c>
      <c r="E85" s="132" t="str">
        <f>IF(OR(Interactions!H10="y",ISNUMBER(Interactions!H10)),IF(SUMPRODUCT(--(G85:Y85&lt;&gt;""))=0,IF(ISNUMBER(Interactions!H10),Interactions!H10,1),"N.A."),"")</f>
        <v/>
      </c>
      <c r="F85" s="38" t="str">
        <f>IF(OR(Interactions!H10="y",ISNUMBER(Interactions!H10)),"OR","")</f>
        <v/>
      </c>
    </row>
    <row r="86" spans="1:6" x14ac:dyDescent="0.25">
      <c r="A86" s="38" t="str">
        <f>IF(NOT(OR(Interactions!I10="y",ISNUMBER(Interactions!I10))),"...",'Population Definitions'!$A$7)</f>
        <v>...</v>
      </c>
      <c r="B86" s="1" t="str">
        <f t="shared" si="1"/>
        <v/>
      </c>
      <c r="C86" s="38" t="str">
        <f>IF(NOT(OR(Interactions!I10="y",ISNUMBER(Interactions!I10))),"",'Population Definitions'!$A$9)</f>
        <v/>
      </c>
      <c r="D86" s="132" t="str">
        <f>IF(OR(Interactions!I10="y",ISNUMBER(Interactions!I10)),"N.A.","")</f>
        <v/>
      </c>
      <c r="E86" s="132" t="str">
        <f>IF(OR(Interactions!I10="y",ISNUMBER(Interactions!I10)),IF(SUMPRODUCT(--(G86:Y86&lt;&gt;""))=0,IF(ISNUMBER(Interactions!I10),Interactions!I10,1),"N.A."),"")</f>
        <v/>
      </c>
      <c r="F86" s="38" t="str">
        <f>IF(OR(Interactions!I10="y",ISNUMBER(Interactions!I10)),"OR","")</f>
        <v/>
      </c>
    </row>
    <row r="87" spans="1:6" x14ac:dyDescent="0.25">
      <c r="A87" s="38" t="str">
        <f>IF(NOT(OR(Interactions!J10="y",ISNUMBER(Interactions!J10))),"...",'Population Definitions'!$A$7)</f>
        <v>...</v>
      </c>
      <c r="B87" s="1" t="str">
        <f t="shared" si="1"/>
        <v/>
      </c>
      <c r="C87" s="38" t="str">
        <f>IF(NOT(OR(Interactions!J10="y",ISNUMBER(Interactions!J10))),"",'Population Definitions'!$A$10)</f>
        <v/>
      </c>
      <c r="D87" s="132" t="str">
        <f>IF(OR(Interactions!J10="y",ISNUMBER(Interactions!J10)),"N.A.","")</f>
        <v/>
      </c>
      <c r="E87" s="132" t="str">
        <f>IF(OR(Interactions!J10="y",ISNUMBER(Interactions!J10)),IF(SUMPRODUCT(--(G87:Y87&lt;&gt;""))=0,IF(ISNUMBER(Interactions!J10),Interactions!J10,1),"N.A."),"")</f>
        <v/>
      </c>
      <c r="F87" s="38" t="str">
        <f>IF(OR(Interactions!J10="y",ISNUMBER(Interactions!J10)),"OR","")</f>
        <v/>
      </c>
    </row>
    <row r="88" spans="1:6" x14ac:dyDescent="0.25">
      <c r="A88" s="38" t="str">
        <f>IF(NOT(OR(Interactions!K10="y",ISNUMBER(Interactions!K10))),"...",'Population Definitions'!$A$7)</f>
        <v>...</v>
      </c>
      <c r="B88" s="1" t="str">
        <f t="shared" si="1"/>
        <v/>
      </c>
      <c r="C88" s="38" t="str">
        <f>IF(NOT(OR(Interactions!K10="y",ISNUMBER(Interactions!K10))),"",'Population Definitions'!$A$11)</f>
        <v/>
      </c>
      <c r="D88" s="132" t="str">
        <f>IF(OR(Interactions!K10="y",ISNUMBER(Interactions!K10)),"N.A.","")</f>
        <v/>
      </c>
      <c r="E88" s="132" t="str">
        <f>IF(OR(Interactions!K10="y",ISNUMBER(Interactions!K10)),IF(SUMPRODUCT(--(G88:Y88&lt;&gt;""))=0,IF(ISNUMBER(Interactions!K10),Interactions!K10,1),"N.A."),"")</f>
        <v/>
      </c>
      <c r="F88" s="38" t="str">
        <f>IF(OR(Interactions!K10="y",ISNUMBER(Interactions!K10)),"OR","")</f>
        <v/>
      </c>
    </row>
    <row r="89" spans="1:6" x14ac:dyDescent="0.25">
      <c r="A89" s="38" t="str">
        <f>IF(NOT(OR(Interactions!L10="y",ISNUMBER(Interactions!L10))),"...",'Population Definitions'!$A$7)</f>
        <v>...</v>
      </c>
      <c r="B89" s="1" t="str">
        <f t="shared" si="1"/>
        <v/>
      </c>
      <c r="C89" s="38" t="str">
        <f>IF(NOT(OR(Interactions!L10="y",ISNUMBER(Interactions!L10))),"",'Population Definitions'!$A$12)</f>
        <v/>
      </c>
      <c r="D89" s="132" t="str">
        <f>IF(OR(Interactions!L10="y",ISNUMBER(Interactions!L10)),"N.A.","")</f>
        <v/>
      </c>
      <c r="E89" s="132" t="str">
        <f>IF(OR(Interactions!L10="y",ISNUMBER(Interactions!L10)),IF(SUMPRODUCT(--(G89:Y89&lt;&gt;""))=0,IF(ISNUMBER(Interactions!L10),Interactions!L10,1),"N.A."),"")</f>
        <v/>
      </c>
      <c r="F89" s="38" t="str">
        <f>IF(OR(Interactions!L10="y",ISNUMBER(Interactions!L10)),"OR","")</f>
        <v/>
      </c>
    </row>
    <row r="90" spans="1:6" x14ac:dyDescent="0.25">
      <c r="A90" s="38" t="str">
        <f>IF(NOT(OR(Interactions!M10="y",ISNUMBER(Interactions!M10))),"...",'Population Definitions'!$A$7)</f>
        <v>...</v>
      </c>
      <c r="B90" s="1" t="str">
        <f t="shared" si="1"/>
        <v/>
      </c>
      <c r="C90" s="38" t="str">
        <f>IF(NOT(OR(Interactions!M10="y",ISNUMBER(Interactions!M10))),"",'Population Definitions'!$A$13)</f>
        <v/>
      </c>
      <c r="D90" s="132" t="str">
        <f>IF(OR(Interactions!M10="y",ISNUMBER(Interactions!M10)),"N.A.","")</f>
        <v/>
      </c>
      <c r="E90" s="132" t="str">
        <f>IF(OR(Interactions!M10="y",ISNUMBER(Interactions!M10)),IF(SUMPRODUCT(--(G90:Y90&lt;&gt;""))=0,IF(ISNUMBER(Interactions!M10),Interactions!M10,1),"N.A."),"")</f>
        <v/>
      </c>
      <c r="F90" s="38" t="str">
        <f>IF(OR(Interactions!M10="y",ISNUMBER(Interactions!M10)),"OR","")</f>
        <v/>
      </c>
    </row>
    <row r="91" spans="1:6" x14ac:dyDescent="0.25">
      <c r="A91" s="38" t="str">
        <f>IF(NOT(OR(Interactions!B11="y",ISNUMBER(Interactions!B11))),"...",'Population Definitions'!$A$8)</f>
        <v>...</v>
      </c>
      <c r="B91" s="1" t="str">
        <f t="shared" si="1"/>
        <v/>
      </c>
      <c r="C91" s="38" t="str">
        <f>IF(NOT(OR(Interactions!B11="y",ISNUMBER(Interactions!B11))),"",'Population Definitions'!$A$2)</f>
        <v/>
      </c>
      <c r="D91" s="132" t="str">
        <f>IF(OR(Interactions!B11="y",ISNUMBER(Interactions!B11)),"N.A.","")</f>
        <v/>
      </c>
      <c r="E91" s="132" t="str">
        <f>IF(OR(Interactions!B11="y",ISNUMBER(Interactions!B11)),IF(SUMPRODUCT(--(G91:Y91&lt;&gt;""))=0,IF(ISNUMBER(Interactions!B11),Interactions!B11,1),"N.A."),"")</f>
        <v/>
      </c>
      <c r="F91" s="38" t="str">
        <f>IF(OR(Interactions!B11="y",ISNUMBER(Interactions!B11)),"OR","")</f>
        <v/>
      </c>
    </row>
    <row r="92" spans="1:6" x14ac:dyDescent="0.25">
      <c r="A92" s="38" t="str">
        <f>IF(NOT(OR(Interactions!C11="y",ISNUMBER(Interactions!C11))),"...",'Population Definitions'!$A$8)</f>
        <v>...</v>
      </c>
      <c r="B92" s="1" t="str">
        <f t="shared" si="1"/>
        <v/>
      </c>
      <c r="C92" s="38" t="str">
        <f>IF(NOT(OR(Interactions!C11="y",ISNUMBER(Interactions!C11))),"",'Population Definitions'!$A$3)</f>
        <v/>
      </c>
      <c r="D92" s="132" t="str">
        <f>IF(OR(Interactions!C11="y",ISNUMBER(Interactions!C11)),"N.A.","")</f>
        <v/>
      </c>
      <c r="E92" s="132" t="str">
        <f>IF(OR(Interactions!C11="y",ISNUMBER(Interactions!C11)),IF(SUMPRODUCT(--(G92:Y92&lt;&gt;""))=0,IF(ISNUMBER(Interactions!C11),Interactions!C11,1),"N.A."),"")</f>
        <v/>
      </c>
      <c r="F92" s="38" t="str">
        <f>IF(OR(Interactions!C11="y",ISNUMBER(Interactions!C11)),"OR","")</f>
        <v/>
      </c>
    </row>
    <row r="93" spans="1:6" x14ac:dyDescent="0.25">
      <c r="A93" s="38" t="str">
        <f>IF(NOT(OR(Interactions!D11="y",ISNUMBER(Interactions!D11))),"...",'Population Definitions'!$A$8)</f>
        <v>...</v>
      </c>
      <c r="B93" s="1" t="str">
        <f t="shared" si="1"/>
        <v/>
      </c>
      <c r="C93" s="38" t="str">
        <f>IF(NOT(OR(Interactions!D11="y",ISNUMBER(Interactions!D11))),"",'Population Definitions'!$A$4)</f>
        <v/>
      </c>
      <c r="D93" s="132" t="str">
        <f>IF(OR(Interactions!D11="y",ISNUMBER(Interactions!D11)),"N.A.","")</f>
        <v/>
      </c>
      <c r="E93" s="132" t="str">
        <f>IF(OR(Interactions!D11="y",ISNUMBER(Interactions!D11)),IF(SUMPRODUCT(--(G93:Y93&lt;&gt;""))=0,IF(ISNUMBER(Interactions!D11),Interactions!D11,1),"N.A."),"")</f>
        <v/>
      </c>
      <c r="F93" s="38" t="str">
        <f>IF(OR(Interactions!D11="y",ISNUMBER(Interactions!D11)),"OR","")</f>
        <v/>
      </c>
    </row>
    <row r="94" spans="1:6" x14ac:dyDescent="0.25">
      <c r="A94" s="38" t="str">
        <f>IF(NOT(OR(Interactions!E11="y",ISNUMBER(Interactions!E11))),"...",'Population Definitions'!$A$8)</f>
        <v>...</v>
      </c>
      <c r="B94" s="1" t="str">
        <f t="shared" si="1"/>
        <v/>
      </c>
      <c r="C94" s="38" t="str">
        <f>IF(NOT(OR(Interactions!E11="y",ISNUMBER(Interactions!E11))),"",'Population Definitions'!$A$5)</f>
        <v/>
      </c>
      <c r="D94" s="132" t="str">
        <f>IF(OR(Interactions!E11="y",ISNUMBER(Interactions!E11)),"N.A.","")</f>
        <v/>
      </c>
      <c r="E94" s="132" t="str">
        <f>IF(OR(Interactions!E11="y",ISNUMBER(Interactions!E11)),IF(SUMPRODUCT(--(G94:Y94&lt;&gt;""))=0,IF(ISNUMBER(Interactions!E11),Interactions!E11,1),"N.A."),"")</f>
        <v/>
      </c>
      <c r="F94" s="38" t="str">
        <f>IF(OR(Interactions!E11="y",ISNUMBER(Interactions!E11)),"OR","")</f>
        <v/>
      </c>
    </row>
    <row r="95" spans="1:6" x14ac:dyDescent="0.25">
      <c r="A95" s="38" t="str">
        <f>IF(NOT(OR(Interactions!F11="y",ISNUMBER(Interactions!F11))),"...",'Population Definitions'!$A$8)</f>
        <v>...</v>
      </c>
      <c r="B95" s="1" t="str">
        <f t="shared" si="1"/>
        <v/>
      </c>
      <c r="C95" s="38" t="str">
        <f>IF(NOT(OR(Interactions!F11="y",ISNUMBER(Interactions!F11))),"",'Population Definitions'!$A$6)</f>
        <v/>
      </c>
      <c r="D95" s="132" t="str">
        <f>IF(OR(Interactions!F11="y",ISNUMBER(Interactions!F11)),"N.A.","")</f>
        <v/>
      </c>
      <c r="E95" s="132" t="str">
        <f>IF(OR(Interactions!F11="y",ISNUMBER(Interactions!F11)),IF(SUMPRODUCT(--(G95:Y95&lt;&gt;""))=0,IF(ISNUMBER(Interactions!F11),Interactions!F11,1),"N.A."),"")</f>
        <v/>
      </c>
      <c r="F95" s="38" t="str">
        <f>IF(OR(Interactions!F11="y",ISNUMBER(Interactions!F11)),"OR","")</f>
        <v/>
      </c>
    </row>
    <row r="96" spans="1:6" x14ac:dyDescent="0.25">
      <c r="A96" s="38" t="str">
        <f>IF(NOT(OR(Interactions!G11="y",ISNUMBER(Interactions!G11))),"...",'Population Definitions'!$A$8)</f>
        <v>...</v>
      </c>
      <c r="B96" s="1" t="str">
        <f t="shared" si="1"/>
        <v/>
      </c>
      <c r="C96" s="38" t="str">
        <f>IF(NOT(OR(Interactions!G11="y",ISNUMBER(Interactions!G11))),"",'Population Definitions'!$A$7)</f>
        <v/>
      </c>
      <c r="D96" s="132" t="str">
        <f>IF(OR(Interactions!G11="y",ISNUMBER(Interactions!G11)),"N.A.","")</f>
        <v/>
      </c>
      <c r="E96" s="132" t="str">
        <f>IF(OR(Interactions!G11="y",ISNUMBER(Interactions!G11)),IF(SUMPRODUCT(--(G96:Y96&lt;&gt;""))=0,IF(ISNUMBER(Interactions!G11),Interactions!G11,1),"N.A."),"")</f>
        <v/>
      </c>
      <c r="F96" s="38" t="str">
        <f>IF(OR(Interactions!G11="y",ISNUMBER(Interactions!G11)),"OR","")</f>
        <v/>
      </c>
    </row>
    <row r="97" spans="1:6" x14ac:dyDescent="0.25">
      <c r="A97" s="38" t="str">
        <f>IF(NOT(OR(Interactions!H11="y",ISNUMBER(Interactions!H11))),"...",'Population Definitions'!$A$8)</f>
        <v>Pris</v>
      </c>
      <c r="B97" s="1" t="str">
        <f t="shared" si="1"/>
        <v>---&gt;</v>
      </c>
      <c r="C97" s="38" t="str">
        <f>IF(NOT(OR(Interactions!H11="y",ISNUMBER(Interactions!H11))),"",'Population Definitions'!$A$8)</f>
        <v>Pris</v>
      </c>
      <c r="D97" s="132" t="str">
        <f>IF(OR(Interactions!H11="y",ISNUMBER(Interactions!H11)),"N.A.","")</f>
        <v>N.A.</v>
      </c>
      <c r="E97" s="132">
        <f>IF(OR(Interactions!H11="y",ISNUMBER(Interactions!H11)),IF(SUMPRODUCT(--(G97:Y97&lt;&gt;""))=0,IF(ISNUMBER(Interactions!H11),Interactions!H11,1),"N.A."),"")</f>
        <v>1</v>
      </c>
      <c r="F97" s="38" t="str">
        <f>IF(OR(Interactions!H11="y",ISNUMBER(Interactions!H11)),"OR","")</f>
        <v>OR</v>
      </c>
    </row>
    <row r="98" spans="1:6" x14ac:dyDescent="0.25">
      <c r="A98" s="38" t="str">
        <f>IF(NOT(OR(Interactions!I11="y",ISNUMBER(Interactions!I11))),"...",'Population Definitions'!$A$8)</f>
        <v>Pris</v>
      </c>
      <c r="B98" s="1" t="str">
        <f t="shared" si="1"/>
        <v>---&gt;</v>
      </c>
      <c r="C98" s="38" t="str">
        <f>IF(NOT(OR(Interactions!I11="y",ISNUMBER(Interactions!I11))),"",'Population Definitions'!$A$9)</f>
        <v>Pris (HIV+)</v>
      </c>
      <c r="D98" s="132" t="str">
        <f>IF(OR(Interactions!I11="y",ISNUMBER(Interactions!I11)),"N.A.","")</f>
        <v>N.A.</v>
      </c>
      <c r="E98" s="132">
        <f>IF(OR(Interactions!I11="y",ISNUMBER(Interactions!I11)),IF(SUMPRODUCT(--(G98:Y98&lt;&gt;""))=0,IF(ISNUMBER(Interactions!I11),Interactions!I11,1),"N.A."),"")</f>
        <v>1</v>
      </c>
      <c r="F98" s="38" t="str">
        <f>IF(OR(Interactions!I11="y",ISNUMBER(Interactions!I11)),"OR","")</f>
        <v>OR</v>
      </c>
    </row>
    <row r="99" spans="1:6" x14ac:dyDescent="0.25">
      <c r="A99" s="38" t="str">
        <f>IF(NOT(OR(Interactions!J11="y",ISNUMBER(Interactions!J11))),"...",'Population Definitions'!$A$8)</f>
        <v>...</v>
      </c>
      <c r="B99" s="1" t="str">
        <f t="shared" si="1"/>
        <v/>
      </c>
      <c r="C99" s="38" t="str">
        <f>IF(NOT(OR(Interactions!J11="y",ISNUMBER(Interactions!J11))),"",'Population Definitions'!$A$10)</f>
        <v/>
      </c>
      <c r="D99" s="132" t="str">
        <f>IF(OR(Interactions!J11="y",ISNUMBER(Interactions!J11)),"N.A.","")</f>
        <v/>
      </c>
      <c r="E99" s="132" t="str">
        <f>IF(OR(Interactions!J11="y",ISNUMBER(Interactions!J11)),IF(SUMPRODUCT(--(G99:Y99&lt;&gt;""))=0,IF(ISNUMBER(Interactions!J11),Interactions!J11,1),"N.A."),"")</f>
        <v/>
      </c>
      <c r="F99" s="38" t="str">
        <f>IF(OR(Interactions!J11="y",ISNUMBER(Interactions!J11)),"OR","")</f>
        <v/>
      </c>
    </row>
    <row r="100" spans="1:6" x14ac:dyDescent="0.25">
      <c r="A100" s="38" t="str">
        <f>IF(NOT(OR(Interactions!K11="y",ISNUMBER(Interactions!K11))),"...",'Population Definitions'!$A$8)</f>
        <v>...</v>
      </c>
      <c r="B100" s="1" t="str">
        <f t="shared" si="1"/>
        <v/>
      </c>
      <c r="C100" s="38" t="str">
        <f>IF(NOT(OR(Interactions!K11="y",ISNUMBER(Interactions!K11))),"",'Population Definitions'!$A$11)</f>
        <v/>
      </c>
      <c r="D100" s="132" t="str">
        <f>IF(OR(Interactions!K11="y",ISNUMBER(Interactions!K11)),"N.A.","")</f>
        <v/>
      </c>
      <c r="E100" s="132" t="str">
        <f>IF(OR(Interactions!K11="y",ISNUMBER(Interactions!K11)),IF(SUMPRODUCT(--(G100:Y100&lt;&gt;""))=0,IF(ISNUMBER(Interactions!K11),Interactions!K11,1),"N.A."),"")</f>
        <v/>
      </c>
      <c r="F100" s="38" t="str">
        <f>IF(OR(Interactions!K11="y",ISNUMBER(Interactions!K11)),"OR","")</f>
        <v/>
      </c>
    </row>
    <row r="101" spans="1:6" x14ac:dyDescent="0.25">
      <c r="A101" s="38" t="str">
        <f>IF(NOT(OR(Interactions!L11="y",ISNUMBER(Interactions!L11))),"...",'Population Definitions'!$A$8)</f>
        <v>...</v>
      </c>
      <c r="B101" s="1" t="str">
        <f t="shared" si="1"/>
        <v/>
      </c>
      <c r="C101" s="38" t="str">
        <f>IF(NOT(OR(Interactions!L11="y",ISNUMBER(Interactions!L11))),"",'Population Definitions'!$A$12)</f>
        <v/>
      </c>
      <c r="D101" s="132" t="str">
        <f>IF(OR(Interactions!L11="y",ISNUMBER(Interactions!L11)),"N.A.","")</f>
        <v/>
      </c>
      <c r="E101" s="132" t="str">
        <f>IF(OR(Interactions!L11="y",ISNUMBER(Interactions!L11)),IF(SUMPRODUCT(--(G101:Y101&lt;&gt;""))=0,IF(ISNUMBER(Interactions!L11),Interactions!L11,1),"N.A."),"")</f>
        <v/>
      </c>
      <c r="F101" s="38" t="str">
        <f>IF(OR(Interactions!L11="y",ISNUMBER(Interactions!L11)),"OR","")</f>
        <v/>
      </c>
    </row>
    <row r="102" spans="1:6" x14ac:dyDescent="0.25">
      <c r="A102" s="38" t="str">
        <f>IF(NOT(OR(Interactions!M11="y",ISNUMBER(Interactions!M11))),"...",'Population Definitions'!$A$8)</f>
        <v>...</v>
      </c>
      <c r="B102" s="1" t="str">
        <f t="shared" si="1"/>
        <v/>
      </c>
      <c r="C102" s="38" t="str">
        <f>IF(NOT(OR(Interactions!M11="y",ISNUMBER(Interactions!M11))),"",'Population Definitions'!$A$13)</f>
        <v/>
      </c>
      <c r="D102" s="132" t="str">
        <f>IF(OR(Interactions!M11="y",ISNUMBER(Interactions!M11)),"N.A.","")</f>
        <v/>
      </c>
      <c r="E102" s="132" t="str">
        <f>IF(OR(Interactions!M11="y",ISNUMBER(Interactions!M11)),IF(SUMPRODUCT(--(G102:Y102&lt;&gt;""))=0,IF(ISNUMBER(Interactions!M11),Interactions!M11,1),"N.A."),"")</f>
        <v/>
      </c>
      <c r="F102" s="38" t="str">
        <f>IF(OR(Interactions!M11="y",ISNUMBER(Interactions!M11)),"OR","")</f>
        <v/>
      </c>
    </row>
    <row r="103" spans="1:6" x14ac:dyDescent="0.25">
      <c r="A103" s="38" t="str">
        <f>IF(NOT(OR(Interactions!B12="y",ISNUMBER(Interactions!B12))),"...",'Population Definitions'!$A$9)</f>
        <v>...</v>
      </c>
      <c r="B103" s="1" t="str">
        <f t="shared" si="1"/>
        <v/>
      </c>
      <c r="C103" s="38" t="str">
        <f>IF(NOT(OR(Interactions!B12="y",ISNUMBER(Interactions!B12))),"",'Population Definitions'!$A$2)</f>
        <v/>
      </c>
      <c r="D103" s="132" t="str">
        <f>IF(OR(Interactions!B12="y",ISNUMBER(Interactions!B12)),"N.A.","")</f>
        <v/>
      </c>
      <c r="E103" s="132" t="str">
        <f>IF(OR(Interactions!B12="y",ISNUMBER(Interactions!B12)),IF(SUMPRODUCT(--(G103:Y103&lt;&gt;""))=0,IF(ISNUMBER(Interactions!B12),Interactions!B12,1),"N.A."),"")</f>
        <v/>
      </c>
      <c r="F103" s="38" t="str">
        <f>IF(OR(Interactions!B12="y",ISNUMBER(Interactions!B12)),"OR","")</f>
        <v/>
      </c>
    </row>
    <row r="104" spans="1:6" x14ac:dyDescent="0.25">
      <c r="A104" s="38" t="str">
        <f>IF(NOT(OR(Interactions!C12="y",ISNUMBER(Interactions!C12))),"...",'Population Definitions'!$A$9)</f>
        <v>...</v>
      </c>
      <c r="B104" s="1" t="str">
        <f t="shared" si="1"/>
        <v/>
      </c>
      <c r="C104" s="38" t="str">
        <f>IF(NOT(OR(Interactions!C12="y",ISNUMBER(Interactions!C12))),"",'Population Definitions'!$A$3)</f>
        <v/>
      </c>
      <c r="D104" s="132" t="str">
        <f>IF(OR(Interactions!C12="y",ISNUMBER(Interactions!C12)),"N.A.","")</f>
        <v/>
      </c>
      <c r="E104" s="132" t="str">
        <f>IF(OR(Interactions!C12="y",ISNUMBER(Interactions!C12)),IF(SUMPRODUCT(--(G104:Y104&lt;&gt;""))=0,IF(ISNUMBER(Interactions!C12),Interactions!C12,1),"N.A."),"")</f>
        <v/>
      </c>
      <c r="F104" s="38" t="str">
        <f>IF(OR(Interactions!C12="y",ISNUMBER(Interactions!C12)),"OR","")</f>
        <v/>
      </c>
    </row>
    <row r="105" spans="1:6" x14ac:dyDescent="0.25">
      <c r="A105" s="38" t="str">
        <f>IF(NOT(OR(Interactions!D12="y",ISNUMBER(Interactions!D12))),"...",'Population Definitions'!$A$9)</f>
        <v>...</v>
      </c>
      <c r="B105" s="1" t="str">
        <f t="shared" si="1"/>
        <v/>
      </c>
      <c r="C105" s="38" t="str">
        <f>IF(NOT(OR(Interactions!D12="y",ISNUMBER(Interactions!D12))),"",'Population Definitions'!$A$4)</f>
        <v/>
      </c>
      <c r="D105" s="132" t="str">
        <f>IF(OR(Interactions!D12="y",ISNUMBER(Interactions!D12)),"N.A.","")</f>
        <v/>
      </c>
      <c r="E105" s="132" t="str">
        <f>IF(OR(Interactions!D12="y",ISNUMBER(Interactions!D12)),IF(SUMPRODUCT(--(G105:Y105&lt;&gt;""))=0,IF(ISNUMBER(Interactions!D12),Interactions!D12,1),"N.A."),"")</f>
        <v/>
      </c>
      <c r="F105" s="38" t="str">
        <f>IF(OR(Interactions!D12="y",ISNUMBER(Interactions!D12)),"OR","")</f>
        <v/>
      </c>
    </row>
    <row r="106" spans="1:6" x14ac:dyDescent="0.25">
      <c r="A106" s="38" t="str">
        <f>IF(NOT(OR(Interactions!E12="y",ISNUMBER(Interactions!E12))),"...",'Population Definitions'!$A$9)</f>
        <v>...</v>
      </c>
      <c r="B106" s="1" t="str">
        <f t="shared" si="1"/>
        <v/>
      </c>
      <c r="C106" s="38" t="str">
        <f>IF(NOT(OR(Interactions!E12="y",ISNUMBER(Interactions!E12))),"",'Population Definitions'!$A$5)</f>
        <v/>
      </c>
      <c r="D106" s="132" t="str">
        <f>IF(OR(Interactions!E12="y",ISNUMBER(Interactions!E12)),"N.A.","")</f>
        <v/>
      </c>
      <c r="E106" s="132" t="str">
        <f>IF(OR(Interactions!E12="y",ISNUMBER(Interactions!E12)),IF(SUMPRODUCT(--(G106:Y106&lt;&gt;""))=0,IF(ISNUMBER(Interactions!E12),Interactions!E12,1),"N.A."),"")</f>
        <v/>
      </c>
      <c r="F106" s="38" t="str">
        <f>IF(OR(Interactions!E12="y",ISNUMBER(Interactions!E12)),"OR","")</f>
        <v/>
      </c>
    </row>
    <row r="107" spans="1:6" x14ac:dyDescent="0.25">
      <c r="A107" s="38" t="str">
        <f>IF(NOT(OR(Interactions!F12="y",ISNUMBER(Interactions!F12))),"...",'Population Definitions'!$A$9)</f>
        <v>...</v>
      </c>
      <c r="B107" s="1" t="str">
        <f t="shared" si="1"/>
        <v/>
      </c>
      <c r="C107" s="38" t="str">
        <f>IF(NOT(OR(Interactions!F12="y",ISNUMBER(Interactions!F12))),"",'Population Definitions'!$A$6)</f>
        <v/>
      </c>
      <c r="D107" s="132" t="str">
        <f>IF(OR(Interactions!F12="y",ISNUMBER(Interactions!F12)),"N.A.","")</f>
        <v/>
      </c>
      <c r="E107" s="132" t="str">
        <f>IF(OR(Interactions!F12="y",ISNUMBER(Interactions!F12)),IF(SUMPRODUCT(--(G107:Y107&lt;&gt;""))=0,IF(ISNUMBER(Interactions!F12),Interactions!F12,1),"N.A."),"")</f>
        <v/>
      </c>
      <c r="F107" s="38" t="str">
        <f>IF(OR(Interactions!F12="y",ISNUMBER(Interactions!F12)),"OR","")</f>
        <v/>
      </c>
    </row>
    <row r="108" spans="1:6" x14ac:dyDescent="0.25">
      <c r="A108" s="38" t="str">
        <f>IF(NOT(OR(Interactions!G12="y",ISNUMBER(Interactions!G12))),"...",'Population Definitions'!$A$9)</f>
        <v>...</v>
      </c>
      <c r="B108" s="1" t="str">
        <f t="shared" si="1"/>
        <v/>
      </c>
      <c r="C108" s="38" t="str">
        <f>IF(NOT(OR(Interactions!G12="y",ISNUMBER(Interactions!G12))),"",'Population Definitions'!$A$7)</f>
        <v/>
      </c>
      <c r="D108" s="132" t="str">
        <f>IF(OR(Interactions!G12="y",ISNUMBER(Interactions!G12)),"N.A.","")</f>
        <v/>
      </c>
      <c r="E108" s="132" t="str">
        <f>IF(OR(Interactions!G12="y",ISNUMBER(Interactions!G12)),IF(SUMPRODUCT(--(G108:Y108&lt;&gt;""))=0,IF(ISNUMBER(Interactions!G12),Interactions!G12,1),"N.A."),"")</f>
        <v/>
      </c>
      <c r="F108" s="38" t="str">
        <f>IF(OR(Interactions!G12="y",ISNUMBER(Interactions!G12)),"OR","")</f>
        <v/>
      </c>
    </row>
    <row r="109" spans="1:6" x14ac:dyDescent="0.25">
      <c r="A109" s="38" t="str">
        <f>IF(NOT(OR(Interactions!H12="y",ISNUMBER(Interactions!H12))),"...",'Population Definitions'!$A$9)</f>
        <v>Pris (HIV+)</v>
      </c>
      <c r="B109" s="1" t="str">
        <f t="shared" si="1"/>
        <v>---&gt;</v>
      </c>
      <c r="C109" s="38" t="str">
        <f>IF(NOT(OR(Interactions!H12="y",ISNUMBER(Interactions!H12))),"",'Population Definitions'!$A$8)</f>
        <v>Pris</v>
      </c>
      <c r="D109" s="132" t="str">
        <f>IF(OR(Interactions!H12="y",ISNUMBER(Interactions!H12)),"N.A.","")</f>
        <v>N.A.</v>
      </c>
      <c r="E109" s="132">
        <f>IF(OR(Interactions!H12="y",ISNUMBER(Interactions!H12)),IF(SUMPRODUCT(--(G109:Y109&lt;&gt;""))=0,IF(ISNUMBER(Interactions!H12),Interactions!H12,1),"N.A."),"")</f>
        <v>1</v>
      </c>
      <c r="F109" s="38" t="str">
        <f>IF(OR(Interactions!H12="y",ISNUMBER(Interactions!H12)),"OR","")</f>
        <v>OR</v>
      </c>
    </row>
    <row r="110" spans="1:6" x14ac:dyDescent="0.25">
      <c r="A110" s="38" t="str">
        <f>IF(NOT(OR(Interactions!I12="y",ISNUMBER(Interactions!I12))),"...",'Population Definitions'!$A$9)</f>
        <v>Pris (HIV+)</v>
      </c>
      <c r="B110" s="1" t="str">
        <f t="shared" si="1"/>
        <v>---&gt;</v>
      </c>
      <c r="C110" s="38" t="str">
        <f>IF(NOT(OR(Interactions!I12="y",ISNUMBER(Interactions!I12))),"",'Population Definitions'!$A$9)</f>
        <v>Pris (HIV+)</v>
      </c>
      <c r="D110" s="132" t="str">
        <f>IF(OR(Interactions!I12="y",ISNUMBER(Interactions!I12)),"N.A.","")</f>
        <v>N.A.</v>
      </c>
      <c r="E110" s="132">
        <f>IF(OR(Interactions!I12="y",ISNUMBER(Interactions!I12)),IF(SUMPRODUCT(--(G110:Y110&lt;&gt;""))=0,IF(ISNUMBER(Interactions!I12),Interactions!I12,1),"N.A."),"")</f>
        <v>1</v>
      </c>
      <c r="F110" s="38" t="str">
        <f>IF(OR(Interactions!I12="y",ISNUMBER(Interactions!I12)),"OR","")</f>
        <v>OR</v>
      </c>
    </row>
    <row r="111" spans="1:6" x14ac:dyDescent="0.25">
      <c r="A111" s="38" t="str">
        <f>IF(NOT(OR(Interactions!J12="y",ISNUMBER(Interactions!J12))),"...",'Population Definitions'!$A$9)</f>
        <v>...</v>
      </c>
      <c r="B111" s="1" t="str">
        <f t="shared" si="1"/>
        <v/>
      </c>
      <c r="C111" s="38" t="str">
        <f>IF(NOT(OR(Interactions!J12="y",ISNUMBER(Interactions!J12))),"",'Population Definitions'!$A$10)</f>
        <v/>
      </c>
      <c r="D111" s="132" t="str">
        <f>IF(OR(Interactions!J12="y",ISNUMBER(Interactions!J12)),"N.A.","")</f>
        <v/>
      </c>
      <c r="E111" s="132" t="str">
        <f>IF(OR(Interactions!J12="y",ISNUMBER(Interactions!J12)),IF(SUMPRODUCT(--(G111:Y111&lt;&gt;""))=0,IF(ISNUMBER(Interactions!J12),Interactions!J12,1),"N.A."),"")</f>
        <v/>
      </c>
      <c r="F111" s="38" t="str">
        <f>IF(OR(Interactions!J12="y",ISNUMBER(Interactions!J12)),"OR","")</f>
        <v/>
      </c>
    </row>
    <row r="112" spans="1:6" x14ac:dyDescent="0.25">
      <c r="A112" s="38" t="str">
        <f>IF(NOT(OR(Interactions!K12="y",ISNUMBER(Interactions!K12))),"...",'Population Definitions'!$A$9)</f>
        <v>...</v>
      </c>
      <c r="B112" s="1" t="str">
        <f t="shared" si="1"/>
        <v/>
      </c>
      <c r="C112" s="38" t="str">
        <f>IF(NOT(OR(Interactions!K12="y",ISNUMBER(Interactions!K12))),"",'Population Definitions'!$A$11)</f>
        <v/>
      </c>
      <c r="D112" s="132" t="str">
        <f>IF(OR(Interactions!K12="y",ISNUMBER(Interactions!K12)),"N.A.","")</f>
        <v/>
      </c>
      <c r="E112" s="132" t="str">
        <f>IF(OR(Interactions!K12="y",ISNUMBER(Interactions!K12)),IF(SUMPRODUCT(--(G112:Y112&lt;&gt;""))=0,IF(ISNUMBER(Interactions!K12),Interactions!K12,1),"N.A."),"")</f>
        <v/>
      </c>
      <c r="F112" s="38" t="str">
        <f>IF(OR(Interactions!K12="y",ISNUMBER(Interactions!K12)),"OR","")</f>
        <v/>
      </c>
    </row>
    <row r="113" spans="1:6" x14ac:dyDescent="0.25">
      <c r="A113" s="38" t="str">
        <f>IF(NOT(OR(Interactions!L12="y",ISNUMBER(Interactions!L12))),"...",'Population Definitions'!$A$9)</f>
        <v>...</v>
      </c>
      <c r="B113" s="1" t="str">
        <f t="shared" si="1"/>
        <v/>
      </c>
      <c r="C113" s="38" t="str">
        <f>IF(NOT(OR(Interactions!L12="y",ISNUMBER(Interactions!L12))),"",'Population Definitions'!$A$12)</f>
        <v/>
      </c>
      <c r="D113" s="132" t="str">
        <f>IF(OR(Interactions!L12="y",ISNUMBER(Interactions!L12)),"N.A.","")</f>
        <v/>
      </c>
      <c r="E113" s="132" t="str">
        <f>IF(OR(Interactions!L12="y",ISNUMBER(Interactions!L12)),IF(SUMPRODUCT(--(G113:Y113&lt;&gt;""))=0,IF(ISNUMBER(Interactions!L12),Interactions!L12,1),"N.A."),"")</f>
        <v/>
      </c>
      <c r="F113" s="38" t="str">
        <f>IF(OR(Interactions!L12="y",ISNUMBER(Interactions!L12)),"OR","")</f>
        <v/>
      </c>
    </row>
    <row r="114" spans="1:6" x14ac:dyDescent="0.25">
      <c r="A114" s="38" t="str">
        <f>IF(NOT(OR(Interactions!M12="y",ISNUMBER(Interactions!M12))),"...",'Population Definitions'!$A$9)</f>
        <v>...</v>
      </c>
      <c r="B114" s="1" t="str">
        <f t="shared" si="1"/>
        <v/>
      </c>
      <c r="C114" s="38" t="str">
        <f>IF(NOT(OR(Interactions!M12="y",ISNUMBER(Interactions!M12))),"",'Population Definitions'!$A$13)</f>
        <v/>
      </c>
      <c r="D114" s="132" t="str">
        <f>IF(OR(Interactions!M12="y",ISNUMBER(Interactions!M12)),"N.A.","")</f>
        <v/>
      </c>
      <c r="E114" s="132" t="str">
        <f>IF(OR(Interactions!M12="y",ISNUMBER(Interactions!M12)),IF(SUMPRODUCT(--(G114:Y114&lt;&gt;""))=0,IF(ISNUMBER(Interactions!M12),Interactions!M12,1),"N.A."),"")</f>
        <v/>
      </c>
      <c r="F114" s="38" t="str">
        <f>IF(OR(Interactions!M12="y",ISNUMBER(Interactions!M12)),"OR","")</f>
        <v/>
      </c>
    </row>
    <row r="115" spans="1:6" x14ac:dyDescent="0.25">
      <c r="A115" s="38" t="str">
        <f>IF(NOT(OR(Interactions!B13="y",ISNUMBER(Interactions!B13))),"...",'Population Definitions'!$A$10)</f>
        <v>...</v>
      </c>
      <c r="B115" s="1" t="str">
        <f t="shared" si="1"/>
        <v/>
      </c>
      <c r="C115" s="38" t="str">
        <f>IF(NOT(OR(Interactions!B13="y",ISNUMBER(Interactions!B13))),"",'Population Definitions'!$A$2)</f>
        <v/>
      </c>
      <c r="D115" s="132" t="str">
        <f>IF(OR(Interactions!B13="y",ISNUMBER(Interactions!B13)),"N.A.","")</f>
        <v/>
      </c>
      <c r="E115" s="132" t="str">
        <f>IF(OR(Interactions!B13="y",ISNUMBER(Interactions!B13)),IF(SUMPRODUCT(--(G115:Y115&lt;&gt;""))=0,IF(ISNUMBER(Interactions!B13),Interactions!B13,1),"N.A."),"")</f>
        <v/>
      </c>
      <c r="F115" s="38" t="str">
        <f>IF(OR(Interactions!B13="y",ISNUMBER(Interactions!B13)),"OR","")</f>
        <v/>
      </c>
    </row>
    <row r="116" spans="1:6" x14ac:dyDescent="0.25">
      <c r="A116" s="38" t="str">
        <f>IF(NOT(OR(Interactions!C13="y",ISNUMBER(Interactions!C13))),"...",'Population Definitions'!$A$10)</f>
        <v>...</v>
      </c>
      <c r="B116" s="1" t="str">
        <f t="shared" si="1"/>
        <v/>
      </c>
      <c r="C116" s="38" t="str">
        <f>IF(NOT(OR(Interactions!C13="y",ISNUMBER(Interactions!C13))),"",'Population Definitions'!$A$3)</f>
        <v/>
      </c>
      <c r="D116" s="132" t="str">
        <f>IF(OR(Interactions!C13="y",ISNUMBER(Interactions!C13)),"N.A.","")</f>
        <v/>
      </c>
      <c r="E116" s="132" t="str">
        <f>IF(OR(Interactions!C13="y",ISNUMBER(Interactions!C13)),IF(SUMPRODUCT(--(G116:Y116&lt;&gt;""))=0,IF(ISNUMBER(Interactions!C13),Interactions!C13,1),"N.A."),"")</f>
        <v/>
      </c>
      <c r="F116" s="38" t="str">
        <f>IF(OR(Interactions!C13="y",ISNUMBER(Interactions!C13)),"OR","")</f>
        <v/>
      </c>
    </row>
    <row r="117" spans="1:6" x14ac:dyDescent="0.25">
      <c r="A117" s="38" t="str">
        <f>IF(NOT(OR(Interactions!D13="y",ISNUMBER(Interactions!D13))),"...",'Population Definitions'!$A$10)</f>
        <v>HCW</v>
      </c>
      <c r="B117" s="1" t="str">
        <f t="shared" si="1"/>
        <v>---&gt;</v>
      </c>
      <c r="C117" s="38" t="str">
        <f>IF(NOT(OR(Interactions!D13="y",ISNUMBER(Interactions!D13))),"",'Population Definitions'!$A$4)</f>
        <v>15-64</v>
      </c>
      <c r="D117" s="132" t="str">
        <f>IF(OR(Interactions!D13="y",ISNUMBER(Interactions!D13)),"N.A.","")</f>
        <v>N.A.</v>
      </c>
      <c r="E117" s="132">
        <f>IF(OR(Interactions!D13="y",ISNUMBER(Interactions!D13)),IF(SUMPRODUCT(--(G117:Y117&lt;&gt;""))=0,IF(ISNUMBER(Interactions!D13),Interactions!D13,1),"N.A."),"")</f>
        <v>1</v>
      </c>
      <c r="F117" s="38" t="str">
        <f>IF(OR(Interactions!D13="y",ISNUMBER(Interactions!D13)),"OR","")</f>
        <v>OR</v>
      </c>
    </row>
    <row r="118" spans="1:6" x14ac:dyDescent="0.25">
      <c r="A118" s="38" t="str">
        <f>IF(NOT(OR(Interactions!E13="y",ISNUMBER(Interactions!E13))),"...",'Population Definitions'!$A$10)</f>
        <v>HCW</v>
      </c>
      <c r="B118" s="1" t="str">
        <f t="shared" si="1"/>
        <v>---&gt;</v>
      </c>
      <c r="C118" s="38" t="str">
        <f>IF(NOT(OR(Interactions!E13="y",ISNUMBER(Interactions!E13))),"",'Population Definitions'!$A$5)</f>
        <v>65+</v>
      </c>
      <c r="D118" s="132" t="str">
        <f>IF(OR(Interactions!E13="y",ISNUMBER(Interactions!E13)),"N.A.","")</f>
        <v>N.A.</v>
      </c>
      <c r="E118" s="132">
        <f>IF(OR(Interactions!E13="y",ISNUMBER(Interactions!E13)),IF(SUMPRODUCT(--(G118:Y118&lt;&gt;""))=0,IF(ISNUMBER(Interactions!E13),Interactions!E13,1),"N.A."),"")</f>
        <v>3</v>
      </c>
      <c r="F118" s="38" t="str">
        <f>IF(OR(Interactions!E13="y",ISNUMBER(Interactions!E13)),"OR","")</f>
        <v>OR</v>
      </c>
    </row>
    <row r="119" spans="1:6" x14ac:dyDescent="0.25">
      <c r="A119" s="38" t="str">
        <f>IF(NOT(OR(Interactions!F13="y",ISNUMBER(Interactions!F13))),"...",'Population Definitions'!$A$10)</f>
        <v>HCW</v>
      </c>
      <c r="B119" s="1" t="str">
        <f t="shared" si="1"/>
        <v>---&gt;</v>
      </c>
      <c r="C119" s="38" t="str">
        <f>IF(NOT(OR(Interactions!F13="y",ISNUMBER(Interactions!F13))),"",'Population Definitions'!$A$6)</f>
        <v>15-64 (HIV+)</v>
      </c>
      <c r="D119" s="132" t="str">
        <f>IF(OR(Interactions!F13="y",ISNUMBER(Interactions!F13)),"N.A.","")</f>
        <v>N.A.</v>
      </c>
      <c r="E119" s="132">
        <f>IF(OR(Interactions!F13="y",ISNUMBER(Interactions!F13)),IF(SUMPRODUCT(--(G119:Y119&lt;&gt;""))=0,IF(ISNUMBER(Interactions!F13),Interactions!F13,1),"N.A."),"")</f>
        <v>5</v>
      </c>
      <c r="F119" s="38" t="str">
        <f>IF(OR(Interactions!F13="y",ISNUMBER(Interactions!F13)),"OR","")</f>
        <v>OR</v>
      </c>
    </row>
    <row r="120" spans="1:6" x14ac:dyDescent="0.25">
      <c r="A120" s="38" t="str">
        <f>IF(NOT(OR(Interactions!G13="y",ISNUMBER(Interactions!G13))),"...",'Population Definitions'!$A$10)</f>
        <v>HCW</v>
      </c>
      <c r="B120" s="1" t="str">
        <f t="shared" si="1"/>
        <v>---&gt;</v>
      </c>
      <c r="C120" s="38" t="str">
        <f>IF(NOT(OR(Interactions!G13="y",ISNUMBER(Interactions!G13))),"",'Population Definitions'!$A$7)</f>
        <v>65+ (HIV+)</v>
      </c>
      <c r="D120" s="132" t="str">
        <f>IF(OR(Interactions!G13="y",ISNUMBER(Interactions!G13)),"N.A.","")</f>
        <v>N.A.</v>
      </c>
      <c r="E120" s="132">
        <f>IF(OR(Interactions!G13="y",ISNUMBER(Interactions!G13)),IF(SUMPRODUCT(--(G120:Y120&lt;&gt;""))=0,IF(ISNUMBER(Interactions!G13),Interactions!G13,1),"N.A."),"")</f>
        <v>5</v>
      </c>
      <c r="F120" s="38" t="str">
        <f>IF(OR(Interactions!G13="y",ISNUMBER(Interactions!G13)),"OR","")</f>
        <v>OR</v>
      </c>
    </row>
    <row r="121" spans="1:6" x14ac:dyDescent="0.25">
      <c r="A121" s="38" t="str">
        <f>IF(NOT(OR(Interactions!H13="y",ISNUMBER(Interactions!H13))),"...",'Population Definitions'!$A$10)</f>
        <v>...</v>
      </c>
      <c r="B121" s="1" t="str">
        <f t="shared" si="1"/>
        <v/>
      </c>
      <c r="C121" s="38" t="str">
        <f>IF(NOT(OR(Interactions!H13="y",ISNUMBER(Interactions!H13))),"",'Population Definitions'!$A$8)</f>
        <v/>
      </c>
      <c r="D121" s="132" t="str">
        <f>IF(OR(Interactions!H13="y",ISNUMBER(Interactions!H13)),"N.A.","")</f>
        <v/>
      </c>
      <c r="E121" s="132" t="str">
        <f>IF(OR(Interactions!H13="y",ISNUMBER(Interactions!H13)),IF(SUMPRODUCT(--(G121:Y121&lt;&gt;""))=0,IF(ISNUMBER(Interactions!H13),Interactions!H13,1),"N.A."),"")</f>
        <v/>
      </c>
      <c r="F121" s="38" t="str">
        <f>IF(OR(Interactions!H13="y",ISNUMBER(Interactions!H13)),"OR","")</f>
        <v/>
      </c>
    </row>
    <row r="122" spans="1:6" x14ac:dyDescent="0.25">
      <c r="A122" s="38" t="str">
        <f>IF(NOT(OR(Interactions!I13="y",ISNUMBER(Interactions!I13))),"...",'Population Definitions'!$A$10)</f>
        <v>...</v>
      </c>
      <c r="B122" s="1" t="str">
        <f t="shared" si="1"/>
        <v/>
      </c>
      <c r="C122" s="38" t="str">
        <f>IF(NOT(OR(Interactions!I13="y",ISNUMBER(Interactions!I13))),"",'Population Definitions'!$A$9)</f>
        <v/>
      </c>
      <c r="D122" s="132" t="str">
        <f>IF(OR(Interactions!I13="y",ISNUMBER(Interactions!I13)),"N.A.","")</f>
        <v/>
      </c>
      <c r="E122" s="132" t="str">
        <f>IF(OR(Interactions!I13="y",ISNUMBER(Interactions!I13)),IF(SUMPRODUCT(--(G122:Y122&lt;&gt;""))=0,IF(ISNUMBER(Interactions!I13),Interactions!I13,1),"N.A."),"")</f>
        <v/>
      </c>
      <c r="F122" s="38" t="str">
        <f>IF(OR(Interactions!I13="y",ISNUMBER(Interactions!I13)),"OR","")</f>
        <v/>
      </c>
    </row>
    <row r="123" spans="1:6" x14ac:dyDescent="0.25">
      <c r="A123" s="38" t="str">
        <f>IF(NOT(OR(Interactions!J13="y",ISNUMBER(Interactions!J13))),"...",'Population Definitions'!$A$10)</f>
        <v>HCW</v>
      </c>
      <c r="B123" s="1" t="str">
        <f t="shared" si="1"/>
        <v>---&gt;</v>
      </c>
      <c r="C123" s="38" t="str">
        <f>IF(NOT(OR(Interactions!J13="y",ISNUMBER(Interactions!J13))),"",'Population Definitions'!$A$10)</f>
        <v>HCW</v>
      </c>
      <c r="D123" s="132" t="str">
        <f>IF(OR(Interactions!J13="y",ISNUMBER(Interactions!J13)),"N.A.","")</f>
        <v>N.A.</v>
      </c>
      <c r="E123" s="132">
        <f>IF(OR(Interactions!J13="y",ISNUMBER(Interactions!J13)),IF(SUMPRODUCT(--(G123:Y123&lt;&gt;""))=0,IF(ISNUMBER(Interactions!J13),Interactions!J13,1),"N.A."),"")</f>
        <v>10</v>
      </c>
      <c r="F123" s="38" t="str">
        <f>IF(OR(Interactions!J13="y",ISNUMBER(Interactions!J13)),"OR","")</f>
        <v>OR</v>
      </c>
    </row>
    <row r="124" spans="1:6" x14ac:dyDescent="0.25">
      <c r="A124" s="38" t="str">
        <f>IF(NOT(OR(Interactions!K13="y",ISNUMBER(Interactions!K13))),"...",'Population Definitions'!$A$10)</f>
        <v>HCW</v>
      </c>
      <c r="B124" s="1" t="str">
        <f t="shared" si="1"/>
        <v>---&gt;</v>
      </c>
      <c r="C124" s="38" t="str">
        <f>IF(NOT(OR(Interactions!K13="y",ISNUMBER(Interactions!K13))),"",'Population Definitions'!$A$11)</f>
        <v>HCW (HIV+)</v>
      </c>
      <c r="D124" s="132" t="str">
        <f>IF(OR(Interactions!K13="y",ISNUMBER(Interactions!K13)),"N.A.","")</f>
        <v>N.A.</v>
      </c>
      <c r="E124" s="132">
        <f>IF(OR(Interactions!K13="y",ISNUMBER(Interactions!K13)),IF(SUMPRODUCT(--(G124:Y124&lt;&gt;""))=0,IF(ISNUMBER(Interactions!K13),Interactions!K13,1),"N.A."),"")</f>
        <v>10</v>
      </c>
      <c r="F124" s="38" t="str">
        <f>IF(OR(Interactions!K13="y",ISNUMBER(Interactions!K13)),"OR","")</f>
        <v>OR</v>
      </c>
    </row>
    <row r="125" spans="1:6" x14ac:dyDescent="0.25">
      <c r="A125" s="38" t="str">
        <f>IF(NOT(OR(Interactions!L13="y",ISNUMBER(Interactions!L13))),"...",'Population Definitions'!$A$10)</f>
        <v>...</v>
      </c>
      <c r="B125" s="1" t="str">
        <f t="shared" si="1"/>
        <v/>
      </c>
      <c r="C125" s="38" t="str">
        <f>IF(NOT(OR(Interactions!L13="y",ISNUMBER(Interactions!L13))),"",'Population Definitions'!$A$12)</f>
        <v/>
      </c>
      <c r="D125" s="132" t="str">
        <f>IF(OR(Interactions!L13="y",ISNUMBER(Interactions!L13)),"N.A.","")</f>
        <v/>
      </c>
      <c r="E125" s="132" t="str">
        <f>IF(OR(Interactions!L13="y",ISNUMBER(Interactions!L13)),IF(SUMPRODUCT(--(G125:Y125&lt;&gt;""))=0,IF(ISNUMBER(Interactions!L13),Interactions!L13,1),"N.A."),"")</f>
        <v/>
      </c>
      <c r="F125" s="38" t="str">
        <f>IF(OR(Interactions!L13="y",ISNUMBER(Interactions!L13)),"OR","")</f>
        <v/>
      </c>
    </row>
    <row r="126" spans="1:6" x14ac:dyDescent="0.25">
      <c r="A126" s="38" t="str">
        <f>IF(NOT(OR(Interactions!M13="y",ISNUMBER(Interactions!M13))),"...",'Population Definitions'!$A$10)</f>
        <v>...</v>
      </c>
      <c r="B126" s="1" t="str">
        <f t="shared" si="1"/>
        <v/>
      </c>
      <c r="C126" s="38" t="str">
        <f>IF(NOT(OR(Interactions!M13="y",ISNUMBER(Interactions!M13))),"",'Population Definitions'!$A$13)</f>
        <v/>
      </c>
      <c r="D126" s="132" t="str">
        <f>IF(OR(Interactions!M13="y",ISNUMBER(Interactions!M13)),"N.A.","")</f>
        <v/>
      </c>
      <c r="E126" s="132" t="str">
        <f>IF(OR(Interactions!M13="y",ISNUMBER(Interactions!M13)),IF(SUMPRODUCT(--(G126:Y126&lt;&gt;""))=0,IF(ISNUMBER(Interactions!M13),Interactions!M13,1),"N.A."),"")</f>
        <v/>
      </c>
      <c r="F126" s="38" t="str">
        <f>IF(OR(Interactions!M13="y",ISNUMBER(Interactions!M13)),"OR","")</f>
        <v/>
      </c>
    </row>
    <row r="127" spans="1:6" x14ac:dyDescent="0.25">
      <c r="A127" s="38" t="str">
        <f>IF(NOT(OR(Interactions!B14="y",ISNUMBER(Interactions!B14))),"...",'Population Definitions'!$A$11)</f>
        <v>...</v>
      </c>
      <c r="B127" s="1" t="str">
        <f t="shared" si="1"/>
        <v/>
      </c>
      <c r="C127" s="38" t="str">
        <f>IF(NOT(OR(Interactions!B14="y",ISNUMBER(Interactions!B14))),"",'Population Definitions'!$A$2)</f>
        <v/>
      </c>
      <c r="D127" s="132" t="str">
        <f>IF(OR(Interactions!B14="y",ISNUMBER(Interactions!B14)),"N.A.","")</f>
        <v/>
      </c>
      <c r="E127" s="132" t="str">
        <f>IF(OR(Interactions!B14="y",ISNUMBER(Interactions!B14)),IF(SUMPRODUCT(--(G127:Y127&lt;&gt;""))=0,IF(ISNUMBER(Interactions!B14),Interactions!B14,1),"N.A."),"")</f>
        <v/>
      </c>
      <c r="F127" s="38" t="str">
        <f>IF(OR(Interactions!B14="y",ISNUMBER(Interactions!B14)),"OR","")</f>
        <v/>
      </c>
    </row>
    <row r="128" spans="1:6" x14ac:dyDescent="0.25">
      <c r="A128" s="38" t="str">
        <f>IF(NOT(OR(Interactions!C14="y",ISNUMBER(Interactions!C14))),"...",'Population Definitions'!$A$11)</f>
        <v>...</v>
      </c>
      <c r="B128" s="1" t="str">
        <f t="shared" si="1"/>
        <v/>
      </c>
      <c r="C128" s="38" t="str">
        <f>IF(NOT(OR(Interactions!C14="y",ISNUMBER(Interactions!C14))),"",'Population Definitions'!$A$3)</f>
        <v/>
      </c>
      <c r="D128" s="132" t="str">
        <f>IF(OR(Interactions!C14="y",ISNUMBER(Interactions!C14)),"N.A.","")</f>
        <v/>
      </c>
      <c r="E128" s="132" t="str">
        <f>IF(OR(Interactions!C14="y",ISNUMBER(Interactions!C14)),IF(SUMPRODUCT(--(G128:Y128&lt;&gt;""))=0,IF(ISNUMBER(Interactions!C14),Interactions!C14,1),"N.A."),"")</f>
        <v/>
      </c>
      <c r="F128" s="38" t="str">
        <f>IF(OR(Interactions!C14="y",ISNUMBER(Interactions!C14)),"OR","")</f>
        <v/>
      </c>
    </row>
    <row r="129" spans="1:6" x14ac:dyDescent="0.25">
      <c r="A129" s="38" t="str">
        <f>IF(NOT(OR(Interactions!D14="y",ISNUMBER(Interactions!D14))),"...",'Population Definitions'!$A$11)</f>
        <v>HCW (HIV+)</v>
      </c>
      <c r="B129" s="1" t="str">
        <f t="shared" si="1"/>
        <v>---&gt;</v>
      </c>
      <c r="C129" s="38" t="str">
        <f>IF(NOT(OR(Interactions!D14="y",ISNUMBER(Interactions!D14))),"",'Population Definitions'!$A$4)</f>
        <v>15-64</v>
      </c>
      <c r="D129" s="132" t="str">
        <f>IF(OR(Interactions!D14="y",ISNUMBER(Interactions!D14)),"N.A.","")</f>
        <v>N.A.</v>
      </c>
      <c r="E129" s="132">
        <f>IF(OR(Interactions!D14="y",ISNUMBER(Interactions!D14)),IF(SUMPRODUCT(--(G129:Y129&lt;&gt;""))=0,IF(ISNUMBER(Interactions!D14),Interactions!D14,1),"N.A."),"")</f>
        <v>1</v>
      </c>
      <c r="F129" s="38" t="str">
        <f>IF(OR(Interactions!D14="y",ISNUMBER(Interactions!D14)),"OR","")</f>
        <v>OR</v>
      </c>
    </row>
    <row r="130" spans="1:6" x14ac:dyDescent="0.25">
      <c r="A130" s="38" t="str">
        <f>IF(NOT(OR(Interactions!E14="y",ISNUMBER(Interactions!E14))),"...",'Population Definitions'!$A$11)</f>
        <v>HCW (HIV+)</v>
      </c>
      <c r="B130" s="1" t="str">
        <f t="shared" si="1"/>
        <v>---&gt;</v>
      </c>
      <c r="C130" s="38" t="str">
        <f>IF(NOT(OR(Interactions!E14="y",ISNUMBER(Interactions!E14))),"",'Population Definitions'!$A$5)</f>
        <v>65+</v>
      </c>
      <c r="D130" s="132" t="str">
        <f>IF(OR(Interactions!E14="y",ISNUMBER(Interactions!E14)),"N.A.","")</f>
        <v>N.A.</v>
      </c>
      <c r="E130" s="132">
        <f>IF(OR(Interactions!E14="y",ISNUMBER(Interactions!E14)),IF(SUMPRODUCT(--(G130:Y130&lt;&gt;""))=0,IF(ISNUMBER(Interactions!E14),Interactions!E14,1),"N.A."),"")</f>
        <v>3</v>
      </c>
      <c r="F130" s="38" t="str">
        <f>IF(OR(Interactions!E14="y",ISNUMBER(Interactions!E14)),"OR","")</f>
        <v>OR</v>
      </c>
    </row>
    <row r="131" spans="1:6" x14ac:dyDescent="0.25">
      <c r="A131" s="38" t="str">
        <f>IF(NOT(OR(Interactions!F14="y",ISNUMBER(Interactions!F14))),"...",'Population Definitions'!$A$11)</f>
        <v>HCW (HIV+)</v>
      </c>
      <c r="B131" s="1" t="str">
        <f t="shared" si="1"/>
        <v>---&gt;</v>
      </c>
      <c r="C131" s="38" t="str">
        <f>IF(NOT(OR(Interactions!F14="y",ISNUMBER(Interactions!F14))),"",'Population Definitions'!$A$6)</f>
        <v>15-64 (HIV+)</v>
      </c>
      <c r="D131" s="132" t="str">
        <f>IF(OR(Interactions!F14="y",ISNUMBER(Interactions!F14)),"N.A.","")</f>
        <v>N.A.</v>
      </c>
      <c r="E131" s="132">
        <f>IF(OR(Interactions!F14="y",ISNUMBER(Interactions!F14)),IF(SUMPRODUCT(--(G131:Y131&lt;&gt;""))=0,IF(ISNUMBER(Interactions!F14),Interactions!F14,1),"N.A."),"")</f>
        <v>5</v>
      </c>
      <c r="F131" s="38" t="str">
        <f>IF(OR(Interactions!F14="y",ISNUMBER(Interactions!F14)),"OR","")</f>
        <v>OR</v>
      </c>
    </row>
    <row r="132" spans="1:6" x14ac:dyDescent="0.25">
      <c r="A132" s="38" t="str">
        <f>IF(NOT(OR(Interactions!G14="y",ISNUMBER(Interactions!G14))),"...",'Population Definitions'!$A$11)</f>
        <v>HCW (HIV+)</v>
      </c>
      <c r="B132" s="1" t="str">
        <f t="shared" si="1"/>
        <v>---&gt;</v>
      </c>
      <c r="C132" s="38" t="str">
        <f>IF(NOT(OR(Interactions!G14="y",ISNUMBER(Interactions!G14))),"",'Population Definitions'!$A$7)</f>
        <v>65+ (HIV+)</v>
      </c>
      <c r="D132" s="132" t="str">
        <f>IF(OR(Interactions!G14="y",ISNUMBER(Interactions!G14)),"N.A.","")</f>
        <v>N.A.</v>
      </c>
      <c r="E132" s="132">
        <f>IF(OR(Interactions!G14="y",ISNUMBER(Interactions!G14)),IF(SUMPRODUCT(--(G132:Y132&lt;&gt;""))=0,IF(ISNUMBER(Interactions!G14),Interactions!G14,1),"N.A."),"")</f>
        <v>5</v>
      </c>
      <c r="F132" s="38" t="str">
        <f>IF(OR(Interactions!G14="y",ISNUMBER(Interactions!G14)),"OR","")</f>
        <v>OR</v>
      </c>
    </row>
    <row r="133" spans="1:6" x14ac:dyDescent="0.25">
      <c r="A133" s="38" t="str">
        <f>IF(NOT(OR(Interactions!H14="y",ISNUMBER(Interactions!H14))),"...",'Population Definitions'!$A$11)</f>
        <v>...</v>
      </c>
      <c r="B133" s="1" t="str">
        <f t="shared" si="1"/>
        <v/>
      </c>
      <c r="C133" s="38" t="str">
        <f>IF(NOT(OR(Interactions!H14="y",ISNUMBER(Interactions!H14))),"",'Population Definitions'!$A$8)</f>
        <v/>
      </c>
      <c r="D133" s="132" t="str">
        <f>IF(OR(Interactions!H14="y",ISNUMBER(Interactions!H14)),"N.A.","")</f>
        <v/>
      </c>
      <c r="E133" s="132" t="str">
        <f>IF(OR(Interactions!H14="y",ISNUMBER(Interactions!H14)),IF(SUMPRODUCT(--(G133:Y133&lt;&gt;""))=0,IF(ISNUMBER(Interactions!H14),Interactions!H14,1),"N.A."),"")</f>
        <v/>
      </c>
      <c r="F133" s="38" t="str">
        <f>IF(OR(Interactions!H14="y",ISNUMBER(Interactions!H14)),"OR","")</f>
        <v/>
      </c>
    </row>
    <row r="134" spans="1:6" x14ac:dyDescent="0.25">
      <c r="A134" s="38" t="str">
        <f>IF(NOT(OR(Interactions!I14="y",ISNUMBER(Interactions!I14))),"...",'Population Definitions'!$A$11)</f>
        <v>...</v>
      </c>
      <c r="B134" s="1" t="str">
        <f t="shared" si="1"/>
        <v/>
      </c>
      <c r="C134" s="38" t="str">
        <f>IF(NOT(OR(Interactions!I14="y",ISNUMBER(Interactions!I14))),"",'Population Definitions'!$A$9)</f>
        <v/>
      </c>
      <c r="D134" s="132" t="str">
        <f>IF(OR(Interactions!I14="y",ISNUMBER(Interactions!I14)),"N.A.","")</f>
        <v/>
      </c>
      <c r="E134" s="132" t="str">
        <f>IF(OR(Interactions!I14="y",ISNUMBER(Interactions!I14)),IF(SUMPRODUCT(--(G134:Y134&lt;&gt;""))=0,IF(ISNUMBER(Interactions!I14),Interactions!I14,1),"N.A."),"")</f>
        <v/>
      </c>
      <c r="F134" s="38" t="str">
        <f>IF(OR(Interactions!I14="y",ISNUMBER(Interactions!I14)),"OR","")</f>
        <v/>
      </c>
    </row>
    <row r="135" spans="1:6" x14ac:dyDescent="0.25">
      <c r="A135" s="38" t="str">
        <f>IF(NOT(OR(Interactions!J14="y",ISNUMBER(Interactions!J14))),"...",'Population Definitions'!$A$11)</f>
        <v>HCW (HIV+)</v>
      </c>
      <c r="B135" s="1" t="str">
        <f t="shared" si="1"/>
        <v>---&gt;</v>
      </c>
      <c r="C135" s="38" t="str">
        <f>IF(NOT(OR(Interactions!J14="y",ISNUMBER(Interactions!J14))),"",'Population Definitions'!$A$10)</f>
        <v>HCW</v>
      </c>
      <c r="D135" s="132" t="str">
        <f>IF(OR(Interactions!J14="y",ISNUMBER(Interactions!J14)),"N.A.","")</f>
        <v>N.A.</v>
      </c>
      <c r="E135" s="132">
        <f>IF(OR(Interactions!J14="y",ISNUMBER(Interactions!J14)),IF(SUMPRODUCT(--(G135:Y135&lt;&gt;""))=0,IF(ISNUMBER(Interactions!J14),Interactions!J14,1),"N.A."),"")</f>
        <v>10</v>
      </c>
      <c r="F135" s="38" t="str">
        <f>IF(OR(Interactions!J14="y",ISNUMBER(Interactions!J14)),"OR","")</f>
        <v>OR</v>
      </c>
    </row>
    <row r="136" spans="1:6" x14ac:dyDescent="0.25">
      <c r="A136" s="38" t="str">
        <f>IF(NOT(OR(Interactions!K14="y",ISNUMBER(Interactions!K14))),"...",'Population Definitions'!$A$11)</f>
        <v>HCW (HIV+)</v>
      </c>
      <c r="B136" s="1" t="str">
        <f t="shared" si="1"/>
        <v>---&gt;</v>
      </c>
      <c r="C136" s="38" t="str">
        <f>IF(NOT(OR(Interactions!K14="y",ISNUMBER(Interactions!K14))),"",'Population Definitions'!$A$11)</f>
        <v>HCW (HIV+)</v>
      </c>
      <c r="D136" s="132" t="str">
        <f>IF(OR(Interactions!K14="y",ISNUMBER(Interactions!K14)),"N.A.","")</f>
        <v>N.A.</v>
      </c>
      <c r="E136" s="132">
        <f>IF(OR(Interactions!K14="y",ISNUMBER(Interactions!K14)),IF(SUMPRODUCT(--(G136:Y136&lt;&gt;""))=0,IF(ISNUMBER(Interactions!K14),Interactions!K14,1),"N.A."),"")</f>
        <v>10</v>
      </c>
      <c r="F136" s="38" t="str">
        <f>IF(OR(Interactions!K14="y",ISNUMBER(Interactions!K14)),"OR","")</f>
        <v>OR</v>
      </c>
    </row>
    <row r="137" spans="1:6" x14ac:dyDescent="0.25">
      <c r="A137" s="38" t="str">
        <f>IF(NOT(OR(Interactions!L14="y",ISNUMBER(Interactions!L14))),"...",'Population Definitions'!$A$11)</f>
        <v>...</v>
      </c>
      <c r="B137" s="1" t="str">
        <f t="shared" si="1"/>
        <v/>
      </c>
      <c r="C137" s="38" t="str">
        <f>IF(NOT(OR(Interactions!L14="y",ISNUMBER(Interactions!L14))),"",'Population Definitions'!$A$12)</f>
        <v/>
      </c>
      <c r="D137" s="132" t="str">
        <f>IF(OR(Interactions!L14="y",ISNUMBER(Interactions!L14)),"N.A.","")</f>
        <v/>
      </c>
      <c r="E137" s="132" t="str">
        <f>IF(OR(Interactions!L14="y",ISNUMBER(Interactions!L14)),IF(SUMPRODUCT(--(G137:Y137&lt;&gt;""))=0,IF(ISNUMBER(Interactions!L14),Interactions!L14,1),"N.A."),"")</f>
        <v/>
      </c>
      <c r="F137" s="38" t="str">
        <f>IF(OR(Interactions!L14="y",ISNUMBER(Interactions!L14)),"OR","")</f>
        <v/>
      </c>
    </row>
    <row r="138" spans="1:6" x14ac:dyDescent="0.25">
      <c r="A138" s="38" t="str">
        <f>IF(NOT(OR(Interactions!M14="y",ISNUMBER(Interactions!M14))),"...",'Population Definitions'!$A$11)</f>
        <v>...</v>
      </c>
      <c r="B138" s="1" t="str">
        <f t="shared" si="1"/>
        <v/>
      </c>
      <c r="C138" s="38" t="str">
        <f>IF(NOT(OR(Interactions!M14="y",ISNUMBER(Interactions!M14))),"",'Population Definitions'!$A$13)</f>
        <v/>
      </c>
      <c r="D138" s="132" t="str">
        <f>IF(OR(Interactions!M14="y",ISNUMBER(Interactions!M14)),"N.A.","")</f>
        <v/>
      </c>
      <c r="E138" s="132" t="str">
        <f>IF(OR(Interactions!M14="y",ISNUMBER(Interactions!M14)),IF(SUMPRODUCT(--(G138:Y138&lt;&gt;""))=0,IF(ISNUMBER(Interactions!M14),Interactions!M14,1),"N.A."),"")</f>
        <v/>
      </c>
      <c r="F138" s="38" t="str">
        <f>IF(OR(Interactions!M14="y",ISNUMBER(Interactions!M14)),"OR","")</f>
        <v/>
      </c>
    </row>
    <row r="139" spans="1:6" x14ac:dyDescent="0.25">
      <c r="A139" s="38" t="str">
        <f>IF(NOT(OR(Interactions!B15="y",ISNUMBER(Interactions!B15))),"...",'Population Definitions'!$A$12)</f>
        <v>...</v>
      </c>
      <c r="B139" s="1" t="str">
        <f t="shared" si="1"/>
        <v/>
      </c>
      <c r="C139" s="38" t="str">
        <f>IF(NOT(OR(Interactions!B15="y",ISNUMBER(Interactions!B15))),"",'Population Definitions'!$A$2)</f>
        <v/>
      </c>
      <c r="D139" s="132" t="str">
        <f>IF(OR(Interactions!B15="y",ISNUMBER(Interactions!B15)),"N.A.","")</f>
        <v/>
      </c>
      <c r="E139" s="132" t="str">
        <f>IF(OR(Interactions!B15="y",ISNUMBER(Interactions!B15)),IF(SUMPRODUCT(--(G139:Y139&lt;&gt;""))=0,IF(ISNUMBER(Interactions!B15),Interactions!B15,1),"N.A."),"")</f>
        <v/>
      </c>
      <c r="F139" s="38" t="str">
        <f>IF(OR(Interactions!B15="y",ISNUMBER(Interactions!B15)),"OR","")</f>
        <v/>
      </c>
    </row>
    <row r="140" spans="1:6" x14ac:dyDescent="0.25">
      <c r="A140" s="38" t="str">
        <f>IF(NOT(OR(Interactions!C15="y",ISNUMBER(Interactions!C15))),"...",'Population Definitions'!$A$12)</f>
        <v>...</v>
      </c>
      <c r="B140" s="1" t="str">
        <f t="shared" si="1"/>
        <v/>
      </c>
      <c r="C140" s="38" t="str">
        <f>IF(NOT(OR(Interactions!C15="y",ISNUMBER(Interactions!C15))),"",'Population Definitions'!$A$3)</f>
        <v/>
      </c>
      <c r="D140" s="132" t="str">
        <f>IF(OR(Interactions!C15="y",ISNUMBER(Interactions!C15)),"N.A.","")</f>
        <v/>
      </c>
      <c r="E140" s="132" t="str">
        <f>IF(OR(Interactions!C15="y",ISNUMBER(Interactions!C15)),IF(SUMPRODUCT(--(G140:Y140&lt;&gt;""))=0,IF(ISNUMBER(Interactions!C15),Interactions!C15,1),"N.A."),"")</f>
        <v/>
      </c>
      <c r="F140" s="38" t="str">
        <f>IF(OR(Interactions!C15="y",ISNUMBER(Interactions!C15)),"OR","")</f>
        <v/>
      </c>
    </row>
    <row r="141" spans="1:6" x14ac:dyDescent="0.25">
      <c r="A141" s="38" t="str">
        <f>IF(NOT(OR(Interactions!D15="y",ISNUMBER(Interactions!D15))),"...",'Population Definitions'!$A$12)</f>
        <v>...</v>
      </c>
      <c r="B141" s="1" t="str">
        <f t="shared" si="1"/>
        <v/>
      </c>
      <c r="C141" s="38" t="str">
        <f>IF(NOT(OR(Interactions!D15="y",ISNUMBER(Interactions!D15))),"",'Population Definitions'!$A$4)</f>
        <v/>
      </c>
      <c r="D141" s="132" t="str">
        <f>IF(OR(Interactions!D15="y",ISNUMBER(Interactions!D15)),"N.A.","")</f>
        <v/>
      </c>
      <c r="E141" s="132" t="str">
        <f>IF(OR(Interactions!D15="y",ISNUMBER(Interactions!D15)),IF(SUMPRODUCT(--(G141:Y141&lt;&gt;""))=0,IF(ISNUMBER(Interactions!D15),Interactions!D15,1),"N.A."),"")</f>
        <v/>
      </c>
      <c r="F141" s="38" t="str">
        <f>IF(OR(Interactions!D15="y",ISNUMBER(Interactions!D15)),"OR","")</f>
        <v/>
      </c>
    </row>
    <row r="142" spans="1:6" x14ac:dyDescent="0.25">
      <c r="A142" s="38" t="str">
        <f>IF(NOT(OR(Interactions!E15="y",ISNUMBER(Interactions!E15))),"...",'Population Definitions'!$A$12)</f>
        <v>...</v>
      </c>
      <c r="B142" s="1" t="str">
        <f t="shared" si="1"/>
        <v/>
      </c>
      <c r="C142" s="38" t="str">
        <f>IF(NOT(OR(Interactions!E15="y",ISNUMBER(Interactions!E15))),"",'Population Definitions'!$A$5)</f>
        <v/>
      </c>
      <c r="D142" s="132" t="str">
        <f>IF(OR(Interactions!E15="y",ISNUMBER(Interactions!E15)),"N.A.","")</f>
        <v/>
      </c>
      <c r="E142" s="132" t="str">
        <f>IF(OR(Interactions!E15="y",ISNUMBER(Interactions!E15)),IF(SUMPRODUCT(--(G142:Y142&lt;&gt;""))=0,IF(ISNUMBER(Interactions!E15),Interactions!E15,1),"N.A."),"")</f>
        <v/>
      </c>
      <c r="F142" s="38" t="str">
        <f>IF(OR(Interactions!E15="y",ISNUMBER(Interactions!E15)),"OR","")</f>
        <v/>
      </c>
    </row>
    <row r="143" spans="1:6" x14ac:dyDescent="0.25">
      <c r="A143" s="38" t="str">
        <f>IF(NOT(OR(Interactions!F15="y",ISNUMBER(Interactions!F15))),"...",'Population Definitions'!$A$12)</f>
        <v>...</v>
      </c>
      <c r="B143" s="1" t="str">
        <f t="shared" si="1"/>
        <v/>
      </c>
      <c r="C143" s="38" t="str">
        <f>IF(NOT(OR(Interactions!F15="y",ISNUMBER(Interactions!F15))),"",'Population Definitions'!$A$6)</f>
        <v/>
      </c>
      <c r="D143" s="132" t="str">
        <f>IF(OR(Interactions!F15="y",ISNUMBER(Interactions!F15)),"N.A.","")</f>
        <v/>
      </c>
      <c r="E143" s="132" t="str">
        <f>IF(OR(Interactions!F15="y",ISNUMBER(Interactions!F15)),IF(SUMPRODUCT(--(G143:Y143&lt;&gt;""))=0,IF(ISNUMBER(Interactions!F15),Interactions!F15,1),"N.A."),"")</f>
        <v/>
      </c>
      <c r="F143" s="38" t="str">
        <f>IF(OR(Interactions!F15="y",ISNUMBER(Interactions!F15)),"OR","")</f>
        <v/>
      </c>
    </row>
    <row r="144" spans="1:6" x14ac:dyDescent="0.25">
      <c r="A144" s="38" t="str">
        <f>IF(NOT(OR(Interactions!G15="y",ISNUMBER(Interactions!G15))),"...",'Population Definitions'!$A$12)</f>
        <v>...</v>
      </c>
      <c r="B144" s="1" t="str">
        <f t="shared" si="1"/>
        <v/>
      </c>
      <c r="C144" s="38" t="str">
        <f>IF(NOT(OR(Interactions!G15="y",ISNUMBER(Interactions!G15))),"",'Population Definitions'!$A$7)</f>
        <v/>
      </c>
      <c r="D144" s="132" t="str">
        <f>IF(OR(Interactions!G15="y",ISNUMBER(Interactions!G15)),"N.A.","")</f>
        <v/>
      </c>
      <c r="E144" s="132" t="str">
        <f>IF(OR(Interactions!G15="y",ISNUMBER(Interactions!G15)),IF(SUMPRODUCT(--(G144:Y144&lt;&gt;""))=0,IF(ISNUMBER(Interactions!G15),Interactions!G15,1),"N.A."),"")</f>
        <v/>
      </c>
      <c r="F144" s="38" t="str">
        <f>IF(OR(Interactions!G15="y",ISNUMBER(Interactions!G15)),"OR","")</f>
        <v/>
      </c>
    </row>
    <row r="145" spans="1:6" x14ac:dyDescent="0.25">
      <c r="A145" s="38" t="str">
        <f>IF(NOT(OR(Interactions!H15="y",ISNUMBER(Interactions!H15))),"...",'Population Definitions'!$A$12)</f>
        <v>...</v>
      </c>
      <c r="B145" s="1" t="str">
        <f t="shared" si="1"/>
        <v/>
      </c>
      <c r="C145" s="38" t="str">
        <f>IF(NOT(OR(Interactions!H15="y",ISNUMBER(Interactions!H15))),"",'Population Definitions'!$A$8)</f>
        <v/>
      </c>
      <c r="D145" s="132" t="str">
        <f>IF(OR(Interactions!H15="y",ISNUMBER(Interactions!H15)),"N.A.","")</f>
        <v/>
      </c>
      <c r="E145" s="132" t="str">
        <f>IF(OR(Interactions!H15="y",ISNUMBER(Interactions!H15)),IF(SUMPRODUCT(--(G145:Y145&lt;&gt;""))=0,IF(ISNUMBER(Interactions!H15),Interactions!H15,1),"N.A."),"")</f>
        <v/>
      </c>
      <c r="F145" s="38" t="str">
        <f>IF(OR(Interactions!H15="y",ISNUMBER(Interactions!H15)),"OR","")</f>
        <v/>
      </c>
    </row>
    <row r="146" spans="1:6" x14ac:dyDescent="0.25">
      <c r="A146" s="38" t="str">
        <f>IF(NOT(OR(Interactions!I15="y",ISNUMBER(Interactions!I15))),"...",'Population Definitions'!$A$12)</f>
        <v>...</v>
      </c>
      <c r="B146" s="1" t="str">
        <f t="shared" si="1"/>
        <v/>
      </c>
      <c r="C146" s="38" t="str">
        <f>IF(NOT(OR(Interactions!I15="y",ISNUMBER(Interactions!I15))),"",'Population Definitions'!$A$9)</f>
        <v/>
      </c>
      <c r="D146" s="132" t="str">
        <f>IF(OR(Interactions!I15="y",ISNUMBER(Interactions!I15)),"N.A.","")</f>
        <v/>
      </c>
      <c r="E146" s="132" t="str">
        <f>IF(OR(Interactions!I15="y",ISNUMBER(Interactions!I15)),IF(SUMPRODUCT(--(G146:Y146&lt;&gt;""))=0,IF(ISNUMBER(Interactions!I15),Interactions!I15,1),"N.A."),"")</f>
        <v/>
      </c>
      <c r="F146" s="38" t="str">
        <f>IF(OR(Interactions!I15="y",ISNUMBER(Interactions!I15)),"OR","")</f>
        <v/>
      </c>
    </row>
    <row r="147" spans="1:6" x14ac:dyDescent="0.25">
      <c r="A147" s="38" t="str">
        <f>IF(NOT(OR(Interactions!J15="y",ISNUMBER(Interactions!J15))),"...",'Population Definitions'!$A$12)</f>
        <v>...</v>
      </c>
      <c r="B147" s="1" t="str">
        <f t="shared" ref="B147:B162" si="2">IF(C147="","","---&gt;")</f>
        <v/>
      </c>
      <c r="C147" s="38" t="str">
        <f>IF(NOT(OR(Interactions!J15="y",ISNUMBER(Interactions!J15))),"",'Population Definitions'!$A$10)</f>
        <v/>
      </c>
      <c r="D147" s="132" t="str">
        <f>IF(OR(Interactions!J15="y",ISNUMBER(Interactions!J15)),"N.A.","")</f>
        <v/>
      </c>
      <c r="E147" s="132" t="str">
        <f>IF(OR(Interactions!J15="y",ISNUMBER(Interactions!J15)),IF(SUMPRODUCT(--(G147:Y147&lt;&gt;""))=0,IF(ISNUMBER(Interactions!J15),Interactions!J15,1),"N.A."),"")</f>
        <v/>
      </c>
      <c r="F147" s="38" t="str">
        <f>IF(OR(Interactions!J15="y",ISNUMBER(Interactions!J15)),"OR","")</f>
        <v/>
      </c>
    </row>
    <row r="148" spans="1:6" x14ac:dyDescent="0.25">
      <c r="A148" s="38" t="str">
        <f>IF(NOT(OR(Interactions!K15="y",ISNUMBER(Interactions!K15))),"...",'Population Definitions'!$A$12)</f>
        <v>...</v>
      </c>
      <c r="B148" s="1" t="str">
        <f t="shared" si="2"/>
        <v/>
      </c>
      <c r="C148" s="38" t="str">
        <f>IF(NOT(OR(Interactions!K15="y",ISNUMBER(Interactions!K15))),"",'Population Definitions'!$A$11)</f>
        <v/>
      </c>
      <c r="D148" s="132" t="str">
        <f>IF(OR(Interactions!K15="y",ISNUMBER(Interactions!K15)),"N.A.","")</f>
        <v/>
      </c>
      <c r="E148" s="132" t="str">
        <f>IF(OR(Interactions!K15="y",ISNUMBER(Interactions!K15)),IF(SUMPRODUCT(--(G148:Y148&lt;&gt;""))=0,IF(ISNUMBER(Interactions!K15),Interactions!K15,1),"N.A."),"")</f>
        <v/>
      </c>
      <c r="F148" s="38" t="str">
        <f>IF(OR(Interactions!K15="y",ISNUMBER(Interactions!K15)),"OR","")</f>
        <v/>
      </c>
    </row>
    <row r="149" spans="1:6" x14ac:dyDescent="0.25">
      <c r="A149" s="38" t="str">
        <f>IF(NOT(OR(Interactions!L15="y",ISNUMBER(Interactions!L15))),"...",'Population Definitions'!$A$12)</f>
        <v>Mine</v>
      </c>
      <c r="B149" s="1" t="str">
        <f t="shared" si="2"/>
        <v>---&gt;</v>
      </c>
      <c r="C149" s="38" t="str">
        <f>IF(NOT(OR(Interactions!L15="y",ISNUMBER(Interactions!L15))),"",'Population Definitions'!$A$12)</f>
        <v>Mine</v>
      </c>
      <c r="D149" s="132" t="str">
        <f>IF(OR(Interactions!L15="y",ISNUMBER(Interactions!L15)),"N.A.","")</f>
        <v>N.A.</v>
      </c>
      <c r="E149" s="132">
        <f>IF(OR(Interactions!L15="y",ISNUMBER(Interactions!L15)),IF(SUMPRODUCT(--(G149:Y149&lt;&gt;""))=0,IF(ISNUMBER(Interactions!L15),Interactions!L15,1),"N.A."),"")</f>
        <v>1</v>
      </c>
      <c r="F149" s="38" t="str">
        <f>IF(OR(Interactions!L15="y",ISNUMBER(Interactions!L15)),"OR","")</f>
        <v>OR</v>
      </c>
    </row>
    <row r="150" spans="1:6" x14ac:dyDescent="0.25">
      <c r="A150" s="38" t="str">
        <f>IF(NOT(OR(Interactions!M15="y",ISNUMBER(Interactions!M15))),"...",'Population Definitions'!$A$12)</f>
        <v>Mine</v>
      </c>
      <c r="B150" s="1" t="str">
        <f t="shared" si="2"/>
        <v>---&gt;</v>
      </c>
      <c r="C150" s="38" t="str">
        <f>IF(NOT(OR(Interactions!M15="y",ISNUMBER(Interactions!M15))),"",'Population Definitions'!$A$13)</f>
        <v>Mine (HIV+)</v>
      </c>
      <c r="D150" s="132" t="str">
        <f>IF(OR(Interactions!M15="y",ISNUMBER(Interactions!M15)),"N.A.","")</f>
        <v>N.A.</v>
      </c>
      <c r="E150" s="132">
        <f>IF(OR(Interactions!M15="y",ISNUMBER(Interactions!M15)),IF(SUMPRODUCT(--(G150:Y150&lt;&gt;""))=0,IF(ISNUMBER(Interactions!M15),Interactions!M15,1),"N.A."),"")</f>
        <v>1</v>
      </c>
      <c r="F150" s="38" t="str">
        <f>IF(OR(Interactions!M15="y",ISNUMBER(Interactions!M15)),"OR","")</f>
        <v>OR</v>
      </c>
    </row>
    <row r="151" spans="1:6" x14ac:dyDescent="0.25">
      <c r="A151" s="38" t="str">
        <f>IF(NOT(OR(Interactions!B16="y",ISNUMBER(Interactions!B16))),"...",'Population Definitions'!$A$13)</f>
        <v>...</v>
      </c>
      <c r="B151" s="1" t="str">
        <f t="shared" si="2"/>
        <v/>
      </c>
      <c r="C151" s="38" t="str">
        <f>IF(NOT(OR(Interactions!B16="y",ISNUMBER(Interactions!B16))),"",'Population Definitions'!$A$2)</f>
        <v/>
      </c>
      <c r="D151" s="132" t="str">
        <f>IF(OR(Interactions!B16="y",ISNUMBER(Interactions!B16)),"N.A.","")</f>
        <v/>
      </c>
      <c r="E151" s="132" t="str">
        <f>IF(OR(Interactions!B16="y",ISNUMBER(Interactions!B16)),IF(SUMPRODUCT(--(G151:Y151&lt;&gt;""))=0,IF(ISNUMBER(Interactions!B16),Interactions!B16,1),"N.A."),"")</f>
        <v/>
      </c>
      <c r="F151" s="38" t="str">
        <f>IF(OR(Interactions!B16="y",ISNUMBER(Interactions!B16)),"OR","")</f>
        <v/>
      </c>
    </row>
    <row r="152" spans="1:6" x14ac:dyDescent="0.25">
      <c r="A152" s="38" t="str">
        <f>IF(NOT(OR(Interactions!C16="y",ISNUMBER(Interactions!C16))),"...",'Population Definitions'!$A$13)</f>
        <v>...</v>
      </c>
      <c r="B152" s="1" t="str">
        <f t="shared" si="2"/>
        <v/>
      </c>
      <c r="C152" s="38" t="str">
        <f>IF(NOT(OR(Interactions!C16="y",ISNUMBER(Interactions!C16))),"",'Population Definitions'!$A$3)</f>
        <v/>
      </c>
      <c r="D152" s="132" t="str">
        <f>IF(OR(Interactions!C16="y",ISNUMBER(Interactions!C16)),"N.A.","")</f>
        <v/>
      </c>
      <c r="E152" s="132" t="str">
        <f>IF(OR(Interactions!C16="y",ISNUMBER(Interactions!C16)),IF(SUMPRODUCT(--(G152:Y152&lt;&gt;""))=0,IF(ISNUMBER(Interactions!C16),Interactions!C16,1),"N.A."),"")</f>
        <v/>
      </c>
      <c r="F152" s="38" t="str">
        <f>IF(OR(Interactions!C16="y",ISNUMBER(Interactions!C16)),"OR","")</f>
        <v/>
      </c>
    </row>
    <row r="153" spans="1:6" x14ac:dyDescent="0.25">
      <c r="A153" s="38" t="str">
        <f>IF(NOT(OR(Interactions!D16="y",ISNUMBER(Interactions!D16))),"...",'Population Definitions'!$A$13)</f>
        <v>...</v>
      </c>
      <c r="B153" s="1" t="str">
        <f t="shared" si="2"/>
        <v/>
      </c>
      <c r="C153" s="38" t="str">
        <f>IF(NOT(OR(Interactions!D16="y",ISNUMBER(Interactions!D16))),"",'Population Definitions'!$A$4)</f>
        <v/>
      </c>
      <c r="D153" s="132" t="str">
        <f>IF(OR(Interactions!D16="y",ISNUMBER(Interactions!D16)),"N.A.","")</f>
        <v/>
      </c>
      <c r="E153" s="132" t="str">
        <f>IF(OR(Interactions!D16="y",ISNUMBER(Interactions!D16)),IF(SUMPRODUCT(--(G153:Y153&lt;&gt;""))=0,IF(ISNUMBER(Interactions!D16),Interactions!D16,1),"N.A."),"")</f>
        <v/>
      </c>
      <c r="F153" s="38" t="str">
        <f>IF(OR(Interactions!D16="y",ISNUMBER(Interactions!D16)),"OR","")</f>
        <v/>
      </c>
    </row>
    <row r="154" spans="1:6" x14ac:dyDescent="0.25">
      <c r="A154" s="38" t="str">
        <f>IF(NOT(OR(Interactions!E16="y",ISNUMBER(Interactions!E16))),"...",'Population Definitions'!$A$13)</f>
        <v>...</v>
      </c>
      <c r="B154" s="1" t="str">
        <f t="shared" si="2"/>
        <v/>
      </c>
      <c r="C154" s="38" t="str">
        <f>IF(NOT(OR(Interactions!E16="y",ISNUMBER(Interactions!E16))),"",'Population Definitions'!$A$5)</f>
        <v/>
      </c>
      <c r="D154" s="132" t="str">
        <f>IF(OR(Interactions!E16="y",ISNUMBER(Interactions!E16)),"N.A.","")</f>
        <v/>
      </c>
      <c r="E154" s="132" t="str">
        <f>IF(OR(Interactions!E16="y",ISNUMBER(Interactions!E16)),IF(SUMPRODUCT(--(G154:Y154&lt;&gt;""))=0,IF(ISNUMBER(Interactions!E16),Interactions!E16,1),"N.A."),"")</f>
        <v/>
      </c>
      <c r="F154" s="38" t="str">
        <f>IF(OR(Interactions!E16="y",ISNUMBER(Interactions!E16)),"OR","")</f>
        <v/>
      </c>
    </row>
    <row r="155" spans="1:6" x14ac:dyDescent="0.25">
      <c r="A155" s="38" t="str">
        <f>IF(NOT(OR(Interactions!F16="y",ISNUMBER(Interactions!F16))),"...",'Population Definitions'!$A$13)</f>
        <v>...</v>
      </c>
      <c r="B155" s="1" t="str">
        <f t="shared" si="2"/>
        <v/>
      </c>
      <c r="C155" s="38" t="str">
        <f>IF(NOT(OR(Interactions!F16="y",ISNUMBER(Interactions!F16))),"",'Population Definitions'!$A$6)</f>
        <v/>
      </c>
      <c r="D155" s="132" t="str">
        <f>IF(OR(Interactions!F16="y",ISNUMBER(Interactions!F16)),"N.A.","")</f>
        <v/>
      </c>
      <c r="E155" s="132" t="str">
        <f>IF(OR(Interactions!F16="y",ISNUMBER(Interactions!F16)),IF(SUMPRODUCT(--(G155:Y155&lt;&gt;""))=0,IF(ISNUMBER(Interactions!F16),Interactions!F16,1),"N.A."),"")</f>
        <v/>
      </c>
      <c r="F155" s="38" t="str">
        <f>IF(OR(Interactions!F16="y",ISNUMBER(Interactions!F16)),"OR","")</f>
        <v/>
      </c>
    </row>
    <row r="156" spans="1:6" x14ac:dyDescent="0.25">
      <c r="A156" s="38" t="str">
        <f>IF(NOT(OR(Interactions!G16="y",ISNUMBER(Interactions!G16))),"...",'Population Definitions'!$A$13)</f>
        <v>...</v>
      </c>
      <c r="B156" s="1" t="str">
        <f t="shared" si="2"/>
        <v/>
      </c>
      <c r="C156" s="38" t="str">
        <f>IF(NOT(OR(Interactions!G16="y",ISNUMBER(Interactions!G16))),"",'Population Definitions'!$A$7)</f>
        <v/>
      </c>
      <c r="D156" s="132" t="str">
        <f>IF(OR(Interactions!G16="y",ISNUMBER(Interactions!G16)),"N.A.","")</f>
        <v/>
      </c>
      <c r="E156" s="132" t="str">
        <f>IF(OR(Interactions!G16="y",ISNUMBER(Interactions!G16)),IF(SUMPRODUCT(--(G156:Y156&lt;&gt;""))=0,IF(ISNUMBER(Interactions!G16),Interactions!G16,1),"N.A."),"")</f>
        <v/>
      </c>
      <c r="F156" s="38" t="str">
        <f>IF(OR(Interactions!G16="y",ISNUMBER(Interactions!G16)),"OR","")</f>
        <v/>
      </c>
    </row>
    <row r="157" spans="1:6" x14ac:dyDescent="0.25">
      <c r="A157" s="38" t="str">
        <f>IF(NOT(OR(Interactions!H16="y",ISNUMBER(Interactions!H16))),"...",'Population Definitions'!$A$13)</f>
        <v>...</v>
      </c>
      <c r="B157" s="1" t="str">
        <f t="shared" si="2"/>
        <v/>
      </c>
      <c r="C157" s="38" t="str">
        <f>IF(NOT(OR(Interactions!H16="y",ISNUMBER(Interactions!H16))),"",'Population Definitions'!$A$8)</f>
        <v/>
      </c>
      <c r="D157" s="132" t="str">
        <f>IF(OR(Interactions!H16="y",ISNUMBER(Interactions!H16)),"N.A.","")</f>
        <v/>
      </c>
      <c r="E157" s="132" t="str">
        <f>IF(OR(Interactions!H16="y",ISNUMBER(Interactions!H16)),IF(SUMPRODUCT(--(G157:Y157&lt;&gt;""))=0,IF(ISNUMBER(Interactions!H16),Interactions!H16,1),"N.A."),"")</f>
        <v/>
      </c>
      <c r="F157" s="38" t="str">
        <f>IF(OR(Interactions!H16="y",ISNUMBER(Interactions!H16)),"OR","")</f>
        <v/>
      </c>
    </row>
    <row r="158" spans="1:6" x14ac:dyDescent="0.25">
      <c r="A158" s="38" t="str">
        <f>IF(NOT(OR(Interactions!I16="y",ISNUMBER(Interactions!I16))),"...",'Population Definitions'!$A$13)</f>
        <v>...</v>
      </c>
      <c r="B158" s="1" t="str">
        <f t="shared" si="2"/>
        <v/>
      </c>
      <c r="C158" s="38" t="str">
        <f>IF(NOT(OR(Interactions!I16="y",ISNUMBER(Interactions!I16))),"",'Population Definitions'!$A$9)</f>
        <v/>
      </c>
      <c r="D158" s="132" t="str">
        <f>IF(OR(Interactions!I16="y",ISNUMBER(Interactions!I16)),"N.A.","")</f>
        <v/>
      </c>
      <c r="E158" s="132" t="str">
        <f>IF(OR(Interactions!I16="y",ISNUMBER(Interactions!I16)),IF(SUMPRODUCT(--(G158:Y158&lt;&gt;""))=0,IF(ISNUMBER(Interactions!I16),Interactions!I16,1),"N.A."),"")</f>
        <v/>
      </c>
      <c r="F158" s="38" t="str">
        <f>IF(OR(Interactions!I16="y",ISNUMBER(Interactions!I16)),"OR","")</f>
        <v/>
      </c>
    </row>
    <row r="159" spans="1:6" x14ac:dyDescent="0.25">
      <c r="A159" s="38" t="str">
        <f>IF(NOT(OR(Interactions!J16="y",ISNUMBER(Interactions!J16))),"...",'Population Definitions'!$A$13)</f>
        <v>...</v>
      </c>
      <c r="B159" s="1" t="str">
        <f t="shared" si="2"/>
        <v/>
      </c>
      <c r="C159" s="38" t="str">
        <f>IF(NOT(OR(Interactions!J16="y",ISNUMBER(Interactions!J16))),"",'Population Definitions'!$A$10)</f>
        <v/>
      </c>
      <c r="D159" s="132" t="str">
        <f>IF(OR(Interactions!J16="y",ISNUMBER(Interactions!J16)),"N.A.","")</f>
        <v/>
      </c>
      <c r="E159" s="132" t="str">
        <f>IF(OR(Interactions!J16="y",ISNUMBER(Interactions!J16)),IF(SUMPRODUCT(--(G159:Y159&lt;&gt;""))=0,IF(ISNUMBER(Interactions!J16),Interactions!J16,1),"N.A."),"")</f>
        <v/>
      </c>
      <c r="F159" s="38" t="str">
        <f>IF(OR(Interactions!J16="y",ISNUMBER(Interactions!J16)),"OR","")</f>
        <v/>
      </c>
    </row>
    <row r="160" spans="1:6" x14ac:dyDescent="0.25">
      <c r="A160" s="38" t="str">
        <f>IF(NOT(OR(Interactions!K16="y",ISNUMBER(Interactions!K16))),"...",'Population Definitions'!$A$13)</f>
        <v>...</v>
      </c>
      <c r="B160" s="1" t="str">
        <f t="shared" si="2"/>
        <v/>
      </c>
      <c r="C160" s="38" t="str">
        <f>IF(NOT(OR(Interactions!K16="y",ISNUMBER(Interactions!K16))),"",'Population Definitions'!$A$11)</f>
        <v/>
      </c>
      <c r="D160" s="132" t="str">
        <f>IF(OR(Interactions!K16="y",ISNUMBER(Interactions!K16)),"N.A.","")</f>
        <v/>
      </c>
      <c r="E160" s="132" t="str">
        <f>IF(OR(Interactions!K16="y",ISNUMBER(Interactions!K16)),IF(SUMPRODUCT(--(G160:Y160&lt;&gt;""))=0,IF(ISNUMBER(Interactions!K16),Interactions!K16,1),"N.A."),"")</f>
        <v/>
      </c>
      <c r="F160" s="38" t="str">
        <f>IF(OR(Interactions!K16="y",ISNUMBER(Interactions!K16)),"OR","")</f>
        <v/>
      </c>
    </row>
    <row r="161" spans="1:6" x14ac:dyDescent="0.25">
      <c r="A161" s="38" t="str">
        <f>IF(NOT(OR(Interactions!L16="y",ISNUMBER(Interactions!L16))),"...",'Population Definitions'!$A$13)</f>
        <v>Mine (HIV+)</v>
      </c>
      <c r="B161" s="1" t="str">
        <f t="shared" si="2"/>
        <v>---&gt;</v>
      </c>
      <c r="C161" s="38" t="str">
        <f>IF(NOT(OR(Interactions!L16="y",ISNUMBER(Interactions!L16))),"",'Population Definitions'!$A$12)</f>
        <v>Mine</v>
      </c>
      <c r="D161" s="132" t="str">
        <f>IF(OR(Interactions!L16="y",ISNUMBER(Interactions!L16)),"N.A.","")</f>
        <v>N.A.</v>
      </c>
      <c r="E161" s="132">
        <f>IF(OR(Interactions!L16="y",ISNUMBER(Interactions!L16)),IF(SUMPRODUCT(--(G161:Y161&lt;&gt;""))=0,IF(ISNUMBER(Interactions!L16),Interactions!L16,1),"N.A."),"")</f>
        <v>1</v>
      </c>
      <c r="F161" s="38" t="str">
        <f>IF(OR(Interactions!L16="y",ISNUMBER(Interactions!L16)),"OR","")</f>
        <v>OR</v>
      </c>
    </row>
    <row r="162" spans="1:6" x14ac:dyDescent="0.25">
      <c r="A162" s="38" t="str">
        <f>IF(NOT(OR(Interactions!M16="y",ISNUMBER(Interactions!M16))),"...",'Population Definitions'!$A$13)</f>
        <v>Mine (HIV+)</v>
      </c>
      <c r="B162" s="1" t="str">
        <f t="shared" si="2"/>
        <v>---&gt;</v>
      </c>
      <c r="C162" s="38" t="str">
        <f>IF(NOT(OR(Interactions!M16="y",ISNUMBER(Interactions!M16))),"",'Population Definitions'!$A$13)</f>
        <v>Mine (HIV+)</v>
      </c>
      <c r="D162" s="132" t="str">
        <f>IF(OR(Interactions!M16="y",ISNUMBER(Interactions!M16)),"N.A.","")</f>
        <v>N.A.</v>
      </c>
      <c r="E162" s="132">
        <f>IF(OR(Interactions!M16="y",ISNUMBER(Interactions!M16)),IF(SUMPRODUCT(--(G162:Y162&lt;&gt;""))=0,IF(ISNUMBER(Interactions!M16),Interactions!M16,1),"N.A."),"")</f>
        <v>1</v>
      </c>
      <c r="F162" s="38" t="str">
        <f>IF(OR(Interactions!M16="y",ISNUMBER(Interactions!M16)),"OR","")</f>
        <v>OR</v>
      </c>
    </row>
  </sheetData>
  <dataValidations count="2">
    <dataValidation type="list" allowBlank="1" showInputMessage="1" showErrorMessage="1" sqref="D19:D162" xr:uid="{6741F3F9-597D-4C05-B28D-DB146ED6509D}">
      <formula1>"N.A."</formula1>
    </dataValidation>
    <dataValidation type="custom" allowBlank="1" showInputMessage="1" showErrorMessage="1" error="Neither 'y', 'n' or a number was entered." promptTitle="Enter 'y', a number or 'n'." sqref="B5:M16" xr:uid="{2F7188F1-72FF-45DB-88F7-E504DB7F9BC7}">
      <formula1>OR(ISNUMBER(B5),B5="y",B5="n")</formula1>
    </dataValidation>
  </dataValidations>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22" workbookViewId="0">
      <selection activeCell="A31" sqref="A31"/>
    </sheetView>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5</v>
      </c>
      <c r="C2" t="str">
        <f t="shared" ref="C2:C12" si="0">IF(SUMPRODUCT(--(E2:W2&lt;&gt;""))=0,0,"N.A.")</f>
        <v>N.A.</v>
      </c>
      <c r="D2" s="2" t="s">
        <v>6</v>
      </c>
      <c r="E2" s="155">
        <v>734406.5</v>
      </c>
      <c r="F2" s="155">
        <v>777011</v>
      </c>
      <c r="G2" s="155">
        <v>819615.5</v>
      </c>
      <c r="H2" s="155">
        <v>862220</v>
      </c>
      <c r="I2" s="155">
        <v>904824.5</v>
      </c>
      <c r="J2" s="155">
        <v>947429</v>
      </c>
      <c r="K2" s="155">
        <v>990033.5</v>
      </c>
      <c r="L2" s="155">
        <v>1032638</v>
      </c>
      <c r="M2" s="155">
        <v>1072333</v>
      </c>
      <c r="N2" s="155">
        <v>1112028</v>
      </c>
      <c r="O2" s="155">
        <v>1151723</v>
      </c>
      <c r="P2" s="155">
        <v>1191418</v>
      </c>
      <c r="Q2" s="155">
        <v>1231113</v>
      </c>
      <c r="R2" s="155">
        <v>1270808</v>
      </c>
      <c r="S2" s="156">
        <v>1310503</v>
      </c>
      <c r="T2" s="155">
        <v>1350198</v>
      </c>
      <c r="U2" s="155">
        <v>1389893</v>
      </c>
    </row>
    <row r="3" spans="1:23" x14ac:dyDescent="0.25">
      <c r="A3" s="166" t="s">
        <v>113</v>
      </c>
      <c r="B3" t="s">
        <v>5</v>
      </c>
      <c r="C3" t="str">
        <f t="shared" si="0"/>
        <v>N.A.</v>
      </c>
      <c r="D3" s="2" t="s">
        <v>6</v>
      </c>
      <c r="E3" s="155">
        <v>1440392.6666666642</v>
      </c>
      <c r="F3" s="155">
        <v>1473591</v>
      </c>
      <c r="G3" s="155">
        <v>1506789.3333333333</v>
      </c>
      <c r="H3" s="155">
        <v>1539987.6666666665</v>
      </c>
      <c r="I3" s="155">
        <v>1573185.9999999998</v>
      </c>
      <c r="J3" s="155">
        <v>1606384.333333333</v>
      </c>
      <c r="K3" s="155">
        <v>1639582.6666666663</v>
      </c>
      <c r="L3" s="155">
        <v>1672781</v>
      </c>
      <c r="M3" s="155">
        <v>1683964</v>
      </c>
      <c r="N3" s="155">
        <v>1695147</v>
      </c>
      <c r="O3" s="155">
        <v>1706330</v>
      </c>
      <c r="P3" s="155">
        <v>1717513</v>
      </c>
      <c r="Q3" s="155">
        <v>1728696</v>
      </c>
      <c r="R3" s="155">
        <v>1739879</v>
      </c>
      <c r="S3" s="156">
        <v>1751062</v>
      </c>
      <c r="T3" s="155">
        <v>1762245</v>
      </c>
      <c r="U3" s="155">
        <v>1773428</v>
      </c>
    </row>
    <row r="4" spans="1:23" x14ac:dyDescent="0.25">
      <c r="A4" s="166" t="s">
        <v>115</v>
      </c>
      <c r="B4" t="s">
        <v>5</v>
      </c>
      <c r="C4" t="str">
        <f t="shared" si="0"/>
        <v>N.A.</v>
      </c>
      <c r="D4" s="2" t="s">
        <v>6</v>
      </c>
      <c r="E4" s="155">
        <v>5314247.6959407311</v>
      </c>
      <c r="F4" s="155">
        <v>5487593.7674726155</v>
      </c>
      <c r="G4" s="155">
        <v>5660922.0336391255</v>
      </c>
      <c r="H4" s="155">
        <v>5832652.6291825864</v>
      </c>
      <c r="I4" s="155">
        <v>6005903.4056092892</v>
      </c>
      <c r="J4" s="155">
        <v>6179133.9332063766</v>
      </c>
      <c r="K4" s="155">
        <v>6215891.9568936471</v>
      </c>
      <c r="L4" s="155">
        <v>6253564.8179152869</v>
      </c>
      <c r="M4" s="155">
        <v>6290512.6328891115</v>
      </c>
      <c r="N4" s="155">
        <v>6545241.3798601972</v>
      </c>
      <c r="O4" s="155">
        <v>6799051.1646909984</v>
      </c>
      <c r="P4" s="155">
        <v>7052527.0912585156</v>
      </c>
      <c r="Q4" s="155">
        <v>7307518.9776996542</v>
      </c>
      <c r="R4" s="155">
        <v>7562995.0011701565</v>
      </c>
      <c r="S4" s="156">
        <v>7817950.3472758839</v>
      </c>
      <c r="T4" s="155">
        <v>8069344.0803972362</v>
      </c>
      <c r="U4" s="155">
        <v>8320711.7478936473</v>
      </c>
    </row>
    <row r="5" spans="1:23" x14ac:dyDescent="0.25">
      <c r="A5" s="166" t="s">
        <v>117</v>
      </c>
      <c r="B5" t="s">
        <v>5</v>
      </c>
      <c r="C5" t="str">
        <f t="shared" si="0"/>
        <v>N.A.</v>
      </c>
      <c r="D5" s="2" t="s">
        <v>6</v>
      </c>
      <c r="E5" s="157">
        <v>342441.36333332956</v>
      </c>
      <c r="F5" s="157">
        <v>359970.88000000268</v>
      </c>
      <c r="G5" s="157">
        <v>377500.39666666667</v>
      </c>
      <c r="H5" s="157">
        <v>395029.91333333339</v>
      </c>
      <c r="I5" s="157">
        <v>412559.43000000011</v>
      </c>
      <c r="J5" s="157">
        <v>430088.94666666677</v>
      </c>
      <c r="K5" s="157">
        <v>446065.35861111118</v>
      </c>
      <c r="L5" s="157">
        <v>462041.77055555559</v>
      </c>
      <c r="M5" s="157">
        <v>478018.1825</v>
      </c>
      <c r="N5" s="157">
        <v>490888.38500000001</v>
      </c>
      <c r="O5" s="157">
        <v>503758.58750000002</v>
      </c>
      <c r="P5" s="157">
        <v>516628.79000000004</v>
      </c>
      <c r="Q5" s="157">
        <v>529498.99250000005</v>
      </c>
      <c r="R5" s="157">
        <v>542369.19499999657</v>
      </c>
      <c r="S5" s="157">
        <v>555239.39749999717</v>
      </c>
      <c r="T5" s="157">
        <v>568109.59999999404</v>
      </c>
      <c r="U5" s="157">
        <v>580979.80249999091</v>
      </c>
    </row>
    <row r="6" spans="1:23" x14ac:dyDescent="0.25">
      <c r="A6" s="166" t="s">
        <v>119</v>
      </c>
      <c r="B6" t="s">
        <v>5</v>
      </c>
      <c r="C6" t="str">
        <f t="shared" si="0"/>
        <v>N.A.</v>
      </c>
      <c r="D6" s="2" t="s">
        <v>6</v>
      </c>
      <c r="E6" s="155">
        <v>1178059.6869170007</v>
      </c>
      <c r="F6" s="155">
        <v>1124974.8658070792</v>
      </c>
      <c r="G6" s="155">
        <v>1071883.7887579813</v>
      </c>
      <c r="H6" s="155">
        <v>1020365.7040708576</v>
      </c>
      <c r="I6" s="155">
        <v>967302.1274634744</v>
      </c>
      <c r="J6" s="155">
        <v>914232.83964773885</v>
      </c>
      <c r="K6" s="155">
        <v>1070212.5133951891</v>
      </c>
      <c r="L6" s="155">
        <v>1225250.0414185626</v>
      </c>
      <c r="M6" s="155">
        <v>1380281.6876349219</v>
      </c>
      <c r="N6" s="155">
        <v>1462709.8417465037</v>
      </c>
      <c r="O6" s="155">
        <v>1546027.4946402332</v>
      </c>
      <c r="P6" s="155">
        <v>1629648.7869683877</v>
      </c>
      <c r="Q6" s="155">
        <v>1713204.3757522993</v>
      </c>
      <c r="R6" s="155">
        <v>1796244.0391267487</v>
      </c>
      <c r="S6" s="156">
        <v>1879771.7763991763</v>
      </c>
      <c r="T6" s="155">
        <v>1963819.1872028238</v>
      </c>
      <c r="U6" s="155">
        <v>2047858.3667564699</v>
      </c>
    </row>
    <row r="7" spans="1:23" x14ac:dyDescent="0.25">
      <c r="A7" s="166" t="s">
        <v>121</v>
      </c>
      <c r="B7" t="s">
        <v>5</v>
      </c>
      <c r="C7" t="str">
        <f t="shared" si="0"/>
        <v>N.A.</v>
      </c>
      <c r="D7" s="2" t="s">
        <v>6</v>
      </c>
      <c r="E7" s="157">
        <v>10590.970000000205</v>
      </c>
      <c r="F7" s="157">
        <v>11133.120000000112</v>
      </c>
      <c r="G7" s="157">
        <v>11675.27</v>
      </c>
      <c r="H7" s="157">
        <v>12217.42</v>
      </c>
      <c r="I7" s="157">
        <v>12759.57</v>
      </c>
      <c r="J7" s="157">
        <v>13301.720000000001</v>
      </c>
      <c r="K7" s="157">
        <v>13795.835833333334</v>
      </c>
      <c r="L7" s="157">
        <v>14289.951666666668</v>
      </c>
      <c r="M7" s="157">
        <v>14784.067499999999</v>
      </c>
      <c r="N7" s="157">
        <v>15182.115</v>
      </c>
      <c r="O7" s="157">
        <v>15580.1625</v>
      </c>
      <c r="P7" s="157">
        <v>15978.210000000001</v>
      </c>
      <c r="Q7" s="157">
        <v>16376.2575</v>
      </c>
      <c r="R7" s="157">
        <v>16774.305000000051</v>
      </c>
      <c r="S7" s="157">
        <v>17172.352500000037</v>
      </c>
      <c r="T7" s="157">
        <v>17570.40000000014</v>
      </c>
      <c r="U7" s="157">
        <v>17968.447500000242</v>
      </c>
    </row>
    <row r="8" spans="1:23" x14ac:dyDescent="0.25">
      <c r="A8" s="166" t="s">
        <v>128</v>
      </c>
      <c r="B8" t="s">
        <v>5</v>
      </c>
      <c r="C8" t="str">
        <f t="shared" si="0"/>
        <v>N.A.</v>
      </c>
      <c r="D8" s="2" t="s">
        <v>6</v>
      </c>
      <c r="E8" s="157">
        <v>18482.498319999973</v>
      </c>
      <c r="F8" s="157">
        <v>18853.592538366669</v>
      </c>
      <c r="G8" s="157">
        <v>19224.686756733339</v>
      </c>
      <c r="H8" s="157">
        <v>19595.780975100002</v>
      </c>
      <c r="I8" s="157">
        <v>19966.875193466672</v>
      </c>
      <c r="J8" s="157">
        <v>20337.969411833335</v>
      </c>
      <c r="K8" s="157">
        <v>20709.063630200002</v>
      </c>
      <c r="L8" s="157">
        <v>20559.107493787498</v>
      </c>
      <c r="M8" s="157">
        <v>21112.070607374997</v>
      </c>
      <c r="N8" s="157">
        <v>21665.0337209625</v>
      </c>
      <c r="O8" s="157">
        <v>22217.996834549998</v>
      </c>
      <c r="P8" s="157">
        <v>23081.549713199998</v>
      </c>
      <c r="Q8" s="157">
        <v>23945.102591849998</v>
      </c>
      <c r="R8" s="157">
        <v>24808.655470500002</v>
      </c>
      <c r="S8" s="157">
        <v>25672.208349149998</v>
      </c>
      <c r="T8" s="157">
        <v>26535.761227800002</v>
      </c>
      <c r="U8" s="157">
        <v>27399.314106449998</v>
      </c>
    </row>
    <row r="9" spans="1:23" x14ac:dyDescent="0.25">
      <c r="A9" s="166" t="s">
        <v>132</v>
      </c>
      <c r="B9" t="s">
        <v>5</v>
      </c>
      <c r="C9" t="str">
        <f t="shared" si="0"/>
        <v>N.A.</v>
      </c>
      <c r="D9" s="2" t="s">
        <v>6</v>
      </c>
      <c r="E9" s="157">
        <v>4620.6245799999933</v>
      </c>
      <c r="F9" s="157">
        <v>4702.6390616333283</v>
      </c>
      <c r="G9" s="157">
        <v>4784.6535432666624</v>
      </c>
      <c r="H9" s="157">
        <v>4866.6680248999965</v>
      </c>
      <c r="I9" s="157">
        <v>4948.6825065333305</v>
      </c>
      <c r="J9" s="157">
        <v>5030.6969881666646</v>
      </c>
      <c r="K9" s="157">
        <v>5112.7114698000005</v>
      </c>
      <c r="L9" s="157">
        <v>5715.7763062125005</v>
      </c>
      <c r="M9" s="157">
        <v>6318.8411426250004</v>
      </c>
      <c r="N9" s="157">
        <v>6921.9059790375004</v>
      </c>
      <c r="O9" s="157">
        <v>7524.9708154499995</v>
      </c>
      <c r="P9" s="157">
        <v>7817.4458867999992</v>
      </c>
      <c r="Q9" s="157">
        <v>8109.9209581499999</v>
      </c>
      <c r="R9" s="157">
        <v>8402.3960294999997</v>
      </c>
      <c r="S9" s="157">
        <v>8694.8711008499995</v>
      </c>
      <c r="T9" s="157">
        <v>8987.3461722000011</v>
      </c>
      <c r="U9" s="157">
        <v>9279.8212435499991</v>
      </c>
    </row>
    <row r="10" spans="1:23" x14ac:dyDescent="0.25">
      <c r="A10" s="166" t="s">
        <v>124</v>
      </c>
      <c r="B10" t="s">
        <v>5</v>
      </c>
      <c r="C10" t="str">
        <f t="shared" si="0"/>
        <v>N.A.</v>
      </c>
      <c r="D10" s="2" t="s">
        <v>6</v>
      </c>
      <c r="E10" s="158">
        <v>27081.9607393111</v>
      </c>
      <c r="F10" s="157">
        <v>27776.369989037026</v>
      </c>
      <c r="G10" s="157">
        <v>28488.584604140538</v>
      </c>
      <c r="H10" s="157">
        <v>30798.469842314094</v>
      </c>
      <c r="I10" s="157">
        <v>31588.174197245229</v>
      </c>
      <c r="J10" s="157">
        <v>32398.127381789978</v>
      </c>
      <c r="K10" s="157">
        <v>33654.85947615264</v>
      </c>
      <c r="L10" s="158">
        <v>34517.804590925785</v>
      </c>
      <c r="M10" s="157">
        <v>35402.876503513631</v>
      </c>
      <c r="N10" s="157">
        <v>35391.385793840309</v>
      </c>
      <c r="O10" s="157">
        <v>36298.857224451596</v>
      </c>
      <c r="P10" s="157">
        <v>37229.597153283685</v>
      </c>
      <c r="Q10" s="157">
        <v>38184.202208496092</v>
      </c>
      <c r="R10" s="157">
        <v>38654.670234375</v>
      </c>
      <c r="S10" s="157">
        <v>39645.815625000003</v>
      </c>
      <c r="T10" s="157">
        <v>40662.375</v>
      </c>
      <c r="U10" s="157">
        <v>41705</v>
      </c>
    </row>
    <row r="11" spans="1:23" x14ac:dyDescent="0.25">
      <c r="A11" s="166" t="s">
        <v>125</v>
      </c>
      <c r="B11" t="s">
        <v>5</v>
      </c>
      <c r="C11" t="str">
        <f t="shared" si="0"/>
        <v>N.A.</v>
      </c>
      <c r="D11" s="2" t="s">
        <v>6</v>
      </c>
      <c r="E11" s="158">
        <v>8000</v>
      </c>
      <c r="F11" s="157">
        <v>9759.2651312832804</v>
      </c>
      <c r="G11" s="157">
        <v>10009.502698752081</v>
      </c>
      <c r="H11" s="157">
        <v>8686.7479042424366</v>
      </c>
      <c r="I11" s="157">
        <v>8909.4850299922418</v>
      </c>
      <c r="J11" s="157">
        <v>9137.9333640946079</v>
      </c>
      <c r="K11" s="157">
        <v>8946.2284683443722</v>
      </c>
      <c r="L11" s="158">
        <v>9175.6189418916638</v>
      </c>
      <c r="M11" s="157">
        <v>9410.8912224529886</v>
      </c>
      <c r="N11" s="157">
        <v>10571.452899458793</v>
      </c>
      <c r="O11" s="157">
        <v>10842.515794316711</v>
      </c>
      <c r="P11" s="157">
        <v>11120.529019812011</v>
      </c>
      <c r="Q11" s="157">
        <v>11405.670789550781</v>
      </c>
      <c r="R11" s="157">
        <v>12206.73796875</v>
      </c>
      <c r="S11" s="157">
        <v>12519.731249999999</v>
      </c>
      <c r="T11" s="157">
        <v>12840.75</v>
      </c>
      <c r="U11" s="157">
        <v>13170</v>
      </c>
    </row>
    <row r="12" spans="1:23" x14ac:dyDescent="0.25">
      <c r="A12" s="166" t="s">
        <v>130</v>
      </c>
      <c r="B12" t="s">
        <v>5</v>
      </c>
      <c r="C12" t="str">
        <f t="shared" si="0"/>
        <v>N.A.</v>
      </c>
      <c r="D12" s="2" t="s">
        <v>6</v>
      </c>
      <c r="E12" s="158">
        <v>79553.925000000279</v>
      </c>
      <c r="F12" s="158">
        <v>77739.75</v>
      </c>
      <c r="G12" s="158">
        <v>75925.575000000186</v>
      </c>
      <c r="H12" s="159">
        <v>74111.399999999994</v>
      </c>
      <c r="I12" s="159">
        <v>72297.224999999991</v>
      </c>
      <c r="J12" s="159">
        <v>70483.049999999988</v>
      </c>
      <c r="K12" s="159">
        <v>68668.874999999985</v>
      </c>
      <c r="L12" s="158">
        <v>66854.699999999983</v>
      </c>
      <c r="M12" s="158">
        <v>65040.52499999998</v>
      </c>
      <c r="N12" s="158">
        <v>63226.349999999977</v>
      </c>
      <c r="O12" s="158">
        <v>61412.174999999974</v>
      </c>
      <c r="P12" s="158">
        <v>59598</v>
      </c>
      <c r="Q12" s="158">
        <v>56244</v>
      </c>
      <c r="R12" s="158">
        <v>52890</v>
      </c>
      <c r="S12" s="158">
        <v>49536</v>
      </c>
      <c r="T12" s="158">
        <v>49718.199000000001</v>
      </c>
      <c r="U12" s="158">
        <v>49900.398000000001</v>
      </c>
    </row>
    <row r="13" spans="1:23" x14ac:dyDescent="0.25">
      <c r="A13" s="166" t="s">
        <v>131</v>
      </c>
      <c r="B13" t="s">
        <v>5</v>
      </c>
      <c r="C13" t="str">
        <f>IF(SUMPRODUCT(--(E13:W13&lt;&gt;""))=0,0,"N.A.")</f>
        <v>N.A.</v>
      </c>
      <c r="D13" s="2" t="s">
        <v>6</v>
      </c>
      <c r="E13" s="158">
        <v>16352.324999999953</v>
      </c>
      <c r="F13" s="158">
        <v>15747.75</v>
      </c>
      <c r="G13" s="158">
        <v>15143.175000000047</v>
      </c>
      <c r="H13" s="160">
        <v>14538.6</v>
      </c>
      <c r="I13" s="160">
        <v>13934.025000000001</v>
      </c>
      <c r="J13" s="160">
        <v>13329.45</v>
      </c>
      <c r="K13" s="160">
        <v>12724.875</v>
      </c>
      <c r="L13" s="158">
        <v>12120.3</v>
      </c>
      <c r="M13" s="158">
        <v>11515.724999999999</v>
      </c>
      <c r="N13" s="158">
        <v>10911.149999999998</v>
      </c>
      <c r="O13" s="158">
        <v>10306.574999999997</v>
      </c>
      <c r="P13" s="158">
        <v>9702.0000000000018</v>
      </c>
      <c r="Q13" s="158">
        <v>9156.0000000000018</v>
      </c>
      <c r="R13" s="158">
        <v>8610.0000000000018</v>
      </c>
      <c r="S13" s="158">
        <v>8064.0000000000009</v>
      </c>
      <c r="T13" s="158">
        <v>6990.3010000000004</v>
      </c>
      <c r="U13" s="158">
        <v>5916.6019999999999</v>
      </c>
    </row>
    <row r="15" spans="1:23"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5</v>
      </c>
      <c r="C16" t="str">
        <f t="shared" ref="C16:C27" si="1">IF(SUMPRODUCT(--(E16:W16&lt;&gt;""))=0,0,"N.A.")</f>
        <v>N.A.</v>
      </c>
      <c r="D16" s="2" t="s">
        <v>6</v>
      </c>
      <c r="E16" s="5">
        <f>23.9/1000*SUM(E2:E7)</f>
        <v>215581.31930029966</v>
      </c>
      <c r="F16" s="5">
        <f>23.9/1000*SUM(F2:F7)</f>
        <v>220699.1637353847</v>
      </c>
      <c r="G16" s="5">
        <f>23.9/1000*SUM(G2:G7)</f>
        <v>225816.43310529081</v>
      </c>
      <c r="H16" s="5">
        <f>23.9/1000*SUM(H2:H7)</f>
        <v>230933.11266475727</v>
      </c>
      <c r="I16" s="5">
        <f>23.9/1000*SUM(I2:I7)</f>
        <v>236049.18729043903</v>
      </c>
      <c r="J16" s="5">
        <f>22.1/1000*SUM(J2:J7)</f>
        <v>223001.61408007599</v>
      </c>
      <c r="K16" s="5">
        <f>22.1/1000*SUM(K2:K7)</f>
        <v>229300.3584739388</v>
      </c>
      <c r="L16" s="5">
        <f>22.1/1000*SUM(L2:L7)</f>
        <v>235598.49935238922</v>
      </c>
      <c r="M16" s="5">
        <f>22.1/1000*SUM(M2:M7)</f>
        <v>241329.64790858116</v>
      </c>
      <c r="N16" s="5">
        <f>22.1/1000*SUM(N2:N7)</f>
        <v>250198.44754750808</v>
      </c>
      <c r="O16" s="5">
        <f>21/1000*SUM(O2:O7)</f>
        <v>246171.87859595584</v>
      </c>
      <c r="P16" s="5">
        <f>21/1000*SUM(P2:P7)</f>
        <v>254597.99144276496</v>
      </c>
      <c r="Q16" s="5">
        <f>21/1000*SUM(Q2:Q7)</f>
        <v>263054.55967249104</v>
      </c>
      <c r="R16" s="5">
        <f>21/1000*SUM(R2:R7)</f>
        <v>271510.46034623496</v>
      </c>
      <c r="S16" s="5">
        <f>21/1000*SUM(S2:S7)</f>
        <v>279965.6763471762</v>
      </c>
      <c r="T16" s="5">
        <f>19.8/1000*SUM(T2:T7)</f>
        <v>271879.46809848113</v>
      </c>
      <c r="U16" s="5">
        <f>19.8/1000*SUM(U2:U7)</f>
        <v>279790.61942007212</v>
      </c>
    </row>
    <row r="17" spans="1:23" x14ac:dyDescent="0.25">
      <c r="A17" s="166" t="s">
        <v>113</v>
      </c>
      <c r="B17" t="s">
        <v>5</v>
      </c>
      <c r="C17">
        <f t="shared" si="1"/>
        <v>0</v>
      </c>
      <c r="D17" s="2" t="s">
        <v>6</v>
      </c>
      <c r="E17" s="5"/>
      <c r="F17" s="5"/>
      <c r="G17" s="5"/>
      <c r="H17" s="5"/>
      <c r="I17" s="5"/>
      <c r="J17" s="5"/>
      <c r="K17" s="5"/>
      <c r="L17" s="5"/>
      <c r="M17" s="5"/>
      <c r="N17" s="5"/>
      <c r="O17" s="5"/>
      <c r="P17" s="5"/>
      <c r="Q17" s="5"/>
      <c r="R17" s="5"/>
      <c r="S17" s="5"/>
      <c r="T17" s="5"/>
      <c r="U17" s="5"/>
    </row>
    <row r="18" spans="1:23" x14ac:dyDescent="0.25">
      <c r="A18" s="166" t="s">
        <v>115</v>
      </c>
      <c r="B18" t="s">
        <v>5</v>
      </c>
      <c r="C18" t="str">
        <f t="shared" si="1"/>
        <v>N.A.</v>
      </c>
      <c r="D18" s="2" t="s">
        <v>6</v>
      </c>
      <c r="E18" s="5">
        <v>350000</v>
      </c>
      <c r="F18" s="5">
        <f>E18+($J$18-$E$18)/6</f>
        <v>341666.66666666669</v>
      </c>
      <c r="G18" s="5">
        <f t="shared" ref="G18:I18" si="2">F18+($J$18-$E$18)/6</f>
        <v>333333.33333333337</v>
      </c>
      <c r="H18" s="5">
        <f t="shared" si="2"/>
        <v>325000.00000000006</v>
      </c>
      <c r="I18" s="5">
        <f t="shared" si="2"/>
        <v>316666.66666666674</v>
      </c>
      <c r="J18" s="5">
        <v>300000</v>
      </c>
      <c r="K18" s="5">
        <f>J18-(J18-L18)/2</f>
        <v>250000</v>
      </c>
      <c r="L18" s="5">
        <v>200000</v>
      </c>
      <c r="M18" s="5">
        <v>300000</v>
      </c>
      <c r="N18" s="5">
        <v>300000</v>
      </c>
      <c r="O18" s="5">
        <v>300000</v>
      </c>
      <c r="P18" s="5">
        <v>300000</v>
      </c>
      <c r="Q18" s="5">
        <v>500000</v>
      </c>
      <c r="R18" s="5"/>
      <c r="S18" s="5"/>
      <c r="T18" s="5">
        <v>300000</v>
      </c>
      <c r="U18" s="5">
        <v>200000</v>
      </c>
    </row>
    <row r="19" spans="1:23" x14ac:dyDescent="0.25">
      <c r="A19" s="166" t="s">
        <v>117</v>
      </c>
      <c r="B19" t="s">
        <v>5</v>
      </c>
      <c r="C19">
        <f t="shared" si="1"/>
        <v>0</v>
      </c>
      <c r="D19" s="2" t="s">
        <v>6</v>
      </c>
      <c r="E19" s="5"/>
      <c r="F19" s="5"/>
      <c r="G19" s="5"/>
      <c r="H19" s="5"/>
      <c r="I19" s="5"/>
      <c r="J19" s="5"/>
      <c r="K19" s="5"/>
      <c r="L19" s="5"/>
      <c r="M19" s="5"/>
      <c r="N19" s="5"/>
      <c r="O19" s="5"/>
      <c r="P19" s="5"/>
      <c r="Q19" s="5"/>
      <c r="R19" s="5"/>
      <c r="S19" s="5"/>
      <c r="T19" s="5"/>
      <c r="U19" s="5"/>
    </row>
    <row r="20" spans="1:23" x14ac:dyDescent="0.25">
      <c r="A20" s="166" t="s">
        <v>119</v>
      </c>
      <c r="B20" t="s">
        <v>5</v>
      </c>
      <c r="C20" t="str">
        <f t="shared" si="1"/>
        <v>N.A.</v>
      </c>
      <c r="D20" s="2" t="s">
        <v>6</v>
      </c>
      <c r="E20" s="5">
        <v>22681.837470210241</v>
      </c>
      <c r="F20" s="5">
        <v>20556.983298072439</v>
      </c>
      <c r="G20" s="5">
        <v>18573.698987788179</v>
      </c>
      <c r="H20" s="5">
        <v>16750.450112027473</v>
      </c>
      <c r="I20" s="5">
        <v>15027.674619876898</v>
      </c>
      <c r="J20" s="5">
        <v>13425.583437720401</v>
      </c>
      <c r="K20" s="5">
        <v>14688.404726548804</v>
      </c>
      <c r="L20" s="5">
        <v>16382.943881668674</v>
      </c>
      <c r="M20" s="5">
        <v>33738.724520235563</v>
      </c>
      <c r="N20" s="5">
        <v>54797.156024123295</v>
      </c>
      <c r="O20" s="5">
        <v>55578.65507636081</v>
      </c>
      <c r="P20" s="5">
        <v>56310.151158831359</v>
      </c>
      <c r="Q20" s="5">
        <v>56975.620755403448</v>
      </c>
      <c r="R20" s="5">
        <v>51179.204673738604</v>
      </c>
      <c r="S20" s="5">
        <v>45228.498909280264</v>
      </c>
      <c r="T20" s="5">
        <v>39146.560956394584</v>
      </c>
      <c r="U20" s="5"/>
    </row>
    <row r="21" spans="1:23" x14ac:dyDescent="0.25">
      <c r="A21" s="166" t="s">
        <v>121</v>
      </c>
      <c r="B21" t="s">
        <v>5</v>
      </c>
      <c r="C21">
        <f t="shared" si="1"/>
        <v>0</v>
      </c>
      <c r="D21" s="2" t="s">
        <v>6</v>
      </c>
      <c r="E21" s="5"/>
      <c r="F21" s="5"/>
      <c r="G21" s="5"/>
      <c r="H21" s="5"/>
      <c r="I21" s="5"/>
      <c r="J21" s="5"/>
      <c r="K21" s="5"/>
      <c r="L21" s="5"/>
      <c r="M21" s="5"/>
      <c r="N21" s="5"/>
      <c r="O21" s="5"/>
      <c r="P21" s="5"/>
      <c r="Q21" s="5"/>
      <c r="R21" s="5"/>
      <c r="S21" s="5"/>
      <c r="T21" s="5"/>
      <c r="U21" s="5"/>
    </row>
    <row r="22" spans="1:23" x14ac:dyDescent="0.25">
      <c r="A22" s="166" t="s">
        <v>128</v>
      </c>
      <c r="B22" t="s">
        <v>5</v>
      </c>
      <c r="C22">
        <f t="shared" si="1"/>
        <v>0</v>
      </c>
      <c r="D22" s="2" t="s">
        <v>6</v>
      </c>
      <c r="E22" s="5"/>
      <c r="F22" s="5"/>
      <c r="G22" s="5"/>
      <c r="H22" s="5"/>
      <c r="I22" s="5"/>
      <c r="J22" s="5"/>
      <c r="K22" s="5"/>
      <c r="L22" s="5"/>
      <c r="M22" s="5"/>
      <c r="N22" s="5"/>
      <c r="O22" s="5"/>
      <c r="P22" s="5"/>
      <c r="Q22" s="5"/>
      <c r="R22" s="5"/>
      <c r="S22" s="5"/>
      <c r="T22" s="5"/>
      <c r="U22" s="5"/>
    </row>
    <row r="23" spans="1:23" x14ac:dyDescent="0.25">
      <c r="A23" s="166" t="s">
        <v>132</v>
      </c>
      <c r="B23" t="s">
        <v>5</v>
      </c>
      <c r="C23">
        <f t="shared" si="1"/>
        <v>0</v>
      </c>
      <c r="D23" s="2" t="s">
        <v>6</v>
      </c>
      <c r="E23" s="5"/>
      <c r="F23" s="5"/>
      <c r="G23" s="5"/>
      <c r="H23" s="5"/>
      <c r="I23" s="5"/>
      <c r="J23" s="5"/>
      <c r="K23" s="5"/>
      <c r="L23" s="5"/>
      <c r="M23" s="5"/>
      <c r="N23" s="5"/>
      <c r="O23" s="5"/>
      <c r="P23" s="5"/>
      <c r="Q23" s="5"/>
      <c r="R23" s="5"/>
      <c r="S23" s="5"/>
      <c r="T23" s="5"/>
      <c r="U23" s="5"/>
    </row>
    <row r="24" spans="1:23" x14ac:dyDescent="0.25">
      <c r="A24" s="166" t="s">
        <v>124</v>
      </c>
      <c r="B24" t="s">
        <v>5</v>
      </c>
      <c r="C24">
        <f t="shared" si="1"/>
        <v>0</v>
      </c>
      <c r="D24" s="2" t="s">
        <v>6</v>
      </c>
      <c r="E24" s="5"/>
      <c r="F24" s="5"/>
      <c r="G24" s="5"/>
      <c r="H24" s="5"/>
      <c r="I24" s="5"/>
      <c r="J24" s="5"/>
      <c r="K24" s="5"/>
      <c r="L24" s="5"/>
      <c r="M24" s="5"/>
      <c r="N24" s="5"/>
      <c r="O24" s="5"/>
      <c r="P24" s="5"/>
      <c r="Q24" s="5"/>
      <c r="R24" s="5"/>
      <c r="S24" s="5"/>
      <c r="T24" s="5"/>
      <c r="U24" s="5"/>
    </row>
    <row r="25" spans="1:23" x14ac:dyDescent="0.25">
      <c r="A25" s="166" t="s">
        <v>125</v>
      </c>
      <c r="B25" t="s">
        <v>5</v>
      </c>
      <c r="C25">
        <f t="shared" si="1"/>
        <v>0</v>
      </c>
      <c r="D25" s="2" t="s">
        <v>6</v>
      </c>
      <c r="E25" s="5"/>
      <c r="F25" s="5"/>
      <c r="G25" s="5"/>
      <c r="H25" s="5"/>
      <c r="I25" s="5"/>
      <c r="J25" s="5"/>
      <c r="K25" s="5"/>
      <c r="L25" s="5"/>
      <c r="M25" s="5"/>
      <c r="N25" s="5"/>
      <c r="O25" s="5"/>
      <c r="P25" s="5"/>
      <c r="Q25" s="5"/>
      <c r="R25" s="5"/>
      <c r="S25" s="5"/>
      <c r="T25" s="5"/>
      <c r="U25" s="5"/>
    </row>
    <row r="26" spans="1:23" x14ac:dyDescent="0.25">
      <c r="A26" s="166" t="s">
        <v>130</v>
      </c>
      <c r="B26" t="s">
        <v>5</v>
      </c>
      <c r="C26">
        <f t="shared" si="1"/>
        <v>0</v>
      </c>
      <c r="D26" s="2" t="s">
        <v>6</v>
      </c>
      <c r="E26" s="154"/>
      <c r="F26" s="154"/>
      <c r="G26" s="154"/>
      <c r="H26" s="154"/>
      <c r="I26" s="154"/>
      <c r="J26" s="154"/>
      <c r="K26" s="154"/>
      <c r="L26" s="154"/>
      <c r="M26" s="154"/>
      <c r="N26" s="154"/>
      <c r="O26" s="154"/>
      <c r="P26" s="154"/>
      <c r="Q26" s="154"/>
      <c r="R26" s="154"/>
      <c r="S26" s="154"/>
      <c r="T26" s="154"/>
      <c r="U26" s="5"/>
    </row>
    <row r="27" spans="1:23" x14ac:dyDescent="0.25">
      <c r="A27" s="166" t="s">
        <v>131</v>
      </c>
      <c r="B27" t="s">
        <v>5</v>
      </c>
      <c r="C27">
        <f t="shared" si="1"/>
        <v>0</v>
      </c>
      <c r="D27" s="2" t="s">
        <v>6</v>
      </c>
      <c r="E27" s="5"/>
      <c r="F27" s="5"/>
      <c r="G27" s="5"/>
      <c r="H27" s="5"/>
      <c r="I27" s="5"/>
      <c r="J27" s="5"/>
      <c r="K27" s="5"/>
      <c r="L27" s="5"/>
      <c r="M27" s="5"/>
      <c r="N27" s="5"/>
      <c r="O27" s="5"/>
      <c r="P27" s="5"/>
      <c r="Q27" s="5"/>
      <c r="R27" s="5"/>
      <c r="S27" s="5"/>
      <c r="T27" s="5"/>
      <c r="U27" s="5"/>
    </row>
    <row r="29" spans="1:23"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48</v>
      </c>
      <c r="C30" t="str">
        <f t="shared" ref="C30:C41" si="3">IF(SUMPRODUCT(--(E30:W30&lt;&gt;""))=0,0,"N.A.")</f>
        <v>N.A.</v>
      </c>
      <c r="D30" s="2" t="s">
        <v>6</v>
      </c>
      <c r="E30" s="151">
        <v>7.2537396121883655E-3</v>
      </c>
      <c r="F30" s="151">
        <v>7.5417201540436459E-3</v>
      </c>
      <c r="G30" s="151">
        <v>8.5990757855822549E-3</v>
      </c>
      <c r="H30" s="151">
        <v>9.7751223184042151E-3</v>
      </c>
      <c r="I30" s="151">
        <v>1.0997512913717238E-2</v>
      </c>
      <c r="J30" s="151">
        <v>1.1946325509811466E-2</v>
      </c>
      <c r="K30" s="151">
        <v>1.2481596280511429E-2</v>
      </c>
      <c r="L30" s="151">
        <v>1.1825405921680993E-2</v>
      </c>
      <c r="M30" s="151">
        <v>1.1405505952380952E-2</v>
      </c>
      <c r="N30" s="151">
        <v>9.4443435627383325E-3</v>
      </c>
      <c r="O30" s="151">
        <v>8.6111210762331841E-3</v>
      </c>
      <c r="P30" s="151">
        <v>6.7926315789473687E-3</v>
      </c>
      <c r="Q30" s="151">
        <v>6.616995073891626E-3</v>
      </c>
      <c r="R30" s="151">
        <v>6.2982770997846377E-3</v>
      </c>
      <c r="S30" s="151"/>
      <c r="T30" s="151"/>
      <c r="U30" s="151"/>
    </row>
    <row r="31" spans="1:23" x14ac:dyDescent="0.25">
      <c r="A31" s="166" t="s">
        <v>113</v>
      </c>
      <c r="B31" s="132" t="s">
        <v>48</v>
      </c>
      <c r="C31" t="str">
        <f t="shared" si="3"/>
        <v>N.A.</v>
      </c>
      <c r="D31" s="2" t="s">
        <v>6</v>
      </c>
      <c r="E31" s="151">
        <v>6.5641175896083599E-4</v>
      </c>
      <c r="F31" s="151">
        <v>6.8852459016393447E-4</v>
      </c>
      <c r="G31" s="151">
        <v>7.4768786127167629E-4</v>
      </c>
      <c r="H31" s="151">
        <v>8.2996842407425124E-4</v>
      </c>
      <c r="I31" s="151">
        <v>9.4574528840662476E-4</v>
      </c>
      <c r="J31" s="151">
        <v>9.6942070275403609E-4</v>
      </c>
      <c r="K31" s="151">
        <v>9.3937671687032299E-4</v>
      </c>
      <c r="L31" s="151">
        <v>9.0507349454717876E-4</v>
      </c>
      <c r="M31" s="151">
        <v>8.7392877547133878E-4</v>
      </c>
      <c r="N31" s="151">
        <v>8.4799463960945722E-4</v>
      </c>
      <c r="O31" s="151">
        <v>8.8803385917660637E-4</v>
      </c>
      <c r="P31" s="151">
        <v>8.0144787644787646E-4</v>
      </c>
      <c r="Q31" s="151">
        <v>8.6946454413892914E-4</v>
      </c>
      <c r="R31" s="151">
        <v>6.3795255930087396E-4</v>
      </c>
      <c r="S31" s="151"/>
      <c r="T31" s="151"/>
      <c r="U31" s="151"/>
    </row>
    <row r="32" spans="1:23" x14ac:dyDescent="0.25">
      <c r="A32" s="166" t="s">
        <v>115</v>
      </c>
      <c r="B32" s="132" t="s">
        <v>48</v>
      </c>
      <c r="C32" t="str">
        <f t="shared" si="3"/>
        <v>N.A.</v>
      </c>
      <c r="D32" s="2" t="s">
        <v>6</v>
      </c>
      <c r="E32" s="151">
        <v>9.1568384629393557E-3</v>
      </c>
      <c r="F32" s="151">
        <v>1.0059301410063703E-2</v>
      </c>
      <c r="G32" s="151">
        <v>1.1169197320896308E-2</v>
      </c>
      <c r="H32" s="151">
        <v>1.228640043913819E-2</v>
      </c>
      <c r="I32" s="151">
        <v>1.2673504330893709E-2</v>
      </c>
      <c r="J32" s="151">
        <v>1.2773204356266245E-2</v>
      </c>
      <c r="K32" s="151">
        <v>1.2702324080051647E-2</v>
      </c>
      <c r="L32" s="151">
        <v>1.2266814791302968E-2</v>
      </c>
      <c r="M32" s="151">
        <v>1.1832598705805121E-2</v>
      </c>
      <c r="N32" s="151">
        <v>1.1220994645165261E-2</v>
      </c>
      <c r="O32" s="151">
        <v>1.033619828708047E-2</v>
      </c>
      <c r="P32" s="151">
        <v>9.3090291233195212E-3</v>
      </c>
      <c r="Q32" s="151">
        <v>8.5349954589400284E-3</v>
      </c>
      <c r="R32" s="151">
        <v>7.7427765626798661E-3</v>
      </c>
      <c r="S32" s="151"/>
      <c r="T32" s="151"/>
      <c r="U32" s="151"/>
    </row>
    <row r="33" spans="1:23" x14ac:dyDescent="0.25">
      <c r="A33" s="166" t="s">
        <v>117</v>
      </c>
      <c r="B33" s="132" t="s">
        <v>48</v>
      </c>
      <c r="C33" t="str">
        <f t="shared" si="3"/>
        <v>N.A.</v>
      </c>
      <c r="D33" s="2" t="s">
        <v>6</v>
      </c>
      <c r="E33" s="151">
        <v>6.6788031319910512E-2</v>
      </c>
      <c r="F33" s="151">
        <v>6.7353944562899781E-2</v>
      </c>
      <c r="G33" s="151">
        <v>6.6125635808748723E-2</v>
      </c>
      <c r="H33" s="151">
        <v>6.7565111758989313E-2</v>
      </c>
      <c r="I33" s="151">
        <v>6.1876163873370575E-2</v>
      </c>
      <c r="J33" s="151">
        <v>6.1941334527541421E-2</v>
      </c>
      <c r="K33" s="151">
        <v>6.2693895098882207E-2</v>
      </c>
      <c r="L33" s="151">
        <v>6.1216597510373442E-2</v>
      </c>
      <c r="M33" s="151">
        <v>5.9705123033481244E-2</v>
      </c>
      <c r="N33" s="151">
        <v>6.1533018867924526E-2</v>
      </c>
      <c r="O33" s="151">
        <v>5.7977368622938244E-2</v>
      </c>
      <c r="P33" s="151">
        <v>5.9001901140684411E-2</v>
      </c>
      <c r="Q33" s="151">
        <v>5.7662650602409639E-2</v>
      </c>
      <c r="R33" s="151">
        <v>5.519746646795827E-2</v>
      </c>
      <c r="S33" s="151"/>
      <c r="T33" s="151"/>
      <c r="U33" s="151"/>
    </row>
    <row r="34" spans="1:23" x14ac:dyDescent="0.25">
      <c r="A34" s="166" t="s">
        <v>119</v>
      </c>
      <c r="B34" s="132" t="s">
        <v>48</v>
      </c>
      <c r="C34" t="str">
        <f t="shared" si="3"/>
        <v>N.A.</v>
      </c>
      <c r="D34" s="2" t="s">
        <v>6</v>
      </c>
      <c r="E34" s="151">
        <v>0.22</v>
      </c>
      <c r="F34" s="151"/>
      <c r="G34" s="151"/>
      <c r="H34" s="151"/>
      <c r="I34" s="151">
        <v>0.22</v>
      </c>
      <c r="J34" s="151">
        <v>0.1</v>
      </c>
      <c r="K34" s="151"/>
      <c r="L34" s="151"/>
      <c r="M34" s="151"/>
      <c r="N34" s="151">
        <v>9.5000000000000001E-2</v>
      </c>
      <c r="O34" s="151"/>
      <c r="P34" s="151"/>
      <c r="Q34" s="151"/>
      <c r="R34" s="151"/>
      <c r="S34" s="151"/>
      <c r="T34" s="151"/>
      <c r="U34" s="151">
        <v>5.1700000000000003E-2</v>
      </c>
    </row>
    <row r="35" spans="1:23" x14ac:dyDescent="0.25">
      <c r="A35" s="166" t="s">
        <v>121</v>
      </c>
      <c r="B35" s="132" t="s">
        <v>48</v>
      </c>
      <c r="C35" t="str">
        <f t="shared" si="3"/>
        <v>N.A.</v>
      </c>
      <c r="D35" s="2" t="s">
        <v>6</v>
      </c>
      <c r="E35" s="151">
        <v>0.13078803131991051</v>
      </c>
      <c r="F35" s="151">
        <v>0.13130259600088778</v>
      </c>
      <c r="G35" s="151">
        <v>0.1300244534356424</v>
      </c>
      <c r="H35" s="151">
        <v>0.13141013821384154</v>
      </c>
      <c r="I35" s="151">
        <v>0.12558004395123723</v>
      </c>
      <c r="J35" s="151">
        <v>0.12529630652387946</v>
      </c>
      <c r="K35" s="151">
        <v>0.12555678154720334</v>
      </c>
      <c r="L35" s="151">
        <v>0.12337864175214185</v>
      </c>
      <c r="M35" s="151">
        <v>0.12107593695795471</v>
      </c>
      <c r="N35" s="151">
        <v>0.12196882723285346</v>
      </c>
      <c r="O35" s="151">
        <v>0.11716909489440178</v>
      </c>
      <c r="P35" s="151">
        <v>0.11650175033566476</v>
      </c>
      <c r="Q35" s="151">
        <v>0.11359781206949608</v>
      </c>
      <c r="R35" s="151">
        <v>0.10968359763968305</v>
      </c>
      <c r="S35" s="151"/>
      <c r="T35" s="151"/>
      <c r="U35" s="151">
        <f>5.17*2%</f>
        <v>0.10340000000000001</v>
      </c>
    </row>
    <row r="36" spans="1:23" x14ac:dyDescent="0.25">
      <c r="A36" s="166" t="s">
        <v>128</v>
      </c>
      <c r="B36" s="132" t="s">
        <v>48</v>
      </c>
      <c r="C36" t="str">
        <f t="shared" si="3"/>
        <v>N.A.</v>
      </c>
      <c r="D36" s="2" t="s">
        <v>6</v>
      </c>
      <c r="E36" s="151">
        <v>9.1568384629393557E-3</v>
      </c>
      <c r="F36" s="151">
        <v>1.0059301410063703E-2</v>
      </c>
      <c r="G36" s="151">
        <v>1.1169197320896308E-2</v>
      </c>
      <c r="H36" s="151">
        <v>1.228640043913819E-2</v>
      </c>
      <c r="I36" s="151">
        <v>1.2673504330893709E-2</v>
      </c>
      <c r="J36" s="151">
        <v>1.2773204356266245E-2</v>
      </c>
      <c r="K36" s="151">
        <v>1.2702324080051647E-2</v>
      </c>
      <c r="L36" s="151">
        <v>1.2266814791302968E-2</v>
      </c>
      <c r="M36" s="151">
        <v>1.1832598705805121E-2</v>
      </c>
      <c r="N36" s="151">
        <v>1.1220994645165261E-2</v>
      </c>
      <c r="O36" s="151">
        <v>1.033619828708047E-2</v>
      </c>
      <c r="P36" s="151">
        <v>9.3090291233195212E-3</v>
      </c>
      <c r="Q36" s="151">
        <v>8.5349954589400284E-3</v>
      </c>
      <c r="R36" s="151">
        <v>7.7427765626798661E-3</v>
      </c>
      <c r="S36" s="151"/>
      <c r="T36" s="151"/>
      <c r="U36" s="151"/>
    </row>
    <row r="37" spans="1:23" x14ac:dyDescent="0.25">
      <c r="A37" s="166" t="s">
        <v>132</v>
      </c>
      <c r="B37" s="132" t="s">
        <v>48</v>
      </c>
      <c r="C37" t="str">
        <f t="shared" si="3"/>
        <v>N.A.</v>
      </c>
      <c r="D37" s="2" t="s">
        <v>6</v>
      </c>
      <c r="E37" s="151">
        <v>6.4000000000000001E-2</v>
      </c>
      <c r="F37" s="151">
        <v>6.3948651437987988E-2</v>
      </c>
      <c r="G37" s="151">
        <v>6.3898817626893673E-2</v>
      </c>
      <c r="H37" s="151">
        <v>6.3845026454852224E-2</v>
      </c>
      <c r="I37" s="151">
        <v>6.3703880077866662E-2</v>
      </c>
      <c r="J37" s="151">
        <v>6.335497199633805E-2</v>
      </c>
      <c r="K37" s="151">
        <v>6.2862886448321123E-2</v>
      </c>
      <c r="L37" s="151">
        <v>6.2162044241768404E-2</v>
      </c>
      <c r="M37" s="151">
        <v>6.1370813924473459E-2</v>
      </c>
      <c r="N37" s="151">
        <v>6.0435808364928928E-2</v>
      </c>
      <c r="O37" s="151">
        <v>5.9191726271463532E-2</v>
      </c>
      <c r="P37" s="151">
        <v>5.749984919498035E-2</v>
      </c>
      <c r="Q37" s="151">
        <v>5.5935161467086443E-2</v>
      </c>
      <c r="R37" s="151">
        <v>5.4486131171724773E-2</v>
      </c>
      <c r="S37" s="151">
        <v>5.3535149309928476E-2</v>
      </c>
      <c r="T37" s="151">
        <v>5.2902882675074106E-2</v>
      </c>
      <c r="U37" s="151">
        <v>5.1688791647076265E-2</v>
      </c>
    </row>
    <row r="38" spans="1:23" x14ac:dyDescent="0.25">
      <c r="A38" s="166" t="s">
        <v>124</v>
      </c>
      <c r="B38" s="132" t="s">
        <v>48</v>
      </c>
      <c r="C38" t="str">
        <f t="shared" si="3"/>
        <v>N.A.</v>
      </c>
      <c r="D38" s="2" t="s">
        <v>6</v>
      </c>
      <c r="E38" s="151">
        <v>9.1568384629393557E-3</v>
      </c>
      <c r="F38" s="151">
        <v>1.0059301410063703E-2</v>
      </c>
      <c r="G38" s="151">
        <v>1.1169197320896308E-2</v>
      </c>
      <c r="H38" s="151">
        <v>1.228640043913819E-2</v>
      </c>
      <c r="I38" s="151">
        <v>1.2673504330893709E-2</v>
      </c>
      <c r="J38" s="151">
        <v>1.2773204356266245E-2</v>
      </c>
      <c r="K38" s="151">
        <v>1.2702324080051647E-2</v>
      </c>
      <c r="L38" s="151">
        <v>1.2266814791302968E-2</v>
      </c>
      <c r="M38" s="151">
        <v>1.1832598705805121E-2</v>
      </c>
      <c r="N38" s="151">
        <v>1.1220994645165261E-2</v>
      </c>
      <c r="O38" s="151">
        <v>1.033619828708047E-2</v>
      </c>
      <c r="P38" s="151">
        <v>9.3090291233195212E-3</v>
      </c>
      <c r="Q38" s="151">
        <v>8.5349954589400284E-3</v>
      </c>
      <c r="R38" s="151">
        <v>7.7427765626798661E-3</v>
      </c>
      <c r="S38" s="151"/>
      <c r="T38" s="151"/>
      <c r="U38" s="151"/>
    </row>
    <row r="39" spans="1:23" x14ac:dyDescent="0.25">
      <c r="A39" s="166" t="s">
        <v>125</v>
      </c>
      <c r="B39" s="132" t="s">
        <v>48</v>
      </c>
      <c r="C39" t="str">
        <f t="shared" si="3"/>
        <v>N.A.</v>
      </c>
      <c r="D39" s="2" t="s">
        <v>6</v>
      </c>
      <c r="E39" s="151">
        <v>6.4000000000000001E-2</v>
      </c>
      <c r="F39" s="151">
        <v>6.3948651437987988E-2</v>
      </c>
      <c r="G39" s="151">
        <v>6.3898817626893673E-2</v>
      </c>
      <c r="H39" s="151">
        <v>6.3845026454852224E-2</v>
      </c>
      <c r="I39" s="151">
        <v>6.3703880077866662E-2</v>
      </c>
      <c r="J39" s="151">
        <v>6.335497199633805E-2</v>
      </c>
      <c r="K39" s="151">
        <v>6.2862886448321123E-2</v>
      </c>
      <c r="L39" s="151">
        <v>6.2162044241768404E-2</v>
      </c>
      <c r="M39" s="151">
        <v>6.1370813924473459E-2</v>
      </c>
      <c r="N39" s="151">
        <v>6.0435808364928928E-2</v>
      </c>
      <c r="O39" s="151">
        <v>5.9191726271463532E-2</v>
      </c>
      <c r="P39" s="151">
        <v>5.749984919498035E-2</v>
      </c>
      <c r="Q39" s="151">
        <v>5.5935161467086443E-2</v>
      </c>
      <c r="R39" s="151">
        <v>5.4486131171724773E-2</v>
      </c>
      <c r="S39" s="151">
        <v>5.3535149309928476E-2</v>
      </c>
      <c r="T39" s="151">
        <v>5.2902882675074106E-2</v>
      </c>
      <c r="U39" s="151">
        <v>5.1688791647076265E-2</v>
      </c>
    </row>
    <row r="40" spans="1:23" x14ac:dyDescent="0.25">
      <c r="A40" s="166" t="s">
        <v>130</v>
      </c>
      <c r="B40" s="132" t="s">
        <v>48</v>
      </c>
      <c r="C40" t="str">
        <f t="shared" si="3"/>
        <v>N.A.</v>
      </c>
      <c r="D40" s="2" t="s">
        <v>6</v>
      </c>
      <c r="E40" s="151">
        <v>9.1568384629393557E-3</v>
      </c>
      <c r="F40" s="151">
        <v>1.0059301410063703E-2</v>
      </c>
      <c r="G40" s="151">
        <v>1.1169197320896308E-2</v>
      </c>
      <c r="H40" s="151">
        <v>1.228640043913819E-2</v>
      </c>
      <c r="I40" s="151">
        <v>1.2673504330893709E-2</v>
      </c>
      <c r="J40" s="151">
        <v>1.2773204356266245E-2</v>
      </c>
      <c r="K40" s="151">
        <v>1.2702324080051647E-2</v>
      </c>
      <c r="L40" s="151">
        <v>1.2266814791302968E-2</v>
      </c>
      <c r="M40" s="151">
        <v>1.1832598705805121E-2</v>
      </c>
      <c r="N40" s="151">
        <v>1.1220994645165261E-2</v>
      </c>
      <c r="O40" s="151">
        <v>1.033619828708047E-2</v>
      </c>
      <c r="P40" s="151">
        <v>9.3090291233195212E-3</v>
      </c>
      <c r="Q40" s="151">
        <v>8.5349954589400284E-3</v>
      </c>
      <c r="R40" s="151">
        <v>7.7427765626798661E-3</v>
      </c>
      <c r="S40" s="151"/>
      <c r="T40" s="151"/>
      <c r="U40" s="151"/>
    </row>
    <row r="41" spans="1:23" x14ac:dyDescent="0.25">
      <c r="A41" s="166" t="s">
        <v>131</v>
      </c>
      <c r="B41" s="132" t="s">
        <v>48</v>
      </c>
      <c r="C41" t="str">
        <f t="shared" si="3"/>
        <v>N.A.</v>
      </c>
      <c r="D41" s="2" t="s">
        <v>6</v>
      </c>
      <c r="E41" s="151">
        <v>6.4000000000000001E-2</v>
      </c>
      <c r="F41" s="151">
        <v>6.3948651437987988E-2</v>
      </c>
      <c r="G41" s="151">
        <v>6.3898817626893673E-2</v>
      </c>
      <c r="H41" s="151">
        <v>6.3845026454852224E-2</v>
      </c>
      <c r="I41" s="151">
        <v>6.3703880077866662E-2</v>
      </c>
      <c r="J41" s="151">
        <v>6.335497199633805E-2</v>
      </c>
      <c r="K41" s="151">
        <v>6.2862886448321123E-2</v>
      </c>
      <c r="L41" s="151">
        <v>6.2162044241768404E-2</v>
      </c>
      <c r="M41" s="151">
        <v>6.1370813924473459E-2</v>
      </c>
      <c r="N41" s="151">
        <v>6.0435808364928928E-2</v>
      </c>
      <c r="O41" s="151">
        <v>5.9191726271463532E-2</v>
      </c>
      <c r="P41" s="151">
        <v>5.749984919498035E-2</v>
      </c>
      <c r="Q41" s="151">
        <v>5.5935161467086443E-2</v>
      </c>
      <c r="R41" s="151">
        <v>5.4486131171724773E-2</v>
      </c>
      <c r="S41" s="151">
        <v>5.3535149309928476E-2</v>
      </c>
      <c r="T41" s="151">
        <v>5.2902882675074106E-2</v>
      </c>
      <c r="U41" s="151">
        <v>5.1688791647076265E-2</v>
      </c>
    </row>
    <row r="43" spans="1:23"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5</v>
      </c>
      <c r="C44">
        <f t="shared" ref="C44:C55" si="4">IF(SUMPRODUCT(--(E44:W44&lt;&gt;""))=0,0,"N.A.")</f>
        <v>0</v>
      </c>
      <c r="D44" s="2" t="s">
        <v>6</v>
      </c>
    </row>
    <row r="45" spans="1:23" x14ac:dyDescent="0.25">
      <c r="A45" s="166" t="s">
        <v>113</v>
      </c>
      <c r="B45" t="s">
        <v>5</v>
      </c>
      <c r="C45">
        <f t="shared" si="4"/>
        <v>0</v>
      </c>
      <c r="D45" s="2" t="s">
        <v>6</v>
      </c>
    </row>
    <row r="46" spans="1:23" x14ac:dyDescent="0.25">
      <c r="A46" s="166" t="s">
        <v>115</v>
      </c>
      <c r="B46" t="s">
        <v>5</v>
      </c>
      <c r="C46" t="str">
        <f t="shared" si="4"/>
        <v>N.A.</v>
      </c>
      <c r="D46" s="2" t="s">
        <v>6</v>
      </c>
      <c r="E46" s="5">
        <v>350000</v>
      </c>
      <c r="F46" s="5">
        <v>341666.66666666669</v>
      </c>
      <c r="G46" s="5">
        <v>333333.33333333337</v>
      </c>
      <c r="H46" s="5">
        <v>325000.00000000006</v>
      </c>
      <c r="I46" s="5">
        <v>316666.66666666674</v>
      </c>
      <c r="J46" s="5">
        <v>300000</v>
      </c>
      <c r="K46" s="5">
        <v>250000</v>
      </c>
      <c r="L46" s="5">
        <v>200000</v>
      </c>
      <c r="M46" s="5">
        <v>300000</v>
      </c>
      <c r="N46" s="5">
        <v>300000</v>
      </c>
      <c r="O46" s="5">
        <v>300000</v>
      </c>
      <c r="P46" s="5">
        <v>300000</v>
      </c>
      <c r="Q46" s="5">
        <v>500000</v>
      </c>
      <c r="R46" s="5"/>
      <c r="S46" s="5"/>
      <c r="T46" s="5">
        <v>300000</v>
      </c>
      <c r="U46" s="5">
        <v>200000</v>
      </c>
    </row>
    <row r="47" spans="1:23" x14ac:dyDescent="0.25">
      <c r="A47" s="166" t="s">
        <v>117</v>
      </c>
      <c r="B47" t="s">
        <v>5</v>
      </c>
      <c r="C47">
        <f t="shared" si="4"/>
        <v>0</v>
      </c>
      <c r="D47" s="2" t="s">
        <v>6</v>
      </c>
      <c r="E47" s="5"/>
      <c r="F47" s="5"/>
      <c r="G47" s="5"/>
      <c r="H47" s="5"/>
      <c r="I47" s="5"/>
      <c r="J47" s="5"/>
      <c r="K47" s="5"/>
      <c r="L47" s="5"/>
      <c r="M47" s="5"/>
      <c r="N47" s="5"/>
      <c r="O47" s="5"/>
      <c r="P47" s="5"/>
      <c r="Q47" s="5"/>
      <c r="R47" s="5"/>
      <c r="S47" s="5"/>
      <c r="T47" s="5"/>
      <c r="U47" s="5"/>
    </row>
    <row r="48" spans="1:23" x14ac:dyDescent="0.25">
      <c r="A48" s="166" t="s">
        <v>119</v>
      </c>
      <c r="B48" t="s">
        <v>5</v>
      </c>
      <c r="C48" t="str">
        <f t="shared" si="4"/>
        <v>N.A.</v>
      </c>
      <c r="D48" s="2" t="s">
        <v>6</v>
      </c>
      <c r="E48" s="5">
        <v>22681.837470210241</v>
      </c>
      <c r="F48" s="5">
        <v>20556.983298072439</v>
      </c>
      <c r="G48" s="5">
        <v>18573.698987788179</v>
      </c>
      <c r="H48" s="5">
        <v>16750.450112027473</v>
      </c>
      <c r="I48" s="5">
        <v>15027.674619876898</v>
      </c>
      <c r="J48" s="5">
        <v>13425.583437720401</v>
      </c>
      <c r="K48" s="5">
        <v>14688.404726548804</v>
      </c>
      <c r="L48" s="5">
        <v>16382.943881668674</v>
      </c>
      <c r="M48" s="5">
        <v>33738.724520235563</v>
      </c>
      <c r="N48" s="5">
        <v>54797.156024123295</v>
      </c>
      <c r="O48" s="5">
        <v>55578.65507636081</v>
      </c>
      <c r="P48" s="5">
        <v>56310.151158831359</v>
      </c>
      <c r="Q48" s="5">
        <v>56975.620755403448</v>
      </c>
      <c r="R48" s="5">
        <v>51179.204673738604</v>
      </c>
      <c r="S48" s="5">
        <v>45228.498909280264</v>
      </c>
      <c r="T48" s="5">
        <v>39146.560956394584</v>
      </c>
      <c r="U48" s="5"/>
    </row>
    <row r="49" spans="1:23" x14ac:dyDescent="0.25">
      <c r="A49" s="166" t="s">
        <v>121</v>
      </c>
      <c r="B49" t="s">
        <v>5</v>
      </c>
      <c r="C49">
        <f t="shared" si="4"/>
        <v>0</v>
      </c>
      <c r="D49" s="2" t="s">
        <v>6</v>
      </c>
    </row>
    <row r="50" spans="1:23" x14ac:dyDescent="0.25">
      <c r="A50" s="166" t="s">
        <v>128</v>
      </c>
      <c r="B50" t="s">
        <v>5</v>
      </c>
      <c r="C50">
        <f t="shared" si="4"/>
        <v>0</v>
      </c>
      <c r="D50" s="2" t="s">
        <v>6</v>
      </c>
    </row>
    <row r="51" spans="1:23" x14ac:dyDescent="0.25">
      <c r="A51" s="166" t="s">
        <v>132</v>
      </c>
      <c r="B51" t="s">
        <v>5</v>
      </c>
      <c r="C51">
        <f t="shared" si="4"/>
        <v>0</v>
      </c>
      <c r="D51" s="2" t="s">
        <v>6</v>
      </c>
    </row>
    <row r="52" spans="1:23" x14ac:dyDescent="0.25">
      <c r="A52" s="166" t="s">
        <v>124</v>
      </c>
      <c r="B52" t="s">
        <v>5</v>
      </c>
      <c r="C52">
        <f t="shared" si="4"/>
        <v>0</v>
      </c>
      <c r="D52" s="2" t="s">
        <v>6</v>
      </c>
    </row>
    <row r="53" spans="1:23" x14ac:dyDescent="0.25">
      <c r="A53" s="166" t="s">
        <v>125</v>
      </c>
      <c r="B53" t="s">
        <v>5</v>
      </c>
      <c r="C53">
        <f t="shared" si="4"/>
        <v>0</v>
      </c>
      <c r="D53" s="2" t="s">
        <v>6</v>
      </c>
    </row>
    <row r="54" spans="1:23" x14ac:dyDescent="0.25">
      <c r="A54" s="166" t="s">
        <v>130</v>
      </c>
      <c r="B54" t="s">
        <v>5</v>
      </c>
      <c r="C54">
        <f t="shared" si="4"/>
        <v>0</v>
      </c>
      <c r="D54" s="2" t="s">
        <v>6</v>
      </c>
    </row>
    <row r="55" spans="1:23" x14ac:dyDescent="0.25">
      <c r="A55" s="166" t="s">
        <v>131</v>
      </c>
      <c r="B55" t="s">
        <v>5</v>
      </c>
      <c r="C55">
        <f t="shared" si="4"/>
        <v>0</v>
      </c>
      <c r="D55" s="2" t="s">
        <v>6</v>
      </c>
    </row>
    <row r="57" spans="1:23"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t="s">
        <v>5</v>
      </c>
      <c r="C58">
        <f t="shared" ref="C58:C69" si="5">IF(SUMPRODUCT(--(E58:W58&lt;&gt;""))=0,0,"N.A.")</f>
        <v>0</v>
      </c>
      <c r="D58" s="2" t="s">
        <v>6</v>
      </c>
    </row>
    <row r="59" spans="1:23" x14ac:dyDescent="0.25">
      <c r="A59" s="166" t="s">
        <v>113</v>
      </c>
      <c r="B59" t="s">
        <v>5</v>
      </c>
      <c r="C59">
        <f t="shared" si="5"/>
        <v>0</v>
      </c>
      <c r="D59" s="2" t="s">
        <v>6</v>
      </c>
    </row>
    <row r="60" spans="1:23" x14ac:dyDescent="0.25">
      <c r="A60" s="166" t="s">
        <v>115</v>
      </c>
      <c r="B60" t="s">
        <v>5</v>
      </c>
      <c r="C60">
        <f t="shared" si="5"/>
        <v>0</v>
      </c>
      <c r="D60" s="2" t="s">
        <v>6</v>
      </c>
    </row>
    <row r="61" spans="1:23" x14ac:dyDescent="0.25">
      <c r="A61" s="166" t="s">
        <v>117</v>
      </c>
      <c r="B61" t="s">
        <v>5</v>
      </c>
      <c r="C61">
        <f t="shared" si="5"/>
        <v>0</v>
      </c>
      <c r="D61" s="2" t="s">
        <v>6</v>
      </c>
    </row>
    <row r="62" spans="1:23" x14ac:dyDescent="0.25">
      <c r="A62" s="166" t="s">
        <v>119</v>
      </c>
      <c r="B62" t="s">
        <v>5</v>
      </c>
      <c r="C62">
        <f t="shared" si="5"/>
        <v>0</v>
      </c>
      <c r="D62" s="2" t="s">
        <v>6</v>
      </c>
    </row>
    <row r="63" spans="1:23" x14ac:dyDescent="0.25">
      <c r="A63" s="166" t="s">
        <v>121</v>
      </c>
      <c r="B63" t="s">
        <v>5</v>
      </c>
      <c r="C63">
        <f t="shared" si="5"/>
        <v>0</v>
      </c>
      <c r="D63" s="2" t="s">
        <v>6</v>
      </c>
    </row>
    <row r="64" spans="1:23" x14ac:dyDescent="0.25">
      <c r="A64" s="166" t="s">
        <v>128</v>
      </c>
      <c r="B64" t="s">
        <v>5</v>
      </c>
      <c r="C64">
        <f t="shared" si="5"/>
        <v>0</v>
      </c>
      <c r="D64" s="2" t="s">
        <v>6</v>
      </c>
    </row>
    <row r="65" spans="1:4" x14ac:dyDescent="0.25">
      <c r="A65" s="166" t="s">
        <v>132</v>
      </c>
      <c r="B65" t="s">
        <v>5</v>
      </c>
      <c r="C65">
        <f t="shared" si="5"/>
        <v>0</v>
      </c>
      <c r="D65" s="2" t="s">
        <v>6</v>
      </c>
    </row>
    <row r="66" spans="1:4" x14ac:dyDescent="0.25">
      <c r="A66" s="166" t="s">
        <v>124</v>
      </c>
      <c r="B66" t="s">
        <v>5</v>
      </c>
      <c r="C66">
        <f t="shared" si="5"/>
        <v>0</v>
      </c>
      <c r="D66" s="2" t="s">
        <v>6</v>
      </c>
    </row>
    <row r="67" spans="1:4" x14ac:dyDescent="0.25">
      <c r="A67" s="166" t="s">
        <v>125</v>
      </c>
      <c r="B67" t="s">
        <v>5</v>
      </c>
      <c r="C67">
        <f t="shared" si="5"/>
        <v>0</v>
      </c>
      <c r="D67" s="2" t="s">
        <v>6</v>
      </c>
    </row>
    <row r="68" spans="1:4" x14ac:dyDescent="0.25">
      <c r="A68" s="166" t="s">
        <v>130</v>
      </c>
      <c r="B68" t="s">
        <v>5</v>
      </c>
      <c r="C68">
        <f t="shared" si="5"/>
        <v>0</v>
      </c>
      <c r="D68" s="2" t="s">
        <v>6</v>
      </c>
    </row>
    <row r="69" spans="1:4" x14ac:dyDescent="0.25">
      <c r="A69" s="166" t="s">
        <v>131</v>
      </c>
      <c r="B69" t="s">
        <v>5</v>
      </c>
      <c r="C69">
        <f t="shared" si="5"/>
        <v>0</v>
      </c>
      <c r="D69" s="2" t="s">
        <v>6</v>
      </c>
    </row>
  </sheetData>
  <dataValidations count="2">
    <dataValidation type="list" allowBlank="1" showInputMessage="1" showErrorMessage="1" sqref="B44:B55 B16:B27 B2:B13" xr:uid="{00000000-0002-0000-0200-000000000000}">
      <formula1>"Number"</formula1>
    </dataValidation>
    <dataValidation type="list" allowBlank="1" showInputMessage="1" showErrorMessage="1" sqref="B30:B41 B58:B69" xr:uid="{00000000-0002-0000-0200-000018000000}">
      <formula1>"Number,Probability"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58" workbookViewId="0">
      <selection activeCell="A74" sqref="A74"/>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7"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7" customFormat="1" x14ac:dyDescent="0.25">
      <c r="A2" s="166" t="s">
        <v>111</v>
      </c>
      <c r="B2" s="27" t="s">
        <v>5</v>
      </c>
      <c r="C2" s="27" t="str">
        <f t="shared" ref="C2:C13" si="0">IF(SUMPRODUCT(--(E2:W2&lt;&gt;""))=0,0,"N.A.")</f>
        <v>N.A.</v>
      </c>
      <c r="D2" s="29" t="s">
        <v>6</v>
      </c>
      <c r="E2" s="37">
        <v>1628.791055731323</v>
      </c>
    </row>
    <row r="3" spans="1:23" s="27" customFormat="1" x14ac:dyDescent="0.25">
      <c r="A3" s="166" t="s">
        <v>113</v>
      </c>
      <c r="B3" s="27" t="s">
        <v>5</v>
      </c>
      <c r="C3" s="27" t="str">
        <f t="shared" si="0"/>
        <v>N.A.</v>
      </c>
      <c r="D3" s="29" t="s">
        <v>6</v>
      </c>
      <c r="E3" s="37">
        <v>724.8636958939444</v>
      </c>
    </row>
    <row r="4" spans="1:23" s="27" customFormat="1" x14ac:dyDescent="0.25">
      <c r="A4" s="166" t="s">
        <v>115</v>
      </c>
      <c r="B4" s="27" t="s">
        <v>5</v>
      </c>
      <c r="C4" s="27" t="str">
        <f t="shared" si="0"/>
        <v>N.A.</v>
      </c>
      <c r="D4" s="29" t="s">
        <v>6</v>
      </c>
      <c r="E4" s="37">
        <v>2536.7679116949062</v>
      </c>
    </row>
    <row r="5" spans="1:23" s="27" customFormat="1" x14ac:dyDescent="0.25">
      <c r="A5" s="166" t="s">
        <v>117</v>
      </c>
      <c r="B5" s="27" t="s">
        <v>5</v>
      </c>
      <c r="C5" s="27" t="str">
        <f t="shared" si="0"/>
        <v>N.A.</v>
      </c>
      <c r="D5" s="29" t="s">
        <v>6</v>
      </c>
      <c r="E5" s="37">
        <v>174.95334850864231</v>
      </c>
    </row>
    <row r="6" spans="1:23" s="27" customFormat="1" x14ac:dyDescent="0.25">
      <c r="A6" s="166" t="s">
        <v>119</v>
      </c>
      <c r="B6" s="27" t="s">
        <v>5</v>
      </c>
      <c r="C6" s="27" t="str">
        <f t="shared" si="0"/>
        <v>N.A.</v>
      </c>
      <c r="D6" s="29" t="s">
        <v>6</v>
      </c>
      <c r="E6" s="37">
        <v>13686.100331738851</v>
      </c>
    </row>
    <row r="7" spans="1:23" s="27" customFormat="1" x14ac:dyDescent="0.25">
      <c r="A7" s="166" t="s">
        <v>121</v>
      </c>
      <c r="B7" s="27" t="s">
        <v>5</v>
      </c>
      <c r="C7" s="27" t="str">
        <f t="shared" si="0"/>
        <v>N.A.</v>
      </c>
      <c r="D7" s="29" t="s">
        <v>6</v>
      </c>
      <c r="E7" s="37">
        <v>82.136361286302488</v>
      </c>
    </row>
    <row r="8" spans="1:23" s="27" customFormat="1" x14ac:dyDescent="0.25">
      <c r="A8" s="166" t="s">
        <v>128</v>
      </c>
      <c r="B8" s="27" t="s">
        <v>5</v>
      </c>
      <c r="C8" s="27" t="str">
        <f t="shared" si="0"/>
        <v>N.A.</v>
      </c>
      <c r="D8" s="29" t="s">
        <v>6</v>
      </c>
      <c r="E8" s="37">
        <v>43.693093756809269</v>
      </c>
    </row>
    <row r="9" spans="1:23" s="27" customFormat="1" x14ac:dyDescent="0.25">
      <c r="A9" s="166" t="s">
        <v>132</v>
      </c>
      <c r="B9" s="27" t="s">
        <v>5</v>
      </c>
      <c r="C9" s="27" t="str">
        <f t="shared" si="0"/>
        <v>N.A.</v>
      </c>
      <c r="D9" s="29" t="s">
        <v>6</v>
      </c>
      <c r="E9" s="37">
        <v>243.56028604774679</v>
      </c>
    </row>
    <row r="10" spans="1:23" s="27" customFormat="1" x14ac:dyDescent="0.25">
      <c r="A10" s="166" t="s">
        <v>124</v>
      </c>
      <c r="B10" s="27" t="s">
        <v>5</v>
      </c>
      <c r="C10" s="27">
        <f t="shared" si="0"/>
        <v>0</v>
      </c>
      <c r="D10" s="29" t="s">
        <v>6</v>
      </c>
    </row>
    <row r="11" spans="1:23" s="27" customFormat="1" x14ac:dyDescent="0.25">
      <c r="A11" s="166" t="s">
        <v>125</v>
      </c>
      <c r="B11" s="27" t="s">
        <v>5</v>
      </c>
      <c r="C11" s="27">
        <f t="shared" si="0"/>
        <v>0</v>
      </c>
      <c r="D11" s="29" t="s">
        <v>6</v>
      </c>
    </row>
    <row r="12" spans="1:23" s="27" customFormat="1" x14ac:dyDescent="0.25">
      <c r="A12" s="166" t="s">
        <v>130</v>
      </c>
      <c r="B12" s="27" t="s">
        <v>5</v>
      </c>
      <c r="C12" s="27">
        <f t="shared" si="0"/>
        <v>0</v>
      </c>
      <c r="D12" s="29" t="s">
        <v>6</v>
      </c>
    </row>
    <row r="13" spans="1:23" s="27" customFormat="1" x14ac:dyDescent="0.25">
      <c r="A13" s="166" t="s">
        <v>131</v>
      </c>
      <c r="B13" s="27" t="s">
        <v>5</v>
      </c>
      <c r="C13" s="27">
        <f t="shared" si="0"/>
        <v>0</v>
      </c>
      <c r="D13" s="29" t="s">
        <v>6</v>
      </c>
    </row>
    <row r="14" spans="1:23" s="27" customFormat="1" x14ac:dyDescent="0.25"/>
    <row r="15" spans="1:23" s="27"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7" customFormat="1" x14ac:dyDescent="0.25">
      <c r="A16" s="166" t="s">
        <v>111</v>
      </c>
      <c r="B16" s="27" t="s">
        <v>5</v>
      </c>
      <c r="C16" s="27" t="str">
        <f t="shared" ref="C16:C27" si="1">IF(SUMPRODUCT(--(E16:W16&lt;&gt;""))=0,0,"N.A.")</f>
        <v>N.A.</v>
      </c>
      <c r="D16" s="29" t="s">
        <v>6</v>
      </c>
      <c r="E16" s="35">
        <v>0.51230168692830003</v>
      </c>
    </row>
    <row r="17" spans="1:23" s="27" customFormat="1" x14ac:dyDescent="0.25">
      <c r="A17" s="166" t="s">
        <v>113</v>
      </c>
      <c r="B17" s="27" t="s">
        <v>5</v>
      </c>
      <c r="C17" s="27" t="str">
        <f t="shared" si="1"/>
        <v>N.A.</v>
      </c>
      <c r="D17" s="29" t="s">
        <v>6</v>
      </c>
      <c r="E17" s="35">
        <v>0.45582072297300003</v>
      </c>
    </row>
    <row r="18" spans="1:23" s="27" customFormat="1" x14ac:dyDescent="0.25">
      <c r="A18" s="166" t="s">
        <v>115</v>
      </c>
      <c r="B18" s="27" t="s">
        <v>5</v>
      </c>
      <c r="C18" s="27" t="str">
        <f t="shared" si="1"/>
        <v>N.A.</v>
      </c>
      <c r="D18" s="29" t="s">
        <v>6</v>
      </c>
      <c r="E18" s="35">
        <v>134.00456178681</v>
      </c>
    </row>
    <row r="19" spans="1:23" s="27" customFormat="1" x14ac:dyDescent="0.25">
      <c r="A19" s="166" t="s">
        <v>117</v>
      </c>
      <c r="B19" s="27" t="s">
        <v>5</v>
      </c>
      <c r="C19" s="27" t="str">
        <f t="shared" si="1"/>
        <v>N.A.</v>
      </c>
      <c r="D19" s="29" t="s">
        <v>6</v>
      </c>
      <c r="E19" s="35">
        <v>0.48275166150360005</v>
      </c>
    </row>
    <row r="20" spans="1:23" s="27" customFormat="1" x14ac:dyDescent="0.25">
      <c r="A20" s="166" t="s">
        <v>119</v>
      </c>
      <c r="B20" s="27" t="s">
        <v>5</v>
      </c>
      <c r="C20" s="27" t="str">
        <f t="shared" si="1"/>
        <v>N.A.</v>
      </c>
      <c r="D20" s="29" t="s">
        <v>6</v>
      </c>
      <c r="E20" s="35">
        <v>0.54167950223999994</v>
      </c>
    </row>
    <row r="21" spans="1:23" s="27" customFormat="1" x14ac:dyDescent="0.25">
      <c r="A21" s="166" t="s">
        <v>121</v>
      </c>
      <c r="B21" s="27" t="s">
        <v>5</v>
      </c>
      <c r="C21" s="27" t="str">
        <f t="shared" si="1"/>
        <v>N.A.</v>
      </c>
      <c r="D21" s="29" t="s">
        <v>6</v>
      </c>
      <c r="E21" s="35">
        <v>0.24264933262919999</v>
      </c>
    </row>
    <row r="22" spans="1:23" s="27" customFormat="1" x14ac:dyDescent="0.25">
      <c r="A22" s="166" t="s">
        <v>128</v>
      </c>
      <c r="B22" s="27" t="s">
        <v>5</v>
      </c>
      <c r="C22" s="27">
        <f t="shared" si="1"/>
        <v>0</v>
      </c>
      <c r="D22" s="29" t="s">
        <v>6</v>
      </c>
    </row>
    <row r="23" spans="1:23" s="27" customFormat="1" x14ac:dyDescent="0.25">
      <c r="A23" s="166" t="s">
        <v>132</v>
      </c>
      <c r="B23" s="27" t="s">
        <v>5</v>
      </c>
      <c r="C23" s="27">
        <f t="shared" si="1"/>
        <v>0</v>
      </c>
      <c r="D23" s="29" t="s">
        <v>6</v>
      </c>
    </row>
    <row r="24" spans="1:23" s="27" customFormat="1" x14ac:dyDescent="0.25">
      <c r="A24" s="166" t="s">
        <v>124</v>
      </c>
      <c r="B24" s="27" t="s">
        <v>5</v>
      </c>
      <c r="C24" s="27">
        <f t="shared" si="1"/>
        <v>0</v>
      </c>
      <c r="D24" s="29" t="s">
        <v>6</v>
      </c>
    </row>
    <row r="25" spans="1:23" s="27" customFormat="1" x14ac:dyDescent="0.25">
      <c r="A25" s="166" t="s">
        <v>125</v>
      </c>
      <c r="B25" s="27" t="s">
        <v>5</v>
      </c>
      <c r="C25" s="27">
        <f t="shared" si="1"/>
        <v>0</v>
      </c>
      <c r="D25" s="29" t="s">
        <v>6</v>
      </c>
    </row>
    <row r="26" spans="1:23" s="27" customFormat="1" x14ac:dyDescent="0.25">
      <c r="A26" s="166" t="s">
        <v>130</v>
      </c>
      <c r="B26" s="27" t="s">
        <v>5</v>
      </c>
      <c r="C26" s="27">
        <f t="shared" si="1"/>
        <v>0</v>
      </c>
      <c r="D26" s="29" t="s">
        <v>6</v>
      </c>
    </row>
    <row r="27" spans="1:23" s="27" customFormat="1" x14ac:dyDescent="0.25">
      <c r="A27" s="166" t="s">
        <v>131</v>
      </c>
      <c r="B27" s="27" t="s">
        <v>5</v>
      </c>
      <c r="C27" s="27">
        <f t="shared" si="1"/>
        <v>0</v>
      </c>
      <c r="D27" s="29" t="s">
        <v>6</v>
      </c>
    </row>
    <row r="28" spans="1:23" s="27" customFormat="1" x14ac:dyDescent="0.25"/>
    <row r="29" spans="1:23" s="27"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7" customFormat="1" x14ac:dyDescent="0.25">
      <c r="A30" s="166" t="s">
        <v>111</v>
      </c>
      <c r="B30" s="27" t="s">
        <v>5</v>
      </c>
      <c r="C30" s="27">
        <f t="shared" ref="C30:C41" si="2">IF(SUMPRODUCT(--(E30:W30&lt;&gt;""))=0,0,"N.A.")</f>
        <v>0</v>
      </c>
      <c r="D30" s="29" t="s">
        <v>6</v>
      </c>
    </row>
    <row r="31" spans="1:23" s="27" customFormat="1" x14ac:dyDescent="0.25">
      <c r="A31" s="166" t="s">
        <v>113</v>
      </c>
      <c r="B31" s="27" t="s">
        <v>5</v>
      </c>
      <c r="C31" s="27">
        <f t="shared" si="2"/>
        <v>0</v>
      </c>
      <c r="D31" s="29" t="s">
        <v>6</v>
      </c>
    </row>
    <row r="32" spans="1:23" s="27" customFormat="1" x14ac:dyDescent="0.25">
      <c r="A32" s="166" t="s">
        <v>115</v>
      </c>
      <c r="B32" s="27" t="s">
        <v>5</v>
      </c>
      <c r="C32" s="27" t="str">
        <f t="shared" si="2"/>
        <v>N.A.</v>
      </c>
      <c r="D32" s="29" t="s">
        <v>6</v>
      </c>
      <c r="E32" s="33">
        <v>6.1758234587825367</v>
      </c>
    </row>
    <row r="33" spans="1:23" s="27" customFormat="1" x14ac:dyDescent="0.25">
      <c r="A33" s="166" t="s">
        <v>117</v>
      </c>
      <c r="B33" s="27" t="s">
        <v>5</v>
      </c>
      <c r="C33" s="27">
        <f t="shared" si="2"/>
        <v>0</v>
      </c>
      <c r="D33" s="29" t="s">
        <v>6</v>
      </c>
      <c r="E33" s="34"/>
    </row>
    <row r="34" spans="1:23" s="27" customFormat="1" x14ac:dyDescent="0.25">
      <c r="A34" s="166" t="s">
        <v>119</v>
      </c>
      <c r="B34" s="27" t="s">
        <v>5</v>
      </c>
      <c r="C34" s="27" t="str">
        <f t="shared" si="2"/>
        <v>N.A.</v>
      </c>
      <c r="D34" s="29" t="s">
        <v>6</v>
      </c>
      <c r="E34" s="33">
        <v>4.2300000000000004</v>
      </c>
    </row>
    <row r="35" spans="1:23" s="27" customFormat="1" x14ac:dyDescent="0.25">
      <c r="A35" s="166" t="s">
        <v>121</v>
      </c>
      <c r="B35" s="27" t="s">
        <v>5</v>
      </c>
      <c r="C35" s="27">
        <f t="shared" si="2"/>
        <v>0</v>
      </c>
      <c r="D35" s="29" t="s">
        <v>6</v>
      </c>
    </row>
    <row r="36" spans="1:23" s="27" customFormat="1" x14ac:dyDescent="0.25">
      <c r="A36" s="166" t="s">
        <v>128</v>
      </c>
      <c r="B36" s="27" t="s">
        <v>5</v>
      </c>
      <c r="C36" s="27">
        <f t="shared" si="2"/>
        <v>0</v>
      </c>
      <c r="D36" s="29" t="s">
        <v>6</v>
      </c>
    </row>
    <row r="37" spans="1:23" s="27" customFormat="1" x14ac:dyDescent="0.25">
      <c r="A37" s="166" t="s">
        <v>132</v>
      </c>
      <c r="B37" s="27" t="s">
        <v>5</v>
      </c>
      <c r="C37" s="27">
        <f t="shared" si="2"/>
        <v>0</v>
      </c>
      <c r="D37" s="29" t="s">
        <v>6</v>
      </c>
    </row>
    <row r="38" spans="1:23" s="27" customFormat="1" x14ac:dyDescent="0.25">
      <c r="A38" s="166" t="s">
        <v>124</v>
      </c>
      <c r="B38" s="27" t="s">
        <v>5</v>
      </c>
      <c r="C38" s="27">
        <f t="shared" si="2"/>
        <v>0</v>
      </c>
      <c r="D38" s="29" t="s">
        <v>6</v>
      </c>
    </row>
    <row r="39" spans="1:23" s="27" customFormat="1" x14ac:dyDescent="0.25">
      <c r="A39" s="166" t="s">
        <v>125</v>
      </c>
      <c r="B39" s="27" t="s">
        <v>5</v>
      </c>
      <c r="C39" s="27">
        <f t="shared" si="2"/>
        <v>0</v>
      </c>
      <c r="D39" s="29" t="s">
        <v>6</v>
      </c>
    </row>
    <row r="40" spans="1:23" s="27" customFormat="1" x14ac:dyDescent="0.25">
      <c r="A40" s="166" t="s">
        <v>130</v>
      </c>
      <c r="B40" s="27" t="s">
        <v>5</v>
      </c>
      <c r="C40" s="27">
        <f t="shared" si="2"/>
        <v>0</v>
      </c>
      <c r="D40" s="29" t="s">
        <v>6</v>
      </c>
    </row>
    <row r="41" spans="1:23" s="27" customFormat="1" x14ac:dyDescent="0.25">
      <c r="A41" s="166" t="s">
        <v>131</v>
      </c>
      <c r="B41" s="27" t="s">
        <v>5</v>
      </c>
      <c r="C41" s="27">
        <f t="shared" si="2"/>
        <v>0</v>
      </c>
      <c r="D41" s="29" t="s">
        <v>6</v>
      </c>
    </row>
    <row r="42" spans="1:23" s="27" customFormat="1" x14ac:dyDescent="0.25"/>
    <row r="43" spans="1:23" s="27"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7" customFormat="1" x14ac:dyDescent="0.25">
      <c r="A44" s="166" t="s">
        <v>111</v>
      </c>
      <c r="B44" s="27" t="s">
        <v>5</v>
      </c>
      <c r="C44" s="27" t="str">
        <f t="shared" ref="C44:C55" si="3">IF(SUMPRODUCT(--(E44:W44&lt;&gt;""))=0,0,"N.A.")</f>
        <v>N.A.</v>
      </c>
      <c r="D44" s="29" t="s">
        <v>6</v>
      </c>
      <c r="E44" s="32">
        <v>160.9939099651113</v>
      </c>
    </row>
    <row r="45" spans="1:23" s="27" customFormat="1" x14ac:dyDescent="0.25">
      <c r="A45" s="166" t="s">
        <v>113</v>
      </c>
      <c r="B45" s="27" t="s">
        <v>5</v>
      </c>
      <c r="C45" s="27" t="str">
        <f t="shared" si="3"/>
        <v>N.A.</v>
      </c>
      <c r="D45" s="29" t="s">
        <v>6</v>
      </c>
      <c r="E45" s="32">
        <v>92.444730936103795</v>
      </c>
    </row>
    <row r="46" spans="1:23" s="27" customFormat="1" x14ac:dyDescent="0.25">
      <c r="A46" s="166" t="s">
        <v>115</v>
      </c>
      <c r="B46" s="27" t="s">
        <v>5</v>
      </c>
      <c r="C46" s="27" t="str">
        <f t="shared" si="3"/>
        <v>N.A.</v>
      </c>
      <c r="D46" s="29" t="s">
        <v>6</v>
      </c>
      <c r="E46" s="32">
        <v>178.29518819270939</v>
      </c>
    </row>
    <row r="47" spans="1:23" s="27" customFormat="1" x14ac:dyDescent="0.25">
      <c r="A47" s="166" t="s">
        <v>117</v>
      </c>
      <c r="B47" s="27" t="s">
        <v>5</v>
      </c>
      <c r="C47" s="27" t="str">
        <f t="shared" si="3"/>
        <v>N.A.</v>
      </c>
      <c r="D47" s="29" t="s">
        <v>6</v>
      </c>
      <c r="E47" s="32">
        <v>21.71043306350667</v>
      </c>
    </row>
    <row r="48" spans="1:23" s="27" customFormat="1" x14ac:dyDescent="0.25">
      <c r="A48" s="166" t="s">
        <v>119</v>
      </c>
      <c r="B48" s="27" t="s">
        <v>5</v>
      </c>
      <c r="C48" s="27" t="str">
        <f t="shared" si="3"/>
        <v>N.A.</v>
      </c>
      <c r="D48" s="29" t="s">
        <v>6</v>
      </c>
      <c r="E48" s="32">
        <v>1302.8464539960571</v>
      </c>
    </row>
    <row r="49" spans="1:23" s="27" customFormat="1" x14ac:dyDescent="0.25">
      <c r="A49" s="166" t="s">
        <v>121</v>
      </c>
      <c r="B49" s="27" t="s">
        <v>5</v>
      </c>
      <c r="C49" s="27" t="str">
        <f t="shared" si="3"/>
        <v>N.A.</v>
      </c>
      <c r="D49" s="29" t="s">
        <v>6</v>
      </c>
      <c r="E49" s="32">
        <v>8.3563631206053568</v>
      </c>
    </row>
    <row r="50" spans="1:23" s="27" customFormat="1" x14ac:dyDescent="0.25">
      <c r="A50" s="166" t="s">
        <v>128</v>
      </c>
      <c r="B50" s="27" t="s">
        <v>5</v>
      </c>
      <c r="C50" s="27" t="str">
        <f t="shared" si="3"/>
        <v>N.A.</v>
      </c>
      <c r="D50" s="29" t="s">
        <v>6</v>
      </c>
      <c r="E50" s="32">
        <v>29.962546772132072</v>
      </c>
    </row>
    <row r="51" spans="1:23" s="27" customFormat="1" x14ac:dyDescent="0.25">
      <c r="A51" s="166" t="s">
        <v>132</v>
      </c>
      <c r="B51" s="27" t="s">
        <v>5</v>
      </c>
      <c r="C51" s="27" t="str">
        <f t="shared" si="3"/>
        <v>N.A.</v>
      </c>
      <c r="D51" s="29" t="s">
        <v>6</v>
      </c>
      <c r="E51" s="32">
        <v>61.332030523129418</v>
      </c>
    </row>
    <row r="52" spans="1:23" s="27" customFormat="1" x14ac:dyDescent="0.25">
      <c r="A52" s="166" t="s">
        <v>124</v>
      </c>
      <c r="B52" s="27" t="s">
        <v>5</v>
      </c>
      <c r="C52" s="27">
        <f t="shared" si="3"/>
        <v>0</v>
      </c>
      <c r="D52" s="29" t="s">
        <v>6</v>
      </c>
    </row>
    <row r="53" spans="1:23" s="27" customFormat="1" x14ac:dyDescent="0.25">
      <c r="A53" s="166" t="s">
        <v>125</v>
      </c>
      <c r="B53" s="27" t="s">
        <v>5</v>
      </c>
      <c r="C53" s="27">
        <f t="shared" si="3"/>
        <v>0</v>
      </c>
      <c r="D53" s="29" t="s">
        <v>6</v>
      </c>
    </row>
    <row r="54" spans="1:23" s="27" customFormat="1" x14ac:dyDescent="0.25">
      <c r="A54" s="166" t="s">
        <v>130</v>
      </c>
      <c r="B54" s="27" t="s">
        <v>5</v>
      </c>
      <c r="C54" s="27">
        <f t="shared" si="3"/>
        <v>0</v>
      </c>
      <c r="D54" s="29" t="s">
        <v>6</v>
      </c>
    </row>
    <row r="55" spans="1:23" s="27" customFormat="1" x14ac:dyDescent="0.25">
      <c r="A55" s="166" t="s">
        <v>131</v>
      </c>
      <c r="B55" s="27" t="s">
        <v>5</v>
      </c>
      <c r="C55" s="27">
        <f t="shared" si="3"/>
        <v>0</v>
      </c>
      <c r="D55" s="29" t="s">
        <v>6</v>
      </c>
    </row>
    <row r="56" spans="1:23" s="27" customFormat="1" x14ac:dyDescent="0.25"/>
    <row r="57" spans="1:23" s="27"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7" customFormat="1" x14ac:dyDescent="0.25">
      <c r="A58" s="166" t="s">
        <v>111</v>
      </c>
      <c r="B58" s="27" t="s">
        <v>5</v>
      </c>
      <c r="C58" s="27" t="str">
        <f t="shared" ref="C58:C69" si="4">IF(SUMPRODUCT(--(E58:W58&lt;&gt;""))=0,0,"N.A.")</f>
        <v>N.A.</v>
      </c>
      <c r="D58" s="29" t="s">
        <v>6</v>
      </c>
      <c r="E58" s="31">
        <v>1.1569031905074929</v>
      </c>
    </row>
    <row r="59" spans="1:23" s="27" customFormat="1" x14ac:dyDescent="0.25">
      <c r="A59" s="166" t="s">
        <v>113</v>
      </c>
      <c r="B59" s="27" t="s">
        <v>5</v>
      </c>
      <c r="C59" s="27" t="str">
        <f t="shared" si="4"/>
        <v>N.A.</v>
      </c>
      <c r="D59" s="29" t="s">
        <v>6</v>
      </c>
      <c r="E59" s="31">
        <v>2.247108252519006</v>
      </c>
    </row>
    <row r="60" spans="1:23" s="27" customFormat="1" x14ac:dyDescent="0.25">
      <c r="A60" s="166" t="s">
        <v>115</v>
      </c>
      <c r="B60" s="27" t="s">
        <v>5</v>
      </c>
      <c r="C60" s="27" t="str">
        <f t="shared" si="4"/>
        <v>N.A.</v>
      </c>
      <c r="D60" s="29" t="s">
        <v>6</v>
      </c>
      <c r="E60" s="31">
        <v>26.467394273394749</v>
      </c>
    </row>
    <row r="61" spans="1:23" s="27" customFormat="1" x14ac:dyDescent="0.25">
      <c r="A61" s="166" t="s">
        <v>117</v>
      </c>
      <c r="B61" s="27" t="s">
        <v>5</v>
      </c>
      <c r="C61" s="27" t="str">
        <f t="shared" si="4"/>
        <v>N.A.</v>
      </c>
      <c r="D61" s="29" t="s">
        <v>6</v>
      </c>
      <c r="E61" s="31">
        <v>0.83064227390376577</v>
      </c>
    </row>
    <row r="62" spans="1:23" s="27" customFormat="1" x14ac:dyDescent="0.25">
      <c r="A62" s="166" t="s">
        <v>119</v>
      </c>
      <c r="B62" s="27" t="s">
        <v>5</v>
      </c>
      <c r="C62" s="27" t="str">
        <f t="shared" si="4"/>
        <v>N.A.</v>
      </c>
      <c r="D62" s="29" t="s">
        <v>6</v>
      </c>
      <c r="E62" s="31">
        <v>6.7943259483784297</v>
      </c>
    </row>
    <row r="63" spans="1:23" s="27" customFormat="1" x14ac:dyDescent="0.25">
      <c r="A63" s="166" t="s">
        <v>121</v>
      </c>
      <c r="B63" s="27" t="s">
        <v>5</v>
      </c>
      <c r="C63" s="27">
        <f t="shared" si="4"/>
        <v>0</v>
      </c>
      <c r="D63" s="29" t="s">
        <v>6</v>
      </c>
    </row>
    <row r="64" spans="1:23" s="27" customFormat="1" x14ac:dyDescent="0.25">
      <c r="A64" s="166" t="s">
        <v>128</v>
      </c>
      <c r="B64" s="27" t="s">
        <v>5</v>
      </c>
      <c r="C64" s="27">
        <f t="shared" si="4"/>
        <v>0</v>
      </c>
      <c r="D64" s="29" t="s">
        <v>6</v>
      </c>
    </row>
    <row r="65" spans="1:23" s="27" customFormat="1" x14ac:dyDescent="0.25">
      <c r="A65" s="166" t="s">
        <v>132</v>
      </c>
      <c r="B65" s="27" t="s">
        <v>5</v>
      </c>
      <c r="C65" s="27">
        <f t="shared" si="4"/>
        <v>0</v>
      </c>
      <c r="D65" s="29" t="s">
        <v>6</v>
      </c>
    </row>
    <row r="66" spans="1:23" s="27" customFormat="1" x14ac:dyDescent="0.25">
      <c r="A66" s="166" t="s">
        <v>124</v>
      </c>
      <c r="B66" s="27" t="s">
        <v>5</v>
      </c>
      <c r="C66" s="27">
        <f t="shared" si="4"/>
        <v>0</v>
      </c>
      <c r="D66" s="29" t="s">
        <v>6</v>
      </c>
    </row>
    <row r="67" spans="1:23" s="27" customFormat="1" x14ac:dyDescent="0.25">
      <c r="A67" s="166" t="s">
        <v>125</v>
      </c>
      <c r="B67" s="27" t="s">
        <v>5</v>
      </c>
      <c r="C67" s="27">
        <f t="shared" si="4"/>
        <v>0</v>
      </c>
      <c r="D67" s="29" t="s">
        <v>6</v>
      </c>
    </row>
    <row r="68" spans="1:23" s="27" customFormat="1" x14ac:dyDescent="0.25">
      <c r="A68" s="166" t="s">
        <v>130</v>
      </c>
      <c r="B68" s="27" t="s">
        <v>5</v>
      </c>
      <c r="C68" s="27">
        <f t="shared" si="4"/>
        <v>0</v>
      </c>
      <c r="D68" s="29" t="s">
        <v>6</v>
      </c>
    </row>
    <row r="69" spans="1:23" s="27" customFormat="1" x14ac:dyDescent="0.25">
      <c r="A69" s="166" t="s">
        <v>131</v>
      </c>
      <c r="B69" s="27" t="s">
        <v>5</v>
      </c>
      <c r="C69" s="27">
        <f t="shared" si="4"/>
        <v>0</v>
      </c>
      <c r="D69" s="29" t="s">
        <v>6</v>
      </c>
    </row>
    <row r="70" spans="1:23" s="27" customFormat="1" x14ac:dyDescent="0.25"/>
    <row r="71" spans="1:23" s="27"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7" customFormat="1" x14ac:dyDescent="0.25">
      <c r="A72" s="166" t="s">
        <v>111</v>
      </c>
      <c r="B72" s="27" t="s">
        <v>5</v>
      </c>
      <c r="C72" s="27">
        <f t="shared" ref="C72:C83" si="5">IF(SUMPRODUCT(--(E72:W72&lt;&gt;""))=0,0,"N.A.")</f>
        <v>0</v>
      </c>
      <c r="D72" s="29" t="s">
        <v>6</v>
      </c>
    </row>
    <row r="73" spans="1:23" s="27" customFormat="1" x14ac:dyDescent="0.25">
      <c r="A73" s="166" t="s">
        <v>113</v>
      </c>
      <c r="B73" s="27" t="s">
        <v>5</v>
      </c>
      <c r="C73" s="27">
        <f t="shared" si="5"/>
        <v>0</v>
      </c>
      <c r="D73" s="29" t="s">
        <v>6</v>
      </c>
    </row>
    <row r="74" spans="1:23" s="27" customFormat="1" x14ac:dyDescent="0.25">
      <c r="A74" s="166" t="s">
        <v>115</v>
      </c>
      <c r="B74" s="27" t="s">
        <v>5</v>
      </c>
      <c r="C74" s="27" t="str">
        <f t="shared" si="5"/>
        <v>N.A.</v>
      </c>
      <c r="D74" s="29" t="s">
        <v>6</v>
      </c>
      <c r="E74" s="27">
        <v>0.8</v>
      </c>
    </row>
    <row r="75" spans="1:23" s="27" customFormat="1" x14ac:dyDescent="0.25">
      <c r="A75" s="166" t="s">
        <v>117</v>
      </c>
      <c r="B75" s="27" t="s">
        <v>5</v>
      </c>
      <c r="C75" s="27">
        <f t="shared" si="5"/>
        <v>0</v>
      </c>
      <c r="D75" s="29" t="s">
        <v>6</v>
      </c>
    </row>
    <row r="76" spans="1:23" s="27" customFormat="1" x14ac:dyDescent="0.25">
      <c r="A76" s="166" t="s">
        <v>119</v>
      </c>
      <c r="B76" s="27" t="s">
        <v>5</v>
      </c>
      <c r="C76" s="27" t="str">
        <f t="shared" si="5"/>
        <v>N.A.</v>
      </c>
      <c r="D76" s="29" t="s">
        <v>6</v>
      </c>
      <c r="E76" s="27">
        <v>1.4</v>
      </c>
    </row>
    <row r="77" spans="1:23" s="27" customFormat="1" x14ac:dyDescent="0.25">
      <c r="A77" s="166" t="s">
        <v>121</v>
      </c>
      <c r="B77" s="27" t="s">
        <v>5</v>
      </c>
      <c r="C77" s="27">
        <f t="shared" si="5"/>
        <v>0</v>
      </c>
      <c r="D77" s="29" t="s">
        <v>6</v>
      </c>
    </row>
    <row r="78" spans="1:23" s="27" customFormat="1" x14ac:dyDescent="0.25">
      <c r="A78" s="166" t="s">
        <v>128</v>
      </c>
      <c r="B78" s="27" t="s">
        <v>5</v>
      </c>
      <c r="C78" s="27">
        <f t="shared" si="5"/>
        <v>0</v>
      </c>
      <c r="D78" s="29" t="s">
        <v>6</v>
      </c>
    </row>
    <row r="79" spans="1:23" s="27" customFormat="1" x14ac:dyDescent="0.25">
      <c r="A79" s="166" t="s">
        <v>132</v>
      </c>
      <c r="B79" s="27" t="s">
        <v>5</v>
      </c>
      <c r="C79" s="27">
        <f t="shared" si="5"/>
        <v>0</v>
      </c>
      <c r="D79" s="29" t="s">
        <v>6</v>
      </c>
    </row>
    <row r="80" spans="1:23" s="27" customFormat="1" x14ac:dyDescent="0.25">
      <c r="A80" s="166" t="s">
        <v>124</v>
      </c>
      <c r="B80" s="27" t="s">
        <v>5</v>
      </c>
      <c r="C80" s="27">
        <f t="shared" si="5"/>
        <v>0</v>
      </c>
      <c r="D80" s="29" t="s">
        <v>6</v>
      </c>
    </row>
    <row r="81" spans="1:23" s="27" customFormat="1" x14ac:dyDescent="0.25">
      <c r="A81" s="166" t="s">
        <v>125</v>
      </c>
      <c r="B81" s="27" t="s">
        <v>5</v>
      </c>
      <c r="C81" s="27">
        <f t="shared" si="5"/>
        <v>0</v>
      </c>
      <c r="D81" s="29" t="s">
        <v>6</v>
      </c>
    </row>
    <row r="82" spans="1:23" s="27" customFormat="1" x14ac:dyDescent="0.25">
      <c r="A82" s="166" t="s">
        <v>130</v>
      </c>
      <c r="B82" s="27" t="s">
        <v>5</v>
      </c>
      <c r="C82" s="27">
        <f t="shared" si="5"/>
        <v>0</v>
      </c>
      <c r="D82" s="29" t="s">
        <v>6</v>
      </c>
    </row>
    <row r="83" spans="1:23" s="27" customFormat="1" x14ac:dyDescent="0.25">
      <c r="A83" s="166" t="s">
        <v>131</v>
      </c>
      <c r="B83" s="27" t="s">
        <v>5</v>
      </c>
      <c r="C83" s="27">
        <f t="shared" si="5"/>
        <v>0</v>
      </c>
      <c r="D83" s="29" t="s">
        <v>6</v>
      </c>
    </row>
    <row r="84" spans="1:23" s="27" customFormat="1" x14ac:dyDescent="0.25"/>
    <row r="85" spans="1:23" s="27"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7" customFormat="1" x14ac:dyDescent="0.25">
      <c r="A86" s="166" t="s">
        <v>111</v>
      </c>
      <c r="B86" s="27" t="s">
        <v>5</v>
      </c>
      <c r="C86" s="27" t="str">
        <f t="shared" ref="C86:C97" si="6">IF(SUMPRODUCT(--(E86:W86&lt;&gt;""))=0,0,"N.A.")</f>
        <v>N.A.</v>
      </c>
      <c r="D86" s="29" t="s">
        <v>6</v>
      </c>
      <c r="E86" s="30">
        <v>264.09966401000003</v>
      </c>
    </row>
    <row r="87" spans="1:23" s="27" customFormat="1" x14ac:dyDescent="0.25">
      <c r="A87" s="166" t="s">
        <v>113</v>
      </c>
      <c r="B87" s="27" t="s">
        <v>5</v>
      </c>
      <c r="C87" s="27" t="str">
        <f t="shared" si="6"/>
        <v>N.A.</v>
      </c>
      <c r="D87" s="29" t="s">
        <v>6</v>
      </c>
      <c r="E87" s="30">
        <v>1378.1346600000002</v>
      </c>
    </row>
    <row r="88" spans="1:23" s="27" customFormat="1" x14ac:dyDescent="0.25">
      <c r="A88" s="166" t="s">
        <v>115</v>
      </c>
      <c r="B88" s="27" t="s">
        <v>5</v>
      </c>
      <c r="C88" s="27" t="str">
        <f t="shared" si="6"/>
        <v>N.A.</v>
      </c>
      <c r="D88" s="29" t="s">
        <v>6</v>
      </c>
      <c r="E88" s="30">
        <v>7643.2497136800012</v>
      </c>
    </row>
    <row r="89" spans="1:23" s="27" customFormat="1" x14ac:dyDescent="0.25">
      <c r="A89" s="166" t="s">
        <v>117</v>
      </c>
      <c r="B89" s="27" t="s">
        <v>5</v>
      </c>
      <c r="C89" s="27" t="str">
        <f t="shared" si="6"/>
        <v>N.A.</v>
      </c>
      <c r="D89" s="29" t="s">
        <v>6</v>
      </c>
      <c r="E89" s="30">
        <v>870.52809795000007</v>
      </c>
    </row>
    <row r="90" spans="1:23" s="27" customFormat="1" x14ac:dyDescent="0.25">
      <c r="A90" s="166" t="s">
        <v>119</v>
      </c>
      <c r="B90" s="27" t="s">
        <v>5</v>
      </c>
      <c r="C90" s="27" t="str">
        <f t="shared" si="6"/>
        <v>N.A.</v>
      </c>
      <c r="D90" s="29" t="s">
        <v>6</v>
      </c>
      <c r="E90" s="30">
        <v>41037.760542999997</v>
      </c>
    </row>
    <row r="91" spans="1:23" s="27" customFormat="1" x14ac:dyDescent="0.25">
      <c r="A91" s="166" t="s">
        <v>121</v>
      </c>
      <c r="B91" s="27" t="s">
        <v>5</v>
      </c>
      <c r="C91" s="27" t="str">
        <f t="shared" si="6"/>
        <v>N.A.</v>
      </c>
      <c r="D91" s="29" t="s">
        <v>6</v>
      </c>
      <c r="E91" s="30">
        <v>400.52177424000001</v>
      </c>
    </row>
    <row r="92" spans="1:23" s="27" customFormat="1" x14ac:dyDescent="0.25">
      <c r="A92" s="166" t="s">
        <v>128</v>
      </c>
      <c r="B92" s="27" t="s">
        <v>5</v>
      </c>
      <c r="C92" s="27" t="str">
        <f t="shared" si="6"/>
        <v>N.A.</v>
      </c>
      <c r="D92" s="29" t="s">
        <v>6</v>
      </c>
      <c r="E92" s="30">
        <v>504.51775107499998</v>
      </c>
    </row>
    <row r="93" spans="1:23" s="27" customFormat="1" x14ac:dyDescent="0.25">
      <c r="A93" s="166" t="s">
        <v>132</v>
      </c>
      <c r="B93" s="27" t="s">
        <v>5</v>
      </c>
      <c r="C93" s="27" t="str">
        <f t="shared" si="6"/>
        <v>N.A.</v>
      </c>
      <c r="D93" s="29" t="s">
        <v>6</v>
      </c>
      <c r="E93" s="30">
        <v>494.37069438461538</v>
      </c>
    </row>
    <row r="94" spans="1:23" s="27" customFormat="1" x14ac:dyDescent="0.25">
      <c r="A94" s="166" t="s">
        <v>124</v>
      </c>
      <c r="B94" s="27" t="s">
        <v>5</v>
      </c>
      <c r="C94" s="27">
        <f t="shared" si="6"/>
        <v>0</v>
      </c>
      <c r="D94" s="29" t="s">
        <v>6</v>
      </c>
    </row>
    <row r="95" spans="1:23" s="27" customFormat="1" x14ac:dyDescent="0.25">
      <c r="A95" s="166" t="s">
        <v>125</v>
      </c>
      <c r="B95" s="27" t="s">
        <v>5</v>
      </c>
      <c r="C95" s="27">
        <f t="shared" si="6"/>
        <v>0</v>
      </c>
      <c r="D95" s="29" t="s">
        <v>6</v>
      </c>
    </row>
    <row r="96" spans="1:23" s="27" customFormat="1" x14ac:dyDescent="0.25">
      <c r="A96" s="166" t="s">
        <v>130</v>
      </c>
      <c r="B96" s="27" t="s">
        <v>5</v>
      </c>
      <c r="C96" s="27">
        <f t="shared" si="6"/>
        <v>0</v>
      </c>
      <c r="D96" s="29" t="s">
        <v>6</v>
      </c>
    </row>
    <row r="97" spans="1:23" s="27" customFormat="1" x14ac:dyDescent="0.25">
      <c r="A97" s="166" t="s">
        <v>131</v>
      </c>
      <c r="B97" s="27" t="s">
        <v>5</v>
      </c>
      <c r="C97" s="27">
        <f t="shared" si="6"/>
        <v>0</v>
      </c>
      <c r="D97" s="29" t="s">
        <v>6</v>
      </c>
    </row>
    <row r="98" spans="1:23" s="27"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t="s">
        <v>5</v>
      </c>
      <c r="C100" t="str">
        <f t="shared" ref="C100:C111" si="7">IF(SUMPRODUCT(--(E100:W100&lt;&gt;""))=0,0,"N.A.")</f>
        <v>N.A.</v>
      </c>
      <c r="D100" s="2" t="s">
        <v>6</v>
      </c>
      <c r="E100" s="15">
        <v>1809.7678397014733</v>
      </c>
    </row>
    <row r="101" spans="1:23" x14ac:dyDescent="0.25">
      <c r="A101" s="166" t="s">
        <v>113</v>
      </c>
      <c r="B101" t="s">
        <v>5</v>
      </c>
      <c r="C101" t="str">
        <f t="shared" si="7"/>
        <v>N.A.</v>
      </c>
      <c r="D101" s="2" t="s">
        <v>6</v>
      </c>
      <c r="E101" s="15">
        <v>805.40410654882749</v>
      </c>
    </row>
    <row r="102" spans="1:23" x14ac:dyDescent="0.25">
      <c r="A102" s="166" t="s">
        <v>115</v>
      </c>
      <c r="B102" t="s">
        <v>5</v>
      </c>
      <c r="C102" t="str">
        <f t="shared" si="7"/>
        <v>N.A.</v>
      </c>
      <c r="D102" s="2" t="s">
        <v>6</v>
      </c>
      <c r="E102" s="15">
        <v>2818.6310129943372</v>
      </c>
    </row>
    <row r="103" spans="1:23" x14ac:dyDescent="0.25">
      <c r="A103" s="166" t="s">
        <v>117</v>
      </c>
      <c r="B103" t="s">
        <v>5</v>
      </c>
      <c r="C103" t="str">
        <f t="shared" si="7"/>
        <v>N.A.</v>
      </c>
      <c r="D103" s="2" t="s">
        <v>6</v>
      </c>
      <c r="E103" s="15">
        <v>194.3926094540472</v>
      </c>
    </row>
    <row r="104" spans="1:23" x14ac:dyDescent="0.25">
      <c r="A104" s="166" t="s">
        <v>119</v>
      </c>
      <c r="B104" t="s">
        <v>5</v>
      </c>
      <c r="C104" t="str">
        <f t="shared" si="7"/>
        <v>N.A.</v>
      </c>
      <c r="D104" s="2" t="s">
        <v>6</v>
      </c>
      <c r="E104" s="15">
        <v>15206.77814637654</v>
      </c>
    </row>
    <row r="105" spans="1:23" x14ac:dyDescent="0.25">
      <c r="A105" s="166" t="s">
        <v>121</v>
      </c>
      <c r="B105" t="s">
        <v>5</v>
      </c>
      <c r="C105" t="str">
        <f t="shared" si="7"/>
        <v>N.A.</v>
      </c>
      <c r="D105" s="2" t="s">
        <v>6</v>
      </c>
      <c r="E105" s="15">
        <v>91.262623651447186</v>
      </c>
    </row>
    <row r="106" spans="1:23" x14ac:dyDescent="0.25">
      <c r="A106" s="166" t="s">
        <v>128</v>
      </c>
      <c r="B106" t="s">
        <v>5</v>
      </c>
      <c r="C106" t="str">
        <f t="shared" si="7"/>
        <v>N.A.</v>
      </c>
      <c r="D106" s="2" t="s">
        <v>6</v>
      </c>
      <c r="E106" s="15">
        <v>121.36970488002567</v>
      </c>
    </row>
    <row r="107" spans="1:23" x14ac:dyDescent="0.25">
      <c r="A107" s="166" t="s">
        <v>132</v>
      </c>
      <c r="B107" t="s">
        <v>5</v>
      </c>
      <c r="C107" t="str">
        <f t="shared" si="7"/>
        <v>N.A.</v>
      </c>
      <c r="D107" s="2" t="s">
        <v>6</v>
      </c>
      <c r="E107" s="15">
        <v>270.62254005305209</v>
      </c>
    </row>
    <row r="108" spans="1:23" x14ac:dyDescent="0.25">
      <c r="A108" s="166" t="s">
        <v>124</v>
      </c>
      <c r="B108" t="s">
        <v>5</v>
      </c>
      <c r="C108">
        <f t="shared" si="7"/>
        <v>0</v>
      </c>
      <c r="D108" s="2" t="s">
        <v>6</v>
      </c>
    </row>
    <row r="109" spans="1:23" x14ac:dyDescent="0.25">
      <c r="A109" s="166" t="s">
        <v>125</v>
      </c>
      <c r="B109" t="s">
        <v>5</v>
      </c>
      <c r="C109">
        <f t="shared" si="7"/>
        <v>0</v>
      </c>
      <c r="D109" s="2" t="s">
        <v>6</v>
      </c>
    </row>
    <row r="110" spans="1:23" x14ac:dyDescent="0.25">
      <c r="A110" s="166" t="s">
        <v>130</v>
      </c>
      <c r="B110" t="s">
        <v>5</v>
      </c>
      <c r="C110">
        <f t="shared" si="7"/>
        <v>0</v>
      </c>
      <c r="D110" s="2" t="s">
        <v>6</v>
      </c>
    </row>
    <row r="111" spans="1:23" x14ac:dyDescent="0.25">
      <c r="A111" s="166"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t="s">
        <v>5</v>
      </c>
      <c r="C114" t="str">
        <f t="shared" ref="C114:C125" si="8">IF(SUMPRODUCT(--(E114:W114&lt;&gt;""))=0,0,"N.A.")</f>
        <v>N.A.</v>
      </c>
      <c r="D114" s="2" t="s">
        <v>6</v>
      </c>
      <c r="E114" s="16">
        <v>0.56922409658700002</v>
      </c>
    </row>
    <row r="115" spans="1:23" x14ac:dyDescent="0.25">
      <c r="A115" s="166" t="s">
        <v>113</v>
      </c>
      <c r="B115" t="s">
        <v>5</v>
      </c>
      <c r="C115" t="str">
        <f t="shared" si="8"/>
        <v>N.A.</v>
      </c>
      <c r="D115" s="2" t="s">
        <v>6</v>
      </c>
      <c r="E115" s="16">
        <v>0.50646746997000003</v>
      </c>
    </row>
    <row r="116" spans="1:23" x14ac:dyDescent="0.25">
      <c r="A116" s="166" t="s">
        <v>115</v>
      </c>
      <c r="B116" t="s">
        <v>5</v>
      </c>
      <c r="C116" t="str">
        <f t="shared" si="8"/>
        <v>N.A.</v>
      </c>
      <c r="D116" s="2" t="s">
        <v>6</v>
      </c>
      <c r="E116" s="16">
        <v>148.8939575409</v>
      </c>
    </row>
    <row r="117" spans="1:23" x14ac:dyDescent="0.25">
      <c r="A117" s="166" t="s">
        <v>117</v>
      </c>
      <c r="B117" t="s">
        <v>5</v>
      </c>
      <c r="C117" t="str">
        <f t="shared" si="8"/>
        <v>N.A.</v>
      </c>
      <c r="D117" s="2" t="s">
        <v>6</v>
      </c>
      <c r="E117" s="16">
        <v>0.53639073500400003</v>
      </c>
    </row>
    <row r="118" spans="1:23" x14ac:dyDescent="0.25">
      <c r="A118" s="166" t="s">
        <v>119</v>
      </c>
      <c r="B118" t="s">
        <v>5</v>
      </c>
      <c r="C118" t="str">
        <f t="shared" si="8"/>
        <v>N.A.</v>
      </c>
      <c r="D118" s="2" t="s">
        <v>6</v>
      </c>
      <c r="E118" s="16">
        <v>0.60186611359999997</v>
      </c>
    </row>
    <row r="119" spans="1:23" x14ac:dyDescent="0.25">
      <c r="A119" s="166" t="s">
        <v>121</v>
      </c>
      <c r="B119" t="s">
        <v>5</v>
      </c>
      <c r="C119" t="str">
        <f t="shared" si="8"/>
        <v>N.A.</v>
      </c>
      <c r="D119" s="2" t="s">
        <v>6</v>
      </c>
      <c r="E119" s="16">
        <v>0.26961036958800005</v>
      </c>
    </row>
    <row r="120" spans="1:23" x14ac:dyDescent="0.25">
      <c r="A120" s="166" t="s">
        <v>128</v>
      </c>
      <c r="B120" t="s">
        <v>5</v>
      </c>
      <c r="C120">
        <f t="shared" si="8"/>
        <v>0</v>
      </c>
      <c r="D120" s="2" t="s">
        <v>6</v>
      </c>
    </row>
    <row r="121" spans="1:23" x14ac:dyDescent="0.25">
      <c r="A121" s="166" t="s">
        <v>132</v>
      </c>
      <c r="B121" t="s">
        <v>5</v>
      </c>
      <c r="C121">
        <f t="shared" si="8"/>
        <v>0</v>
      </c>
      <c r="D121" s="2" t="s">
        <v>6</v>
      </c>
    </row>
    <row r="122" spans="1:23" x14ac:dyDescent="0.25">
      <c r="A122" s="166" t="s">
        <v>124</v>
      </c>
      <c r="B122" t="s">
        <v>5</v>
      </c>
      <c r="C122">
        <f t="shared" si="8"/>
        <v>0</v>
      </c>
      <c r="D122" s="2" t="s">
        <v>6</v>
      </c>
    </row>
    <row r="123" spans="1:23" x14ac:dyDescent="0.25">
      <c r="A123" s="166" t="s">
        <v>125</v>
      </c>
      <c r="B123" t="s">
        <v>5</v>
      </c>
      <c r="C123">
        <f t="shared" si="8"/>
        <v>0</v>
      </c>
      <c r="D123" s="2" t="s">
        <v>6</v>
      </c>
    </row>
    <row r="124" spans="1:23" x14ac:dyDescent="0.25">
      <c r="A124" s="166" t="s">
        <v>130</v>
      </c>
      <c r="B124" t="s">
        <v>5</v>
      </c>
      <c r="C124">
        <f t="shared" si="8"/>
        <v>0</v>
      </c>
      <c r="D124" s="2" t="s">
        <v>6</v>
      </c>
    </row>
    <row r="125" spans="1:23" x14ac:dyDescent="0.25">
      <c r="A125" s="166"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t="s">
        <v>5</v>
      </c>
      <c r="C128">
        <f t="shared" ref="C128:C139" si="9">IF(SUMPRODUCT(--(E128:W128&lt;&gt;""))=0,0,"N.A.")</f>
        <v>0</v>
      </c>
      <c r="D128" s="2" t="s">
        <v>6</v>
      </c>
    </row>
    <row r="129" spans="1:23" x14ac:dyDescent="0.25">
      <c r="A129" s="166" t="s">
        <v>113</v>
      </c>
      <c r="B129" t="s">
        <v>5</v>
      </c>
      <c r="C129">
        <f t="shared" si="9"/>
        <v>0</v>
      </c>
      <c r="D129" s="2" t="s">
        <v>6</v>
      </c>
    </row>
    <row r="130" spans="1:23" x14ac:dyDescent="0.25">
      <c r="A130" s="166" t="s">
        <v>115</v>
      </c>
      <c r="B130" t="s">
        <v>5</v>
      </c>
      <c r="C130" t="str">
        <f t="shared" si="9"/>
        <v>N.A.</v>
      </c>
      <c r="D130" s="2" t="s">
        <v>6</v>
      </c>
      <c r="E130" s="18">
        <v>6.862026065313926</v>
      </c>
    </row>
    <row r="131" spans="1:23" x14ac:dyDescent="0.25">
      <c r="A131" s="166" t="s">
        <v>117</v>
      </c>
      <c r="B131" t="s">
        <v>5</v>
      </c>
      <c r="C131">
        <f t="shared" si="9"/>
        <v>0</v>
      </c>
      <c r="D131" s="2" t="s">
        <v>6</v>
      </c>
      <c r="E131" s="17"/>
    </row>
    <row r="132" spans="1:23" x14ac:dyDescent="0.25">
      <c r="A132" s="166" t="s">
        <v>119</v>
      </c>
      <c r="B132" t="s">
        <v>5</v>
      </c>
      <c r="C132" t="str">
        <f t="shared" si="9"/>
        <v>N.A.</v>
      </c>
      <c r="D132" s="2" t="s">
        <v>6</v>
      </c>
      <c r="E132" s="18">
        <v>4.6966837600645412</v>
      </c>
    </row>
    <row r="133" spans="1:23" x14ac:dyDescent="0.25">
      <c r="A133" s="166" t="s">
        <v>121</v>
      </c>
      <c r="B133" t="s">
        <v>5</v>
      </c>
      <c r="C133">
        <f t="shared" si="9"/>
        <v>0</v>
      </c>
      <c r="D133" s="2" t="s">
        <v>6</v>
      </c>
    </row>
    <row r="134" spans="1:23" x14ac:dyDescent="0.25">
      <c r="A134" s="166" t="s">
        <v>128</v>
      </c>
      <c r="B134" t="s">
        <v>5</v>
      </c>
      <c r="C134">
        <f t="shared" si="9"/>
        <v>0</v>
      </c>
      <c r="D134" s="2" t="s">
        <v>6</v>
      </c>
    </row>
    <row r="135" spans="1:23" x14ac:dyDescent="0.25">
      <c r="A135" s="166" t="s">
        <v>132</v>
      </c>
      <c r="B135" t="s">
        <v>5</v>
      </c>
      <c r="C135">
        <f t="shared" si="9"/>
        <v>0</v>
      </c>
      <c r="D135" s="2" t="s">
        <v>6</v>
      </c>
    </row>
    <row r="136" spans="1:23" x14ac:dyDescent="0.25">
      <c r="A136" s="166" t="s">
        <v>124</v>
      </c>
      <c r="B136" t="s">
        <v>5</v>
      </c>
      <c r="C136">
        <f t="shared" si="9"/>
        <v>0</v>
      </c>
      <c r="D136" s="2" t="s">
        <v>6</v>
      </c>
    </row>
    <row r="137" spans="1:23" x14ac:dyDescent="0.25">
      <c r="A137" s="166" t="s">
        <v>125</v>
      </c>
      <c r="B137" t="s">
        <v>5</v>
      </c>
      <c r="C137">
        <f t="shared" si="9"/>
        <v>0</v>
      </c>
      <c r="D137" s="2" t="s">
        <v>6</v>
      </c>
    </row>
    <row r="138" spans="1:23" x14ac:dyDescent="0.25">
      <c r="A138" s="166" t="s">
        <v>130</v>
      </c>
      <c r="B138" t="s">
        <v>5</v>
      </c>
      <c r="C138">
        <f t="shared" si="9"/>
        <v>0</v>
      </c>
      <c r="D138" s="2" t="s">
        <v>6</v>
      </c>
    </row>
    <row r="139" spans="1:23" x14ac:dyDescent="0.25">
      <c r="A139" s="166"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6" t="s">
        <v>111</v>
      </c>
      <c r="B142" t="s">
        <v>5</v>
      </c>
      <c r="C142" t="str">
        <f t="shared" ref="C142:C153" si="10">IF(SUMPRODUCT(--(E142:W142&lt;&gt;""))=0,0,"N.A.")</f>
        <v>N.A.</v>
      </c>
      <c r="D142" s="2" t="s">
        <v>6</v>
      </c>
      <c r="E142" s="25">
        <v>178.88212218345666</v>
      </c>
    </row>
    <row r="143" spans="1:23" x14ac:dyDescent="0.25">
      <c r="A143" s="166" t="s">
        <v>113</v>
      </c>
      <c r="B143" t="s">
        <v>5</v>
      </c>
      <c r="C143" t="str">
        <f t="shared" si="10"/>
        <v>N.A.</v>
      </c>
      <c r="D143" s="2" t="s">
        <v>6</v>
      </c>
      <c r="E143" s="25">
        <v>102.71636770678218</v>
      </c>
    </row>
    <row r="144" spans="1:23" x14ac:dyDescent="0.25">
      <c r="A144" s="166" t="s">
        <v>115</v>
      </c>
      <c r="B144" t="s">
        <v>5</v>
      </c>
      <c r="C144" t="str">
        <f t="shared" si="10"/>
        <v>N.A.</v>
      </c>
      <c r="D144" s="2" t="s">
        <v>6</v>
      </c>
      <c r="E144" s="25">
        <v>198.10576465856585</v>
      </c>
    </row>
    <row r="145" spans="1:23" x14ac:dyDescent="0.25">
      <c r="A145" s="166" t="s">
        <v>117</v>
      </c>
      <c r="B145" t="s">
        <v>5</v>
      </c>
      <c r="C145" t="str">
        <f t="shared" si="10"/>
        <v>N.A.</v>
      </c>
      <c r="D145" s="2" t="s">
        <v>6</v>
      </c>
      <c r="E145" s="25">
        <v>24.122703403896331</v>
      </c>
    </row>
    <row r="146" spans="1:23" x14ac:dyDescent="0.25">
      <c r="A146" s="166" t="s">
        <v>119</v>
      </c>
      <c r="B146" t="s">
        <v>5</v>
      </c>
      <c r="C146" t="str">
        <f t="shared" si="10"/>
        <v>N.A.</v>
      </c>
      <c r="D146" s="2" t="s">
        <v>6</v>
      </c>
      <c r="E146" s="25">
        <v>1447.6071711067266</v>
      </c>
    </row>
    <row r="147" spans="1:23" x14ac:dyDescent="0.25">
      <c r="A147" s="166" t="s">
        <v>121</v>
      </c>
      <c r="B147" t="s">
        <v>5</v>
      </c>
      <c r="C147" t="str">
        <f t="shared" si="10"/>
        <v>N.A.</v>
      </c>
      <c r="D147" s="2" t="s">
        <v>6</v>
      </c>
      <c r="E147" s="25">
        <v>9.284847911783725</v>
      </c>
    </row>
    <row r="148" spans="1:23" x14ac:dyDescent="0.25">
      <c r="A148" s="166" t="s">
        <v>128</v>
      </c>
      <c r="B148" t="s">
        <v>5</v>
      </c>
      <c r="C148" t="str">
        <f t="shared" si="10"/>
        <v>N.A.</v>
      </c>
      <c r="D148" s="2" t="s">
        <v>6</v>
      </c>
      <c r="E148" s="25">
        <v>83.229296589255682</v>
      </c>
    </row>
    <row r="149" spans="1:23" x14ac:dyDescent="0.25">
      <c r="A149" s="166" t="s">
        <v>132</v>
      </c>
      <c r="B149" t="s">
        <v>5</v>
      </c>
      <c r="C149" t="str">
        <f t="shared" si="10"/>
        <v>N.A.</v>
      </c>
      <c r="D149" s="2" t="s">
        <v>6</v>
      </c>
      <c r="E149" s="25">
        <v>68.14670058125489</v>
      </c>
    </row>
    <row r="150" spans="1:23" x14ac:dyDescent="0.25">
      <c r="A150" s="166" t="s">
        <v>124</v>
      </c>
      <c r="B150" t="s">
        <v>5</v>
      </c>
      <c r="C150">
        <f t="shared" si="10"/>
        <v>0</v>
      </c>
      <c r="D150" s="2" t="s">
        <v>6</v>
      </c>
    </row>
    <row r="151" spans="1:23" x14ac:dyDescent="0.25">
      <c r="A151" s="166" t="s">
        <v>125</v>
      </c>
      <c r="B151" t="s">
        <v>5</v>
      </c>
      <c r="C151">
        <f t="shared" si="10"/>
        <v>0</v>
      </c>
      <c r="D151" s="2" t="s">
        <v>6</v>
      </c>
    </row>
    <row r="152" spans="1:23" x14ac:dyDescent="0.25">
      <c r="A152" s="166" t="s">
        <v>130</v>
      </c>
      <c r="B152" t="s">
        <v>5</v>
      </c>
      <c r="C152">
        <f t="shared" si="10"/>
        <v>0</v>
      </c>
      <c r="D152" s="2" t="s">
        <v>6</v>
      </c>
    </row>
    <row r="153" spans="1:23" x14ac:dyDescent="0.25">
      <c r="A153" s="166"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6" t="s">
        <v>111</v>
      </c>
      <c r="B156" t="s">
        <v>5</v>
      </c>
      <c r="C156" t="str">
        <f t="shared" ref="C156:C167" si="11">IF(SUMPRODUCT(--(E156:W156&lt;&gt;""))=0,0,"N.A.")</f>
        <v>N.A.</v>
      </c>
      <c r="D156" s="2" t="s">
        <v>6</v>
      </c>
      <c r="E156" s="26">
        <v>1.2854479894527737</v>
      </c>
    </row>
    <row r="157" spans="1:23" x14ac:dyDescent="0.25">
      <c r="A157" s="166" t="s">
        <v>113</v>
      </c>
      <c r="B157" t="s">
        <v>5</v>
      </c>
      <c r="C157" t="str">
        <f t="shared" si="11"/>
        <v>N.A.</v>
      </c>
      <c r="D157" s="2" t="s">
        <v>6</v>
      </c>
      <c r="E157" s="26">
        <v>2.4967869472433435</v>
      </c>
    </row>
    <row r="158" spans="1:23" x14ac:dyDescent="0.25">
      <c r="A158" s="166" t="s">
        <v>115</v>
      </c>
      <c r="B158" t="s">
        <v>5</v>
      </c>
      <c r="C158" t="str">
        <f t="shared" si="11"/>
        <v>N.A.</v>
      </c>
      <c r="D158" s="2" t="s">
        <v>6</v>
      </c>
      <c r="E158" s="26">
        <v>29.408215859327498</v>
      </c>
    </row>
    <row r="159" spans="1:23" x14ac:dyDescent="0.25">
      <c r="A159" s="166" t="s">
        <v>117</v>
      </c>
      <c r="B159" t="s">
        <v>5</v>
      </c>
      <c r="C159" t="str">
        <f t="shared" si="11"/>
        <v>N.A.</v>
      </c>
      <c r="D159" s="2" t="s">
        <v>6</v>
      </c>
      <c r="E159" s="26">
        <v>0.92293585989307281</v>
      </c>
    </row>
    <row r="160" spans="1:23" x14ac:dyDescent="0.25">
      <c r="A160" s="166" t="s">
        <v>119</v>
      </c>
      <c r="B160" t="s">
        <v>5</v>
      </c>
      <c r="C160" t="str">
        <f t="shared" si="11"/>
        <v>N.A.</v>
      </c>
      <c r="D160" s="2" t="s">
        <v>6</v>
      </c>
      <c r="E160" s="26">
        <v>7.5492510537538076</v>
      </c>
    </row>
    <row r="161" spans="1:23" x14ac:dyDescent="0.25">
      <c r="A161" s="166" t="s">
        <v>121</v>
      </c>
      <c r="B161" t="s">
        <v>5</v>
      </c>
      <c r="C161">
        <f t="shared" si="11"/>
        <v>0</v>
      </c>
      <c r="D161" s="2" t="s">
        <v>6</v>
      </c>
    </row>
    <row r="162" spans="1:23" x14ac:dyDescent="0.25">
      <c r="A162" s="166" t="s">
        <v>128</v>
      </c>
      <c r="B162" t="s">
        <v>5</v>
      </c>
      <c r="C162">
        <f t="shared" si="11"/>
        <v>0</v>
      </c>
      <c r="D162" s="2" t="s">
        <v>6</v>
      </c>
    </row>
    <row r="163" spans="1:23" x14ac:dyDescent="0.25">
      <c r="A163" s="166" t="s">
        <v>132</v>
      </c>
      <c r="B163" t="s">
        <v>5</v>
      </c>
      <c r="C163">
        <f t="shared" si="11"/>
        <v>0</v>
      </c>
      <c r="D163" s="2" t="s">
        <v>6</v>
      </c>
    </row>
    <row r="164" spans="1:23" x14ac:dyDescent="0.25">
      <c r="A164" s="166" t="s">
        <v>124</v>
      </c>
      <c r="B164" t="s">
        <v>5</v>
      </c>
      <c r="C164">
        <f t="shared" si="11"/>
        <v>0</v>
      </c>
      <c r="D164" s="2" t="s">
        <v>6</v>
      </c>
    </row>
    <row r="165" spans="1:23" x14ac:dyDescent="0.25">
      <c r="A165" s="166" t="s">
        <v>125</v>
      </c>
      <c r="B165" t="s">
        <v>5</v>
      </c>
      <c r="C165">
        <f t="shared" si="11"/>
        <v>0</v>
      </c>
      <c r="D165" s="2" t="s">
        <v>6</v>
      </c>
    </row>
    <row r="166" spans="1:23" x14ac:dyDescent="0.25">
      <c r="A166" s="166" t="s">
        <v>130</v>
      </c>
      <c r="B166" t="s">
        <v>5</v>
      </c>
      <c r="C166">
        <f t="shared" si="11"/>
        <v>0</v>
      </c>
      <c r="D166" s="2" t="s">
        <v>6</v>
      </c>
    </row>
    <row r="167" spans="1:23" x14ac:dyDescent="0.25">
      <c r="A167" s="166"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6" t="s">
        <v>111</v>
      </c>
      <c r="B170" t="s">
        <v>5</v>
      </c>
      <c r="C170">
        <f t="shared" ref="C170:C181" si="12">IF(SUMPRODUCT(--(E170:W170&lt;&gt;""))=0,0,"N.A.")</f>
        <v>0</v>
      </c>
      <c r="D170" s="2" t="s">
        <v>6</v>
      </c>
    </row>
    <row r="171" spans="1:23" x14ac:dyDescent="0.25">
      <c r="A171" s="166" t="s">
        <v>113</v>
      </c>
      <c r="B171" t="s">
        <v>5</v>
      </c>
      <c r="C171">
        <f t="shared" si="12"/>
        <v>0</v>
      </c>
      <c r="D171" s="2" t="s">
        <v>6</v>
      </c>
    </row>
    <row r="172" spans="1:23" x14ac:dyDescent="0.25">
      <c r="A172" s="166" t="s">
        <v>115</v>
      </c>
      <c r="B172" t="s">
        <v>5</v>
      </c>
      <c r="C172" t="str">
        <f t="shared" si="12"/>
        <v>N.A.</v>
      </c>
      <c r="D172" s="2" t="s">
        <v>6</v>
      </c>
      <c r="E172" s="28">
        <v>0.90263812670682764</v>
      </c>
    </row>
    <row r="173" spans="1:23" x14ac:dyDescent="0.25">
      <c r="A173" s="166" t="s">
        <v>117</v>
      </c>
      <c r="B173" t="s">
        <v>5</v>
      </c>
      <c r="C173">
        <f t="shared" si="12"/>
        <v>0</v>
      </c>
      <c r="D173" s="2" t="s">
        <v>6</v>
      </c>
      <c r="E173" s="28"/>
    </row>
    <row r="174" spans="1:23" x14ac:dyDescent="0.25">
      <c r="A174" s="166" t="s">
        <v>119</v>
      </c>
      <c r="B174" t="s">
        <v>5</v>
      </c>
      <c r="C174" t="str">
        <f t="shared" si="12"/>
        <v>N.A.</v>
      </c>
      <c r="D174" s="2" t="s">
        <v>6</v>
      </c>
      <c r="E174" s="28">
        <v>1.5854253681725352</v>
      </c>
    </row>
    <row r="175" spans="1:23" x14ac:dyDescent="0.25">
      <c r="A175" s="166" t="s">
        <v>121</v>
      </c>
      <c r="B175" t="s">
        <v>5</v>
      </c>
      <c r="C175">
        <f t="shared" si="12"/>
        <v>0</v>
      </c>
      <c r="D175" s="2" t="s">
        <v>6</v>
      </c>
    </row>
    <row r="176" spans="1:23" x14ac:dyDescent="0.25">
      <c r="A176" s="166" t="s">
        <v>128</v>
      </c>
      <c r="B176" t="s">
        <v>5</v>
      </c>
      <c r="C176">
        <f t="shared" si="12"/>
        <v>0</v>
      </c>
      <c r="D176" s="2" t="s">
        <v>6</v>
      </c>
    </row>
    <row r="177" spans="1:23" x14ac:dyDescent="0.25">
      <c r="A177" s="166" t="s">
        <v>132</v>
      </c>
      <c r="B177" t="s">
        <v>5</v>
      </c>
      <c r="C177">
        <f t="shared" si="12"/>
        <v>0</v>
      </c>
      <c r="D177" s="2" t="s">
        <v>6</v>
      </c>
    </row>
    <row r="178" spans="1:23" x14ac:dyDescent="0.25">
      <c r="A178" s="166" t="s">
        <v>124</v>
      </c>
      <c r="B178" t="s">
        <v>5</v>
      </c>
      <c r="C178">
        <f t="shared" si="12"/>
        <v>0</v>
      </c>
      <c r="D178" s="2" t="s">
        <v>6</v>
      </c>
    </row>
    <row r="179" spans="1:23" x14ac:dyDescent="0.25">
      <c r="A179" s="166" t="s">
        <v>125</v>
      </c>
      <c r="B179" t="s">
        <v>5</v>
      </c>
      <c r="C179">
        <f t="shared" si="12"/>
        <v>0</v>
      </c>
      <c r="D179" s="2" t="s">
        <v>6</v>
      </c>
    </row>
    <row r="180" spans="1:23" x14ac:dyDescent="0.25">
      <c r="A180" s="166" t="s">
        <v>130</v>
      </c>
      <c r="B180" t="s">
        <v>5</v>
      </c>
      <c r="C180">
        <f t="shared" si="12"/>
        <v>0</v>
      </c>
      <c r="D180" s="2" t="s">
        <v>6</v>
      </c>
    </row>
    <row r="181" spans="1:23" x14ac:dyDescent="0.25">
      <c r="A181" s="166" t="s">
        <v>131</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6" t="s">
        <v>111</v>
      </c>
      <c r="B184" t="s">
        <v>5</v>
      </c>
      <c r="C184" t="str">
        <f t="shared" ref="C184:C195" si="13">IF(SUMPRODUCT(--(E184:W184&lt;&gt;""))=0,0,"N.A.")</f>
        <v>N.A.</v>
      </c>
      <c r="D184" s="2" t="s">
        <v>6</v>
      </c>
      <c r="E184" s="9">
        <v>3432.2587939999999</v>
      </c>
      <c r="F184" s="9">
        <v>3969.6766419999999</v>
      </c>
      <c r="G184" s="9">
        <v>4506.3394749999998</v>
      </c>
      <c r="H184" s="9">
        <v>4924.6011779999999</v>
      </c>
      <c r="I184" s="9">
        <v>4466.5978709999999</v>
      </c>
      <c r="J184" s="9">
        <v>4834.9063370000003</v>
      </c>
      <c r="K184" s="9">
        <v>4886.1212660000001</v>
      </c>
      <c r="L184" s="9">
        <v>4247.2580610000005</v>
      </c>
      <c r="M184" s="9">
        <v>2685.8322659999999</v>
      </c>
      <c r="N184" s="9">
        <v>1841.2555299999999</v>
      </c>
      <c r="O184" s="9">
        <v>1520.7903550000001</v>
      </c>
      <c r="P184" s="9">
        <v>1764.2699729999999</v>
      </c>
      <c r="Q184" s="9">
        <v>1576.2732149999999</v>
      </c>
      <c r="R184" s="9">
        <v>1662.159969</v>
      </c>
      <c r="S184" s="9">
        <v>1426.8334400000001</v>
      </c>
    </row>
    <row r="185" spans="1:23" x14ac:dyDescent="0.25">
      <c r="A185" s="166" t="s">
        <v>113</v>
      </c>
      <c r="B185" t="s">
        <v>5</v>
      </c>
      <c r="C185" t="str">
        <f t="shared" si="13"/>
        <v>N.A.</v>
      </c>
      <c r="D185" s="2" t="s">
        <v>6</v>
      </c>
      <c r="E185" s="9">
        <v>1526.5064219999999</v>
      </c>
      <c r="F185" s="9">
        <v>1765.171317</v>
      </c>
      <c r="G185" s="9">
        <v>2003.4048720000001</v>
      </c>
      <c r="H185" s="9">
        <v>2418.084546</v>
      </c>
      <c r="I185" s="9">
        <v>2468.29396</v>
      </c>
      <c r="J185" s="9">
        <v>2514.3152</v>
      </c>
      <c r="K185" s="9">
        <v>2277.164295</v>
      </c>
      <c r="L185" s="9">
        <v>2345.7529989999998</v>
      </c>
      <c r="M185" s="9">
        <v>1905.924595</v>
      </c>
      <c r="N185" s="9">
        <v>1571.0217660000001</v>
      </c>
      <c r="O185" s="9">
        <v>1158.569219</v>
      </c>
      <c r="P185" s="9">
        <v>1213.4345519999999</v>
      </c>
      <c r="Q185" s="9">
        <v>1144.555552</v>
      </c>
      <c r="R185" s="9">
        <v>903.81968110000003</v>
      </c>
      <c r="S185" s="9">
        <v>664.9141482</v>
      </c>
    </row>
    <row r="186" spans="1:23" x14ac:dyDescent="0.25">
      <c r="A186" s="166" t="s">
        <v>115</v>
      </c>
      <c r="B186" t="s">
        <v>5</v>
      </c>
      <c r="C186" t="str">
        <f t="shared" si="13"/>
        <v>N.A.</v>
      </c>
      <c r="D186" s="2" t="s">
        <v>6</v>
      </c>
      <c r="E186" s="9">
        <v>5118.5065370000002</v>
      </c>
      <c r="F186" s="9">
        <v>5924.8736349999999</v>
      </c>
      <c r="G186" s="9">
        <v>6745.0697980000004</v>
      </c>
      <c r="H186" s="9">
        <v>7507.1630180000002</v>
      </c>
      <c r="I186" s="9">
        <v>8211.0597010000001</v>
      </c>
      <c r="J186" s="9">
        <v>8631.9096769999996</v>
      </c>
      <c r="K186" s="9">
        <v>10862.721369999999</v>
      </c>
      <c r="L186" s="9">
        <v>11545.866309999999</v>
      </c>
      <c r="M186" s="9">
        <v>11718.340340000001</v>
      </c>
      <c r="N186" s="9">
        <v>11853.9329</v>
      </c>
      <c r="O186" s="9">
        <v>10694.99661</v>
      </c>
      <c r="P186" s="9">
        <v>10426.55559</v>
      </c>
      <c r="Q186" s="9">
        <v>11084.66972</v>
      </c>
      <c r="R186" s="9">
        <v>10585.970149999999</v>
      </c>
      <c r="S186" s="9">
        <v>9986.3122309999999</v>
      </c>
    </row>
    <row r="187" spans="1:23" x14ac:dyDescent="0.25">
      <c r="A187" s="166" t="s">
        <v>117</v>
      </c>
      <c r="B187" t="s">
        <v>5</v>
      </c>
      <c r="C187" t="str">
        <f t="shared" si="13"/>
        <v>N.A.</v>
      </c>
      <c r="D187" s="2" t="s">
        <v>6</v>
      </c>
      <c r="E187" s="9">
        <v>367.84993209999999</v>
      </c>
      <c r="F187" s="9">
        <v>425.36282240000003</v>
      </c>
      <c r="G187" s="9">
        <v>482.7719353</v>
      </c>
      <c r="H187" s="9">
        <v>555.37883810000005</v>
      </c>
      <c r="I187" s="9">
        <v>459.89996730000001</v>
      </c>
      <c r="J187" s="9">
        <v>577.20164550000004</v>
      </c>
      <c r="K187" s="9">
        <v>564.17219020000005</v>
      </c>
      <c r="L187" s="9">
        <v>622.31052390000002</v>
      </c>
      <c r="M187" s="9">
        <v>481.71455650000001</v>
      </c>
      <c r="N187" s="9">
        <v>573.42331549999994</v>
      </c>
      <c r="O187" s="9">
        <v>755.65044320000004</v>
      </c>
      <c r="P187" s="9">
        <v>511.6046834</v>
      </c>
      <c r="Q187" s="9">
        <v>601.83524769999997</v>
      </c>
      <c r="R187" s="9">
        <v>529.91419350000001</v>
      </c>
      <c r="S187" s="9">
        <v>478.93663709999998</v>
      </c>
    </row>
    <row r="188" spans="1:23" x14ac:dyDescent="0.25">
      <c r="A188" s="166" t="s">
        <v>119</v>
      </c>
      <c r="B188" t="s">
        <v>5</v>
      </c>
      <c r="C188" t="str">
        <f t="shared" si="13"/>
        <v>N.A.</v>
      </c>
      <c r="D188" s="2" t="s">
        <v>6</v>
      </c>
      <c r="E188" s="9">
        <v>28667.498449999999</v>
      </c>
      <c r="F188" s="9">
        <v>33144.334999999999</v>
      </c>
      <c r="G188" s="9">
        <v>37608.35671</v>
      </c>
      <c r="H188" s="9">
        <v>41688.542959999999</v>
      </c>
      <c r="I188" s="9">
        <v>45385.329949999999</v>
      </c>
      <c r="J188" s="9">
        <v>47426.365689999999</v>
      </c>
      <c r="K188" s="9">
        <v>44946.681129999997</v>
      </c>
      <c r="L188" s="9">
        <v>45913.034050000002</v>
      </c>
      <c r="M188" s="9">
        <v>42660.382810000003</v>
      </c>
      <c r="N188" s="9">
        <v>40888.362849999998</v>
      </c>
      <c r="O188" s="9">
        <v>36484.122940000001</v>
      </c>
      <c r="P188" s="9">
        <v>32598.205720000002</v>
      </c>
      <c r="Q188" s="9">
        <v>31884.642400000001</v>
      </c>
      <c r="R188" s="9">
        <v>28405.672399999999</v>
      </c>
      <c r="S188" s="9">
        <v>24093.59333</v>
      </c>
    </row>
    <row r="189" spans="1:23" x14ac:dyDescent="0.25">
      <c r="A189" s="166" t="s">
        <v>121</v>
      </c>
      <c r="B189" t="s">
        <v>5</v>
      </c>
      <c r="C189" t="str">
        <f t="shared" si="13"/>
        <v>N.A.</v>
      </c>
      <c r="D189" s="2" t="s">
        <v>6</v>
      </c>
      <c r="E189" s="9">
        <v>172.7184159</v>
      </c>
      <c r="F189" s="9">
        <v>199.75029549999999</v>
      </c>
      <c r="G189" s="9">
        <v>226.74090580000001</v>
      </c>
      <c r="H189" s="9">
        <v>260.87783020000001</v>
      </c>
      <c r="I189" s="9">
        <v>216.0584389</v>
      </c>
      <c r="J189" s="9">
        <v>271.2035995</v>
      </c>
      <c r="K189" s="9">
        <v>265.1182483</v>
      </c>
      <c r="L189" s="9">
        <v>164.16707460000001</v>
      </c>
      <c r="M189" s="9">
        <v>345.3595507</v>
      </c>
      <c r="N189" s="9">
        <v>197.4955617</v>
      </c>
      <c r="O189" s="9">
        <v>634.27684099999999</v>
      </c>
      <c r="P189" s="9">
        <v>212.1413368</v>
      </c>
      <c r="Q189" s="9">
        <v>188.28693369999999</v>
      </c>
      <c r="R189" s="9">
        <v>174.6480325</v>
      </c>
      <c r="S189" s="9">
        <v>171.2877551</v>
      </c>
    </row>
    <row r="190" spans="1:23" x14ac:dyDescent="0.25">
      <c r="A190" s="166" t="s">
        <v>128</v>
      </c>
      <c r="B190" t="s">
        <v>5</v>
      </c>
      <c r="C190" t="str">
        <f t="shared" si="13"/>
        <v>N.A.</v>
      </c>
      <c r="D190" s="2" t="s">
        <v>6</v>
      </c>
      <c r="E190" s="9">
        <v>230.283880275</v>
      </c>
      <c r="F190" s="9">
        <v>266.36128224999999</v>
      </c>
      <c r="G190" s="9">
        <v>302.39341224999998</v>
      </c>
      <c r="H190" s="9">
        <v>273.99220324999999</v>
      </c>
      <c r="I190" s="9">
        <v>312.3633845</v>
      </c>
      <c r="J190" s="9">
        <v>328.043452</v>
      </c>
      <c r="K190" s="9">
        <v>305.33495525000001</v>
      </c>
      <c r="L190" s="9">
        <v>318.72088650000001</v>
      </c>
      <c r="M190" s="9">
        <v>328.75055349999997</v>
      </c>
      <c r="N190" s="9">
        <v>437.83455674999999</v>
      </c>
      <c r="O190" s="9">
        <v>438.36049174999999</v>
      </c>
      <c r="P190" s="9">
        <v>400.37297475000003</v>
      </c>
      <c r="Q190" s="9">
        <v>327.84027049999997</v>
      </c>
      <c r="R190" s="9">
        <v>312.58845574999998</v>
      </c>
      <c r="S190" s="9">
        <v>247.56694984999999</v>
      </c>
    </row>
    <row r="191" spans="1:23" x14ac:dyDescent="0.25">
      <c r="A191" s="166" t="s">
        <v>132</v>
      </c>
      <c r="B191" t="s">
        <v>5</v>
      </c>
      <c r="C191" t="str">
        <f t="shared" si="13"/>
        <v>N.A.</v>
      </c>
      <c r="D191" s="2" t="s">
        <v>6</v>
      </c>
      <c r="E191" s="9">
        <v>513.47252330000003</v>
      </c>
      <c r="F191" s="9">
        <v>593.9156471</v>
      </c>
      <c r="G191" s="9">
        <v>674.25782579999998</v>
      </c>
      <c r="H191" s="9">
        <v>534.63083600000004</v>
      </c>
      <c r="I191" s="9">
        <v>696.48824349999995</v>
      </c>
      <c r="J191" s="9">
        <v>731.45067229999995</v>
      </c>
      <c r="K191" s="9">
        <v>649.14164779999999</v>
      </c>
      <c r="L191" s="9">
        <v>507.31787839999998</v>
      </c>
      <c r="M191" s="9">
        <v>583.47688579999999</v>
      </c>
      <c r="N191" s="9">
        <v>520.29756180000004</v>
      </c>
      <c r="O191" s="9">
        <v>411.19249430000002</v>
      </c>
      <c r="P191" s="9">
        <v>429.56422199999997</v>
      </c>
      <c r="Q191" s="9">
        <v>328.31473199999999</v>
      </c>
      <c r="R191" s="9">
        <v>235.81524970000001</v>
      </c>
      <c r="S191" s="9">
        <v>207.08076829999999</v>
      </c>
    </row>
    <row r="192" spans="1:23" x14ac:dyDescent="0.25">
      <c r="A192" s="166" t="s">
        <v>124</v>
      </c>
      <c r="B192" t="s">
        <v>5</v>
      </c>
      <c r="C192">
        <f t="shared" si="13"/>
        <v>0</v>
      </c>
      <c r="D192" s="2" t="s">
        <v>6</v>
      </c>
      <c r="E192" s="9"/>
      <c r="F192" s="9"/>
      <c r="G192" s="9"/>
      <c r="H192" s="9"/>
      <c r="I192" s="9"/>
      <c r="J192" s="9"/>
      <c r="K192" s="9"/>
      <c r="L192" s="9"/>
      <c r="M192" s="9"/>
      <c r="N192" s="9"/>
      <c r="O192" s="9"/>
      <c r="P192" s="9"/>
      <c r="Q192" s="9"/>
      <c r="R192" s="9"/>
      <c r="S192" s="9"/>
    </row>
    <row r="193" spans="1:23" x14ac:dyDescent="0.25">
      <c r="A193" s="166" t="s">
        <v>125</v>
      </c>
      <c r="B193" t="s">
        <v>5</v>
      </c>
      <c r="C193">
        <f t="shared" si="13"/>
        <v>0</v>
      </c>
      <c r="D193" s="2" t="s">
        <v>6</v>
      </c>
      <c r="E193" s="9"/>
      <c r="F193" s="9"/>
      <c r="G193" s="9"/>
      <c r="H193" s="9"/>
      <c r="I193" s="9"/>
      <c r="J193" s="9"/>
      <c r="K193" s="9"/>
      <c r="L193" s="9"/>
      <c r="M193" s="9"/>
      <c r="N193" s="9"/>
      <c r="O193" s="9"/>
      <c r="P193" s="9"/>
      <c r="Q193" s="9"/>
      <c r="R193" s="9"/>
      <c r="S193" s="9"/>
    </row>
    <row r="194" spans="1:23" x14ac:dyDescent="0.25">
      <c r="A194" s="166" t="s">
        <v>130</v>
      </c>
      <c r="B194" t="s">
        <v>5</v>
      </c>
      <c r="C194" t="str">
        <f t="shared" si="13"/>
        <v>N.A.</v>
      </c>
      <c r="D194" s="2" t="s">
        <v>6</v>
      </c>
      <c r="E194" s="9"/>
      <c r="F194" s="9"/>
      <c r="G194" s="9"/>
      <c r="H194" s="9"/>
      <c r="I194" s="9"/>
      <c r="J194" s="9"/>
      <c r="K194" s="9"/>
      <c r="L194" s="9"/>
      <c r="M194" s="9"/>
      <c r="N194" s="9"/>
      <c r="O194" s="9"/>
      <c r="P194" s="9"/>
      <c r="Q194" s="9"/>
      <c r="R194" s="9"/>
      <c r="S194" s="9">
        <v>446.64477047625502</v>
      </c>
    </row>
    <row r="195" spans="1:23" x14ac:dyDescent="0.25">
      <c r="A195" s="166" t="s">
        <v>131</v>
      </c>
      <c r="B195" t="s">
        <v>5</v>
      </c>
      <c r="C195" t="str">
        <f t="shared" si="13"/>
        <v>N.A.</v>
      </c>
      <c r="D195" s="2" t="s">
        <v>6</v>
      </c>
      <c r="E195" s="9"/>
      <c r="F195" s="9"/>
      <c r="G195" s="9"/>
      <c r="H195" s="9"/>
      <c r="I195" s="9"/>
      <c r="J195" s="9"/>
      <c r="K195" s="9"/>
      <c r="L195" s="9"/>
      <c r="M195" s="9"/>
      <c r="N195" s="9"/>
      <c r="O195" s="9"/>
      <c r="P195" s="9"/>
      <c r="Q195" s="9"/>
      <c r="R195" s="9"/>
      <c r="S195" s="9">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6" t="s">
        <v>111</v>
      </c>
      <c r="B198" t="s">
        <v>5</v>
      </c>
      <c r="C198" t="str">
        <f t="shared" ref="C198:C209" si="14">IF(SUMPRODUCT(--(E198:W198&lt;&gt;""))=0,0,"N.A.")</f>
        <v>N.A.</v>
      </c>
      <c r="D198" s="2" t="s">
        <v>6</v>
      </c>
      <c r="E198" s="10">
        <v>1.036838063</v>
      </c>
      <c r="F198" s="10">
        <v>1.495921404</v>
      </c>
      <c r="G198" s="10">
        <v>2.0350590500000001</v>
      </c>
      <c r="H198" s="10">
        <v>2.5921739979999998</v>
      </c>
      <c r="I198" s="10">
        <v>2.6851255749999998</v>
      </c>
      <c r="J198" s="10">
        <v>3.2681663539999999</v>
      </c>
      <c r="K198" s="10">
        <v>3.6683001470000001</v>
      </c>
      <c r="L198" s="10">
        <v>2.248956454</v>
      </c>
      <c r="M198" s="10">
        <v>1.624010253</v>
      </c>
      <c r="N198" s="10">
        <v>3.711036703</v>
      </c>
      <c r="O198" s="10">
        <v>5.2173427139999999</v>
      </c>
      <c r="P198" s="10">
        <v>4.2659808449999996</v>
      </c>
      <c r="Q198" s="10">
        <v>6.2339445790000001</v>
      </c>
      <c r="R198" s="10">
        <v>5.8655582290000003</v>
      </c>
      <c r="S198" s="10">
        <v>4.2342667059999997</v>
      </c>
    </row>
    <row r="199" spans="1:23" x14ac:dyDescent="0.25">
      <c r="A199" s="166" t="s">
        <v>113</v>
      </c>
      <c r="B199" t="s">
        <v>5</v>
      </c>
      <c r="C199" t="str">
        <f t="shared" si="14"/>
        <v>N.A.</v>
      </c>
      <c r="D199" s="2" t="s">
        <v>6</v>
      </c>
      <c r="E199" s="10">
        <v>0.80776311000000001</v>
      </c>
      <c r="F199" s="10">
        <v>1.4193983480000001</v>
      </c>
      <c r="G199" s="10">
        <v>2.1621154950000001</v>
      </c>
      <c r="H199" s="10">
        <v>3.2752435919999998</v>
      </c>
      <c r="I199" s="10">
        <v>4.023042759</v>
      </c>
      <c r="J199" s="10">
        <v>4.7908995189999999</v>
      </c>
      <c r="K199" s="10">
        <v>4.966863654</v>
      </c>
      <c r="L199" s="10">
        <v>5.7635766479999999</v>
      </c>
      <c r="M199" s="10">
        <v>17.86411279</v>
      </c>
      <c r="N199" s="10">
        <v>14.28570062</v>
      </c>
      <c r="O199" s="10">
        <v>7.6086247910000004</v>
      </c>
      <c r="P199" s="10">
        <v>3.128385953</v>
      </c>
      <c r="Q199" s="10">
        <v>16.783696939999999</v>
      </c>
      <c r="R199" s="10">
        <v>14.0821164</v>
      </c>
      <c r="S199" s="10">
        <v>15.99343024</v>
      </c>
    </row>
    <row r="200" spans="1:23" x14ac:dyDescent="0.25">
      <c r="A200" s="166" t="s">
        <v>115</v>
      </c>
      <c r="B200" t="s">
        <v>5</v>
      </c>
      <c r="C200" t="str">
        <f t="shared" si="14"/>
        <v>N.A.</v>
      </c>
      <c r="D200" s="2" t="s">
        <v>6</v>
      </c>
      <c r="E200" s="10">
        <v>237.47042669999999</v>
      </c>
      <c r="F200" s="10">
        <v>270.96084530000002</v>
      </c>
      <c r="G200" s="10">
        <v>288.90489980000001</v>
      </c>
      <c r="H200" s="10">
        <v>291.27271610000003</v>
      </c>
      <c r="I200" s="10">
        <v>283.77734959999998</v>
      </c>
      <c r="J200" s="10">
        <v>252.10840089999999</v>
      </c>
      <c r="K200" s="10">
        <v>227.0931569</v>
      </c>
      <c r="L200" s="10">
        <v>459.21965849999998</v>
      </c>
      <c r="M200" s="10">
        <v>294.6259063</v>
      </c>
      <c r="N200" s="10">
        <v>128.4222201</v>
      </c>
      <c r="O200" s="10">
        <v>121.859512</v>
      </c>
      <c r="P200" s="10">
        <v>124.5675212</v>
      </c>
      <c r="Q200" s="10">
        <v>126.8024848</v>
      </c>
      <c r="R200" s="10">
        <v>197.91611639999999</v>
      </c>
      <c r="S200" s="10">
        <v>242.24184600000001</v>
      </c>
    </row>
    <row r="201" spans="1:23" x14ac:dyDescent="0.25">
      <c r="A201" s="166" t="s">
        <v>117</v>
      </c>
      <c r="B201" t="s">
        <v>5</v>
      </c>
      <c r="C201" t="str">
        <f t="shared" si="14"/>
        <v>N.A.</v>
      </c>
      <c r="D201" s="2" t="s">
        <v>6</v>
      </c>
      <c r="E201" s="10">
        <v>0.78419698100000002</v>
      </c>
      <c r="F201" s="10">
        <v>1.0233371769999999</v>
      </c>
      <c r="G201" s="10">
        <v>1.2937839499999999</v>
      </c>
      <c r="H201" s="10">
        <v>1.6406811990000001</v>
      </c>
      <c r="I201" s="10">
        <v>1.4848213779999999</v>
      </c>
      <c r="J201" s="10">
        <v>2.0220145079999998</v>
      </c>
      <c r="K201" s="10">
        <v>2.1313539439999998</v>
      </c>
      <c r="L201" s="10">
        <v>2.5220395629999999</v>
      </c>
      <c r="M201" s="10">
        <v>2.0847223819999998</v>
      </c>
      <c r="N201" s="10">
        <v>5.357137732</v>
      </c>
      <c r="O201" s="10">
        <v>4.3018829050000003</v>
      </c>
      <c r="P201" s="10">
        <v>1.058931415</v>
      </c>
      <c r="Q201" s="10">
        <v>0.64455908500000003</v>
      </c>
      <c r="R201" s="10">
        <v>13.269686610000001</v>
      </c>
      <c r="S201" s="10">
        <v>11.85594678</v>
      </c>
    </row>
    <row r="202" spans="1:23" x14ac:dyDescent="0.25">
      <c r="A202" s="166" t="s">
        <v>119</v>
      </c>
      <c r="B202" t="s">
        <v>5</v>
      </c>
      <c r="C202" t="str">
        <f t="shared" si="14"/>
        <v>N.A.</v>
      </c>
      <c r="D202" s="2" t="s">
        <v>6</v>
      </c>
      <c r="E202" s="10">
        <v>150.46652839999999</v>
      </c>
      <c r="F202" s="10">
        <v>189.42155450000001</v>
      </c>
      <c r="G202" s="10">
        <v>232.5086671</v>
      </c>
      <c r="H202" s="10">
        <v>277.24020189999999</v>
      </c>
      <c r="I202" s="10">
        <v>323.08578720000003</v>
      </c>
      <c r="J202" s="10">
        <v>359.86991230000001</v>
      </c>
      <c r="K202" s="10">
        <v>362.11592239999999</v>
      </c>
      <c r="L202" s="10">
        <v>391.38018240000002</v>
      </c>
      <c r="M202" s="10">
        <v>383.73602069999998</v>
      </c>
      <c r="N202" s="10">
        <v>387.20063979999998</v>
      </c>
      <c r="O202" s="10">
        <v>362.60325160000002</v>
      </c>
      <c r="P202" s="10">
        <v>339.3287249</v>
      </c>
      <c r="Q202" s="10">
        <v>410.7896629</v>
      </c>
      <c r="R202" s="10">
        <v>859.52635980000002</v>
      </c>
      <c r="S202" s="10">
        <v>1127.8064220000001</v>
      </c>
    </row>
    <row r="203" spans="1:23" x14ac:dyDescent="0.25">
      <c r="A203" s="166" t="s">
        <v>121</v>
      </c>
      <c r="B203" t="s">
        <v>5</v>
      </c>
      <c r="C203" t="str">
        <f t="shared" si="14"/>
        <v>N.A.</v>
      </c>
      <c r="D203" s="2" t="s">
        <v>6</v>
      </c>
      <c r="E203" s="10">
        <v>0.39416720700000002</v>
      </c>
      <c r="F203" s="10">
        <v>0.48295384200000002</v>
      </c>
      <c r="G203" s="10">
        <v>0.57897718200000003</v>
      </c>
      <c r="H203" s="10">
        <v>0.70155224599999999</v>
      </c>
      <c r="I203" s="10">
        <v>0.61035618800000002</v>
      </c>
      <c r="J203" s="10">
        <v>0.80296767300000005</v>
      </c>
      <c r="K203" s="10">
        <v>0.82096248999999999</v>
      </c>
      <c r="L203" s="10">
        <v>0.53066360700000004</v>
      </c>
      <c r="M203" s="10">
        <v>1.1632981250000001</v>
      </c>
      <c r="N203" s="10">
        <v>1.9110432829999999</v>
      </c>
      <c r="O203" s="10">
        <v>10.18916308</v>
      </c>
      <c r="P203" s="10">
        <v>1.785055815</v>
      </c>
      <c r="Q203" s="10">
        <v>1.558486145</v>
      </c>
      <c r="R203" s="10">
        <v>3.7913390310000001</v>
      </c>
      <c r="S203" s="10">
        <v>4.4713582870000002</v>
      </c>
    </row>
    <row r="204" spans="1:23" x14ac:dyDescent="0.25">
      <c r="A204" s="166" t="s">
        <v>128</v>
      </c>
      <c r="B204" t="s">
        <v>5</v>
      </c>
      <c r="C204">
        <f t="shared" si="14"/>
        <v>0</v>
      </c>
      <c r="D204" s="2" t="s">
        <v>6</v>
      </c>
    </row>
    <row r="205" spans="1:23" x14ac:dyDescent="0.25">
      <c r="A205" s="166" t="s">
        <v>132</v>
      </c>
      <c r="B205" t="s">
        <v>5</v>
      </c>
      <c r="C205">
        <f t="shared" si="14"/>
        <v>0</v>
      </c>
      <c r="D205" s="2" t="s">
        <v>6</v>
      </c>
    </row>
    <row r="206" spans="1:23" x14ac:dyDescent="0.25">
      <c r="A206" s="166" t="s">
        <v>124</v>
      </c>
      <c r="B206" t="s">
        <v>5</v>
      </c>
      <c r="C206">
        <f t="shared" si="14"/>
        <v>0</v>
      </c>
      <c r="D206" s="2" t="s">
        <v>6</v>
      </c>
    </row>
    <row r="207" spans="1:23" x14ac:dyDescent="0.25">
      <c r="A207" s="166" t="s">
        <v>125</v>
      </c>
      <c r="B207" t="s">
        <v>5</v>
      </c>
      <c r="C207">
        <f t="shared" si="14"/>
        <v>0</v>
      </c>
      <c r="D207" s="2" t="s">
        <v>6</v>
      </c>
    </row>
    <row r="208" spans="1:23" x14ac:dyDescent="0.25">
      <c r="A208" s="166" t="s">
        <v>130</v>
      </c>
      <c r="B208" t="s">
        <v>5</v>
      </c>
      <c r="C208" t="str">
        <f t="shared" si="14"/>
        <v>N.A.</v>
      </c>
      <c r="D208" s="2" t="s">
        <v>6</v>
      </c>
      <c r="S208" s="11">
        <v>13.195420406192873</v>
      </c>
    </row>
    <row r="209" spans="1:23" x14ac:dyDescent="0.25">
      <c r="A209" s="166" t="s">
        <v>131</v>
      </c>
      <c r="B209" t="s">
        <v>5</v>
      </c>
      <c r="C209" t="str">
        <f t="shared" si="14"/>
        <v>N.A.</v>
      </c>
      <c r="D209" s="2" t="s">
        <v>6</v>
      </c>
      <c r="S209" s="11">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6" t="s">
        <v>111</v>
      </c>
      <c r="B212" t="s">
        <v>5</v>
      </c>
      <c r="C212">
        <f t="shared" ref="C212:C223" si="15">IF(SUMPRODUCT(--(E212:W212&lt;&gt;""))=0,0,"N.A.")</f>
        <v>0</v>
      </c>
      <c r="D212" s="2" t="s">
        <v>6</v>
      </c>
    </row>
    <row r="213" spans="1:23" x14ac:dyDescent="0.25">
      <c r="A213" s="166" t="s">
        <v>113</v>
      </c>
      <c r="B213" t="s">
        <v>5</v>
      </c>
      <c r="C213">
        <f t="shared" si="15"/>
        <v>0</v>
      </c>
      <c r="D213" s="2" t="s">
        <v>6</v>
      </c>
    </row>
    <row r="214" spans="1:23" x14ac:dyDescent="0.25">
      <c r="A214" s="166" t="s">
        <v>115</v>
      </c>
      <c r="B214" t="s">
        <v>5</v>
      </c>
      <c r="C214" t="str">
        <f t="shared" si="15"/>
        <v>N.A.</v>
      </c>
      <c r="D214" s="2" t="s">
        <v>6</v>
      </c>
      <c r="E214" s="12">
        <v>10.95225596</v>
      </c>
      <c r="F214" s="12">
        <v>11.904191900000001</v>
      </c>
      <c r="G214" s="12">
        <v>13.518327210000001</v>
      </c>
      <c r="H214" s="12">
        <v>16.117828670000002</v>
      </c>
      <c r="I214" s="12">
        <v>17.679646340000001</v>
      </c>
      <c r="J214" s="12">
        <v>16.166088590000001</v>
      </c>
      <c r="K214" s="12">
        <v>19.769871949999999</v>
      </c>
      <c r="L214" s="12">
        <v>5.9855280469999999</v>
      </c>
      <c r="M214" s="12">
        <v>30.197624569999999</v>
      </c>
      <c r="N214" s="12">
        <v>25.003720690000002</v>
      </c>
      <c r="O214" s="12">
        <v>17.956354510000001</v>
      </c>
      <c r="P214" s="12">
        <v>6.5411706289999998</v>
      </c>
      <c r="Q214" s="12">
        <v>5.4547015070000002</v>
      </c>
      <c r="R214" s="12">
        <v>16.598565600000001</v>
      </c>
      <c r="S214" s="12">
        <v>6.2615822799999998</v>
      </c>
    </row>
    <row r="215" spans="1:23" x14ac:dyDescent="0.25">
      <c r="A215" s="166" t="s">
        <v>117</v>
      </c>
      <c r="B215" t="s">
        <v>5</v>
      </c>
      <c r="C215">
        <f t="shared" si="15"/>
        <v>0</v>
      </c>
      <c r="D215" s="2" t="s">
        <v>6</v>
      </c>
    </row>
    <row r="216" spans="1:23" x14ac:dyDescent="0.25">
      <c r="A216" s="166" t="s">
        <v>119</v>
      </c>
      <c r="B216" t="s">
        <v>5</v>
      </c>
      <c r="C216" t="str">
        <f t="shared" si="15"/>
        <v>N.A.</v>
      </c>
      <c r="D216" s="2" t="s">
        <v>6</v>
      </c>
      <c r="E216" s="13">
        <v>7.493624552</v>
      </c>
      <c r="F216" s="13">
        <v>7.639771026</v>
      </c>
      <c r="G216" s="13">
        <v>10.80178061</v>
      </c>
      <c r="H216" s="13">
        <v>14.984018499999999</v>
      </c>
      <c r="I216" s="13">
        <v>19.88335571</v>
      </c>
      <c r="J216" s="13">
        <v>26.269156150000001</v>
      </c>
      <c r="K216" s="13">
        <v>23.438395849999999</v>
      </c>
      <c r="L216" s="13">
        <v>16.06084663</v>
      </c>
      <c r="M216" s="13">
        <v>20.254603629999998</v>
      </c>
      <c r="N216" s="13">
        <v>38.582422379999997</v>
      </c>
      <c r="O216" s="13">
        <v>27.696314879999999</v>
      </c>
      <c r="P216" s="13">
        <v>23.58820133</v>
      </c>
      <c r="Q216" s="13">
        <v>21.163208180000002</v>
      </c>
      <c r="R216" s="13">
        <v>9.484742486</v>
      </c>
      <c r="S216" s="13">
        <v>22.567695010000001</v>
      </c>
    </row>
    <row r="217" spans="1:23" x14ac:dyDescent="0.25">
      <c r="A217" s="166" t="s">
        <v>121</v>
      </c>
      <c r="B217" t="s">
        <v>5</v>
      </c>
      <c r="C217">
        <f t="shared" si="15"/>
        <v>0</v>
      </c>
      <c r="D217" s="2" t="s">
        <v>6</v>
      </c>
    </row>
    <row r="218" spans="1:23" x14ac:dyDescent="0.25">
      <c r="A218" s="166" t="s">
        <v>128</v>
      </c>
      <c r="B218" t="s">
        <v>5</v>
      </c>
      <c r="C218">
        <f t="shared" si="15"/>
        <v>0</v>
      </c>
      <c r="D218" s="2" t="s">
        <v>6</v>
      </c>
    </row>
    <row r="219" spans="1:23" x14ac:dyDescent="0.25">
      <c r="A219" s="166" t="s">
        <v>132</v>
      </c>
      <c r="B219" t="s">
        <v>5</v>
      </c>
      <c r="C219">
        <f t="shared" si="15"/>
        <v>0</v>
      </c>
      <c r="D219" s="2" t="s">
        <v>6</v>
      </c>
    </row>
    <row r="220" spans="1:23" x14ac:dyDescent="0.25">
      <c r="A220" s="166" t="s">
        <v>124</v>
      </c>
      <c r="B220" t="s">
        <v>5</v>
      </c>
      <c r="C220">
        <f t="shared" si="15"/>
        <v>0</v>
      </c>
      <c r="D220" s="2" t="s">
        <v>6</v>
      </c>
    </row>
    <row r="221" spans="1:23" x14ac:dyDescent="0.25">
      <c r="A221" s="166" t="s">
        <v>125</v>
      </c>
      <c r="B221" t="s">
        <v>5</v>
      </c>
      <c r="C221">
        <f t="shared" si="15"/>
        <v>0</v>
      </c>
      <c r="D221" s="2" t="s">
        <v>6</v>
      </c>
    </row>
    <row r="222" spans="1:23" x14ac:dyDescent="0.25">
      <c r="A222" s="166" t="s">
        <v>130</v>
      </c>
      <c r="B222" t="s">
        <v>5</v>
      </c>
      <c r="C222" t="str">
        <f t="shared" si="15"/>
        <v>N.A.</v>
      </c>
      <c r="D222" s="2" t="s">
        <v>6</v>
      </c>
      <c r="S222" s="14">
        <v>1.1729262583282574</v>
      </c>
    </row>
    <row r="223" spans="1:23" x14ac:dyDescent="0.25">
      <c r="A223" s="166" t="s">
        <v>131</v>
      </c>
      <c r="B223" t="s">
        <v>5</v>
      </c>
      <c r="C223" t="str">
        <f t="shared" si="15"/>
        <v>N.A.</v>
      </c>
      <c r="D223" s="2" t="s">
        <v>6</v>
      </c>
      <c r="S223" s="14">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6" t="s">
        <v>111</v>
      </c>
      <c r="B226" t="s">
        <v>5</v>
      </c>
      <c r="C226" t="str">
        <f t="shared" ref="C226:C237" si="16">IF(SUMPRODUCT(--(E226:W226&lt;&gt;""))=0,0,"N.A.")</f>
        <v>N.A.</v>
      </c>
      <c r="D226" s="2" t="s">
        <v>6</v>
      </c>
      <c r="E226" s="19">
        <v>278.05931041853324</v>
      </c>
      <c r="F226" s="19">
        <v>321.50323119825754</v>
      </c>
      <c r="G226" s="19">
        <v>365.29048934996609</v>
      </c>
      <c r="H226" s="19">
        <v>436.6482320247656</v>
      </c>
      <c r="I226" s="19">
        <v>530.25162132257935</v>
      </c>
      <c r="J226" s="19">
        <v>947.39052740020247</v>
      </c>
      <c r="K226" s="19">
        <v>1635.2826064695128</v>
      </c>
      <c r="L226" s="19">
        <v>2188.4035468704133</v>
      </c>
      <c r="M226" s="19">
        <v>3041.7686283585576</v>
      </c>
      <c r="N226" s="19">
        <v>3355.2189473648614</v>
      </c>
      <c r="O226" s="19">
        <v>3401.1964182630591</v>
      </c>
      <c r="P226" s="19">
        <v>3386.4276456630364</v>
      </c>
      <c r="Q226" s="19">
        <v>3448.925413210296</v>
      </c>
      <c r="R226" s="19">
        <v>3655.9422273703753</v>
      </c>
      <c r="S226" s="19">
        <v>3158.4426998541448</v>
      </c>
    </row>
    <row r="227" spans="1:23" x14ac:dyDescent="0.25">
      <c r="A227" s="166" t="s">
        <v>113</v>
      </c>
      <c r="B227" t="s">
        <v>5</v>
      </c>
      <c r="C227" t="str">
        <f t="shared" si="16"/>
        <v>N.A.</v>
      </c>
      <c r="D227" s="2" t="s">
        <v>6</v>
      </c>
      <c r="E227" s="19">
        <v>157.58784316810909</v>
      </c>
      <c r="F227" s="19">
        <v>182.31667550011881</v>
      </c>
      <c r="G227" s="19">
        <v>207.42505870482489</v>
      </c>
      <c r="H227" s="19">
        <v>192.28465521173925</v>
      </c>
      <c r="I227" s="19">
        <v>296.98141619391953</v>
      </c>
      <c r="J227" s="19">
        <v>431.37560724721561</v>
      </c>
      <c r="K227" s="19">
        <v>581.32273392618845</v>
      </c>
      <c r="L227" s="19">
        <v>674.37216249786286</v>
      </c>
      <c r="M227" s="19">
        <v>1023.703309762673</v>
      </c>
      <c r="N227" s="19">
        <v>1106.7879830480806</v>
      </c>
      <c r="O227" s="19">
        <v>1327.1358588566609</v>
      </c>
      <c r="P227" s="19">
        <v>1385.8303903790281</v>
      </c>
      <c r="Q227" s="19">
        <v>1485.6405689261619</v>
      </c>
      <c r="R227" s="19">
        <v>1396.2764117831177</v>
      </c>
      <c r="S227" s="19">
        <v>1260.0587971529083</v>
      </c>
    </row>
    <row r="228" spans="1:23" x14ac:dyDescent="0.25">
      <c r="A228" s="166" t="s">
        <v>115</v>
      </c>
      <c r="B228" t="s">
        <v>5</v>
      </c>
      <c r="C228" t="str">
        <f t="shared" si="16"/>
        <v>N.A.</v>
      </c>
      <c r="D228" s="2" t="s">
        <v>6</v>
      </c>
      <c r="E228" s="19">
        <v>271.54188681786127</v>
      </c>
      <c r="F228" s="19">
        <v>316.17308377997233</v>
      </c>
      <c r="G228" s="19">
        <v>360.35957222152899</v>
      </c>
      <c r="H228" s="19">
        <v>450.38701904893333</v>
      </c>
      <c r="I228" s="19">
        <v>569.15853831500795</v>
      </c>
      <c r="J228" s="19">
        <v>694.81183635132686</v>
      </c>
      <c r="K228" s="19">
        <v>488.01769569589811</v>
      </c>
      <c r="L228" s="19">
        <v>1225.0837444717545</v>
      </c>
      <c r="M228" s="19">
        <v>1626.8424542479254</v>
      </c>
      <c r="N228" s="19">
        <v>2042.3594247081885</v>
      </c>
      <c r="O228" s="19">
        <v>2412.6921037125503</v>
      </c>
      <c r="P228" s="19">
        <v>2755.4508955649849</v>
      </c>
      <c r="Q228" s="19">
        <v>3083.848073211092</v>
      </c>
      <c r="R228" s="19">
        <v>4159.6574058975566</v>
      </c>
      <c r="S228" s="19">
        <v>5779.2374861545923</v>
      </c>
    </row>
    <row r="229" spans="1:23" x14ac:dyDescent="0.25">
      <c r="A229" s="166" t="s">
        <v>117</v>
      </c>
      <c r="B229" t="s">
        <v>5</v>
      </c>
      <c r="C229" t="str">
        <f t="shared" si="16"/>
        <v>N.A.</v>
      </c>
      <c r="D229" s="2" t="s">
        <v>6</v>
      </c>
      <c r="E229" s="19">
        <v>36.692429742224569</v>
      </c>
      <c r="F229" s="19">
        <v>42.46655565068663</v>
      </c>
      <c r="G229" s="19">
        <v>48.322309213653817</v>
      </c>
      <c r="H229" s="19">
        <v>62.590612481994377</v>
      </c>
      <c r="I229" s="19">
        <v>93.064531035349773</v>
      </c>
      <c r="J229" s="19">
        <v>114.10879732633006</v>
      </c>
      <c r="K229" s="19">
        <v>116.26594191100598</v>
      </c>
      <c r="L229" s="19">
        <v>172.7661067542515</v>
      </c>
      <c r="M229" s="19">
        <v>151.30572271646059</v>
      </c>
      <c r="N229" s="19">
        <v>295.64969011485903</v>
      </c>
      <c r="O229" s="19">
        <v>365.30193198614535</v>
      </c>
      <c r="P229" s="19">
        <v>335.7328882339873</v>
      </c>
      <c r="Q229" s="19">
        <v>398.44835934374947</v>
      </c>
      <c r="R229" s="19">
        <v>480.34036252113515</v>
      </c>
      <c r="S229" s="19">
        <v>684.00280675275621</v>
      </c>
    </row>
    <row r="230" spans="1:23" x14ac:dyDescent="0.25">
      <c r="A230" s="166" t="s">
        <v>119</v>
      </c>
      <c r="B230" t="s">
        <v>5</v>
      </c>
      <c r="C230" t="str">
        <f t="shared" si="16"/>
        <v>N.A.</v>
      </c>
      <c r="D230" s="2" t="s">
        <v>6</v>
      </c>
      <c r="E230" s="19">
        <v>2243.1842743332945</v>
      </c>
      <c r="F230" s="19">
        <v>2587.6595644321733</v>
      </c>
      <c r="G230" s="19">
        <v>2940.6616698601374</v>
      </c>
      <c r="H230" s="19">
        <v>3644.4276324138632</v>
      </c>
      <c r="I230" s="19">
        <v>4554.6309362169286</v>
      </c>
      <c r="J230" s="19">
        <v>5487.3223380354384</v>
      </c>
      <c r="K230" s="19">
        <v>8833.8375215136839</v>
      </c>
      <c r="L230" s="19">
        <v>8329.3816369313299</v>
      </c>
      <c r="M230" s="19">
        <v>12246.254236850949</v>
      </c>
      <c r="N230" s="19">
        <v>14810.493083673702</v>
      </c>
      <c r="O230" s="19">
        <v>19715.508868371089</v>
      </c>
      <c r="P230" s="19">
        <v>18807.977999364666</v>
      </c>
      <c r="Q230" s="19">
        <v>19952.029429935112</v>
      </c>
      <c r="R230" s="19">
        <v>23314.036151892469</v>
      </c>
      <c r="S230" s="19">
        <v>26812.06147566759</v>
      </c>
    </row>
    <row r="231" spans="1:23" x14ac:dyDescent="0.25">
      <c r="A231" s="166" t="s">
        <v>121</v>
      </c>
      <c r="B231" t="s">
        <v>5</v>
      </c>
      <c r="C231" t="str">
        <f t="shared" si="16"/>
        <v>N.A.</v>
      </c>
      <c r="D231" s="2" t="s">
        <v>6</v>
      </c>
      <c r="E231" s="19">
        <v>14.364518772625559</v>
      </c>
      <c r="F231" s="19">
        <v>16.600857318482355</v>
      </c>
      <c r="G231" s="19">
        <v>18.857419698180902</v>
      </c>
      <c r="H231" s="19">
        <v>24.366666697189419</v>
      </c>
      <c r="I231" s="19">
        <v>36.088779409149623</v>
      </c>
      <c r="J231" s="19">
        <v>44.088358733892129</v>
      </c>
      <c r="K231" s="19">
        <v>65.448778242788194</v>
      </c>
      <c r="L231" s="19">
        <v>67.446455723286121</v>
      </c>
      <c r="M231" s="19">
        <v>139.78206437568858</v>
      </c>
      <c r="N231" s="19">
        <v>121.7526795217851</v>
      </c>
      <c r="O231" s="19">
        <v>380.49261056191517</v>
      </c>
      <c r="P231" s="19">
        <v>197.33940222073645</v>
      </c>
      <c r="Q231" s="19">
        <v>213.59626082094027</v>
      </c>
      <c r="R231" s="19">
        <v>207.80261518381013</v>
      </c>
      <c r="S231" s="19">
        <v>344.18434305148003</v>
      </c>
    </row>
    <row r="232" spans="1:23" x14ac:dyDescent="0.25">
      <c r="A232" s="166" t="s">
        <v>128</v>
      </c>
      <c r="B232" t="s">
        <v>5</v>
      </c>
      <c r="C232" t="str">
        <f t="shared" si="16"/>
        <v>N.A.</v>
      </c>
      <c r="D232" s="2" t="s">
        <v>6</v>
      </c>
      <c r="E232" s="19">
        <v>129.94155845851776</v>
      </c>
      <c r="F232" s="19">
        <v>150.1799923632565</v>
      </c>
      <c r="G232" s="19">
        <v>170.5111651433775</v>
      </c>
      <c r="H232" s="19">
        <v>112.49358806186174</v>
      </c>
      <c r="I232" s="19">
        <v>89.885285096909001</v>
      </c>
      <c r="J232" s="19">
        <v>58.731702872660748</v>
      </c>
      <c r="K232" s="19">
        <v>35.69210396184225</v>
      </c>
      <c r="L232" s="19">
        <v>39.868046556886</v>
      </c>
      <c r="M232" s="19">
        <v>43.83805079013225</v>
      </c>
      <c r="N232" s="19">
        <v>44.299418048438746</v>
      </c>
      <c r="O232" s="19">
        <v>75.365758781897753</v>
      </c>
      <c r="P232" s="19">
        <v>103.38603282416676</v>
      </c>
      <c r="Q232" s="19">
        <v>88.156126032275495</v>
      </c>
      <c r="R232" s="19">
        <v>189.56231631087024</v>
      </c>
      <c r="S232" s="19">
        <v>259.91419346238251</v>
      </c>
    </row>
    <row r="233" spans="1:23" x14ac:dyDescent="0.25">
      <c r="A233" s="166" t="s">
        <v>132</v>
      </c>
      <c r="B233" t="s">
        <v>5</v>
      </c>
      <c r="C233" t="str">
        <f t="shared" si="16"/>
        <v>N.A.</v>
      </c>
      <c r="D233" s="2" t="s">
        <v>6</v>
      </c>
      <c r="E233" s="19">
        <v>106.39388821264373</v>
      </c>
      <c r="F233" s="19">
        <v>122.96476592108021</v>
      </c>
      <c r="G233" s="19">
        <v>139.61157660782987</v>
      </c>
      <c r="H233" s="19">
        <v>82.202472090330303</v>
      </c>
      <c r="I233" s="19">
        <v>73.596508214999687</v>
      </c>
      <c r="J233" s="19">
        <v>48.088496891215179</v>
      </c>
      <c r="K233" s="19">
        <v>55.263078266677468</v>
      </c>
      <c r="L233" s="19">
        <v>73.114496536582649</v>
      </c>
      <c r="M233" s="19">
        <v>123.16047767751013</v>
      </c>
      <c r="N233" s="19">
        <v>169.73195993262223</v>
      </c>
      <c r="O233" s="19">
        <v>180.81986473831421</v>
      </c>
      <c r="P233" s="19">
        <v>208.38633345091142</v>
      </c>
      <c r="Q233" s="19">
        <v>139.30209269909804</v>
      </c>
      <c r="R233" s="19">
        <v>148.8535980694875</v>
      </c>
      <c r="S233" s="19">
        <v>207.45026287349788</v>
      </c>
    </row>
    <row r="234" spans="1:23" x14ac:dyDescent="0.25">
      <c r="A234" s="166" t="s">
        <v>124</v>
      </c>
      <c r="B234" t="s">
        <v>5</v>
      </c>
      <c r="C234">
        <f t="shared" si="16"/>
        <v>0</v>
      </c>
      <c r="D234" s="2" t="s">
        <v>6</v>
      </c>
      <c r="E234" s="19"/>
      <c r="F234" s="19"/>
      <c r="G234" s="19"/>
      <c r="H234" s="19"/>
      <c r="I234" s="19"/>
      <c r="J234" s="19"/>
      <c r="K234" s="19"/>
      <c r="L234" s="19"/>
      <c r="M234" s="19"/>
      <c r="N234" s="19"/>
      <c r="O234" s="19"/>
      <c r="P234" s="19"/>
      <c r="Q234" s="19"/>
      <c r="R234" s="19"/>
      <c r="S234" s="19"/>
    </row>
    <row r="235" spans="1:23" x14ac:dyDescent="0.25">
      <c r="A235" s="166" t="s">
        <v>125</v>
      </c>
      <c r="B235" t="s">
        <v>5</v>
      </c>
      <c r="C235">
        <f t="shared" si="16"/>
        <v>0</v>
      </c>
      <c r="D235" s="2" t="s">
        <v>6</v>
      </c>
      <c r="E235" s="19"/>
      <c r="F235" s="19"/>
      <c r="G235" s="19"/>
      <c r="H235" s="19"/>
      <c r="I235" s="19"/>
      <c r="J235" s="19"/>
      <c r="K235" s="19"/>
      <c r="L235" s="19"/>
      <c r="M235" s="19"/>
      <c r="N235" s="19"/>
      <c r="O235" s="19"/>
      <c r="P235" s="19"/>
      <c r="Q235" s="19"/>
      <c r="R235" s="19"/>
      <c r="S235" s="19"/>
    </row>
    <row r="236" spans="1:23" x14ac:dyDescent="0.25">
      <c r="A236" s="166" t="s">
        <v>130</v>
      </c>
      <c r="B236" t="s">
        <v>5</v>
      </c>
      <c r="C236" t="str">
        <f t="shared" si="16"/>
        <v>N.A.</v>
      </c>
      <c r="D236" s="2" t="s">
        <v>6</v>
      </c>
      <c r="E236" s="19"/>
      <c r="F236" s="19"/>
      <c r="G236" s="19"/>
      <c r="H236" s="19"/>
      <c r="I236" s="19"/>
      <c r="J236" s="19"/>
      <c r="K236" s="19"/>
      <c r="L236" s="19"/>
      <c r="M236" s="19"/>
      <c r="N236" s="19"/>
      <c r="O236" s="19"/>
      <c r="P236" s="19"/>
      <c r="Q236" s="19"/>
      <c r="R236" s="19"/>
      <c r="S236" s="19">
        <v>419.60522952374492</v>
      </c>
    </row>
    <row r="237" spans="1:23" x14ac:dyDescent="0.25">
      <c r="A237" s="166" t="s">
        <v>131</v>
      </c>
      <c r="B237" t="s">
        <v>5</v>
      </c>
      <c r="C237" t="str">
        <f t="shared" si="16"/>
        <v>N.A.</v>
      </c>
      <c r="D237" s="2" t="s">
        <v>6</v>
      </c>
      <c r="E237" s="19"/>
      <c r="F237" s="19"/>
      <c r="G237" s="19"/>
      <c r="H237" s="19"/>
      <c r="I237" s="19"/>
      <c r="J237" s="19"/>
      <c r="K237" s="19"/>
      <c r="L237" s="19"/>
      <c r="M237" s="19"/>
      <c r="N237" s="19"/>
      <c r="O237" s="19"/>
      <c r="P237" s="19"/>
      <c r="Q237" s="19"/>
      <c r="R237" s="19"/>
      <c r="S237" s="19">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6" t="s">
        <v>111</v>
      </c>
      <c r="B240" t="s">
        <v>5</v>
      </c>
      <c r="C240" t="str">
        <f t="shared" ref="C240:C251" si="17">IF(SUMPRODUCT(--(E240:W240&lt;&gt;""))=0,0,"N.A.")</f>
        <v>N.A.</v>
      </c>
      <c r="D240" s="2" t="s">
        <v>6</v>
      </c>
      <c r="E240" s="20">
        <v>1.5392676223437942</v>
      </c>
      <c r="F240" s="20">
        <v>1.6429032107823092</v>
      </c>
      <c r="G240" s="20">
        <v>1.602750039656228</v>
      </c>
      <c r="H240" s="20">
        <v>1.8816740856994973</v>
      </c>
      <c r="I240" s="20">
        <v>2.0083098169657645</v>
      </c>
      <c r="J240" s="20">
        <v>3.3183515508757933</v>
      </c>
      <c r="K240" s="20">
        <v>4.3967150311109764</v>
      </c>
      <c r="L240" s="20">
        <v>10.815250519132618</v>
      </c>
      <c r="M240" s="20">
        <v>7.9830411134153749</v>
      </c>
      <c r="N240" s="20">
        <v>1.2525920375074791</v>
      </c>
      <c r="O240" s="20">
        <v>5.6878277248343307</v>
      </c>
      <c r="P240" s="20">
        <v>11.600142776610163</v>
      </c>
      <c r="Q240" s="20">
        <v>1.2723906181692848</v>
      </c>
      <c r="R240" s="20">
        <v>7.7226515084071163</v>
      </c>
      <c r="S240" s="20">
        <v>3.4714760125061899</v>
      </c>
    </row>
    <row r="241" spans="1:23" x14ac:dyDescent="0.25">
      <c r="A241" s="166" t="s">
        <v>113</v>
      </c>
      <c r="B241" t="s">
        <v>5</v>
      </c>
      <c r="C241" t="str">
        <f t="shared" si="17"/>
        <v>N.A.</v>
      </c>
      <c r="D241" s="2" t="s">
        <v>6</v>
      </c>
      <c r="E241" s="20">
        <v>3.2711179401491512</v>
      </c>
      <c r="F241" s="20">
        <v>3.5961135827646897</v>
      </c>
      <c r="G241" s="20">
        <v>3.656362879621573</v>
      </c>
      <c r="H241" s="20">
        <v>3.1495143711063274</v>
      </c>
      <c r="I241" s="20">
        <v>4.3391998945523946</v>
      </c>
      <c r="J241" s="20">
        <v>5.0132888218912548</v>
      </c>
      <c r="K241" s="20">
        <v>5.8424314310788175</v>
      </c>
      <c r="L241" s="20">
        <v>14.193085660515782</v>
      </c>
      <c r="M241" s="20">
        <v>3.9915205567076875</v>
      </c>
      <c r="N241" s="20">
        <v>8.3506135833831969</v>
      </c>
      <c r="O241" s="20">
        <v>4.9768492592300406</v>
      </c>
      <c r="P241" s="20">
        <v>10.208125643416949</v>
      </c>
      <c r="Q241" s="20">
        <v>4.1108004587007665</v>
      </c>
      <c r="R241" s="20">
        <v>5.7637543207173971</v>
      </c>
      <c r="S241" s="20">
        <v>16.026096563131748</v>
      </c>
    </row>
    <row r="242" spans="1:23" x14ac:dyDescent="0.25">
      <c r="A242" s="166" t="s">
        <v>115</v>
      </c>
      <c r="B242" t="s">
        <v>5</v>
      </c>
      <c r="C242" t="str">
        <f t="shared" si="17"/>
        <v>N.A.</v>
      </c>
      <c r="D242" s="2" t="s">
        <v>6</v>
      </c>
      <c r="E242" s="20">
        <v>38.528614782865283</v>
      </c>
      <c r="F242" s="20">
        <v>42.370436068821711</v>
      </c>
      <c r="G242" s="20">
        <v>46.997671735282736</v>
      </c>
      <c r="H242" s="20">
        <v>54.487048289333757</v>
      </c>
      <c r="I242" s="20">
        <v>61.56104344956502</v>
      </c>
      <c r="J242" s="20">
        <v>64.993397520830811</v>
      </c>
      <c r="K242" s="20">
        <v>38.371892510653332</v>
      </c>
      <c r="L242" s="20">
        <v>68.855293145503467</v>
      </c>
      <c r="M242" s="20">
        <v>117.63523269774292</v>
      </c>
      <c r="N242" s="20">
        <v>181.48757229158687</v>
      </c>
      <c r="O242" s="20">
        <v>118.4266729763866</v>
      </c>
      <c r="P242" s="20">
        <v>33.444844678871043</v>
      </c>
      <c r="Q242" s="20">
        <v>36.390090629505011</v>
      </c>
      <c r="R242" s="20">
        <v>53.895390944411695</v>
      </c>
      <c r="S242" s="20">
        <v>102.87612837700402</v>
      </c>
    </row>
    <row r="243" spans="1:23" x14ac:dyDescent="0.25">
      <c r="A243" s="166" t="s">
        <v>117</v>
      </c>
      <c r="B243" t="s">
        <v>5</v>
      </c>
      <c r="C243" t="str">
        <f t="shared" si="17"/>
        <v>N.A.</v>
      </c>
      <c r="D243" s="2" t="s">
        <v>6</v>
      </c>
      <c r="E243" s="20">
        <v>1.1051752371857659</v>
      </c>
      <c r="F243" s="20">
        <v>1.2180368268567614</v>
      </c>
      <c r="G243" s="20">
        <v>1.2762467920127638</v>
      </c>
      <c r="H243" s="20">
        <v>1.4954143441941941</v>
      </c>
      <c r="I243" s="20">
        <v>1.9133089345162904</v>
      </c>
      <c r="J243" s="20">
        <v>1.9483786299825268</v>
      </c>
      <c r="K243" s="20">
        <v>1.792536358125226</v>
      </c>
      <c r="L243" s="20">
        <v>2.0130702279533477</v>
      </c>
      <c r="M243" s="20">
        <v>3.991520556707687</v>
      </c>
      <c r="N243" s="20">
        <v>1.2288086443902486</v>
      </c>
      <c r="O243" s="20">
        <v>1.3927506008157671</v>
      </c>
      <c r="P243" s="20">
        <v>1.1600142776610163</v>
      </c>
      <c r="Q243" s="20">
        <v>0.74615499213630898</v>
      </c>
      <c r="R243" s="20">
        <v>2.3953637402711498</v>
      </c>
      <c r="S243" s="20">
        <v>5.5543616200099031</v>
      </c>
    </row>
    <row r="244" spans="1:23" x14ac:dyDescent="0.25">
      <c r="A244" s="166" t="s">
        <v>119</v>
      </c>
      <c r="B244" t="s">
        <v>5</v>
      </c>
      <c r="C244" t="str">
        <f t="shared" si="17"/>
        <v>N.A.</v>
      </c>
      <c r="D244" s="2" t="s">
        <v>6</v>
      </c>
      <c r="E244" s="20">
        <v>9.8905077118769391</v>
      </c>
      <c r="F244" s="20">
        <v>16.719722183321391</v>
      </c>
      <c r="G244" s="20">
        <v>16.915499609742309</v>
      </c>
      <c r="H244" s="20">
        <v>22.629212110538138</v>
      </c>
      <c r="I244" s="20">
        <v>23.13426062346873</v>
      </c>
      <c r="J244" s="20">
        <v>24.025172514788913</v>
      </c>
      <c r="K244" s="20">
        <v>33.144512115876537</v>
      </c>
      <c r="L244" s="20">
        <v>144.48391829610523</v>
      </c>
      <c r="M244" s="20">
        <v>140.52790046978814</v>
      </c>
      <c r="N244" s="20">
        <v>86.401322677354443</v>
      </c>
      <c r="O244" s="20">
        <v>4.9768492592300415</v>
      </c>
      <c r="P244" s="20">
        <v>225.93390708107421</v>
      </c>
      <c r="Q244" s="20">
        <v>159.40815350242212</v>
      </c>
      <c r="R244" s="20">
        <v>434.30146149169946</v>
      </c>
      <c r="S244" s="20">
        <v>630.99238271571483</v>
      </c>
    </row>
    <row r="245" spans="1:23" x14ac:dyDescent="0.25">
      <c r="A245" s="166" t="s">
        <v>121</v>
      </c>
      <c r="B245" t="s">
        <v>5</v>
      </c>
      <c r="C245" t="str">
        <f t="shared" si="17"/>
        <v>N.A.</v>
      </c>
      <c r="D245" s="2" t="s">
        <v>6</v>
      </c>
      <c r="E245" s="20">
        <v>0.13765404512083404</v>
      </c>
      <c r="F245" s="20">
        <v>0.16003295293191155</v>
      </c>
      <c r="G245" s="20">
        <v>0.17253818133739535</v>
      </c>
      <c r="H245" s="20">
        <v>0.22183928731374436</v>
      </c>
      <c r="I245" s="20">
        <v>0.35228742166061439</v>
      </c>
      <c r="J245" s="20">
        <v>0.46463397736809436</v>
      </c>
      <c r="K245" s="20">
        <v>0.63889721696682988</v>
      </c>
      <c r="L245" s="20">
        <v>0.57794560777774695</v>
      </c>
      <c r="M245" s="20">
        <v>1.252681547917655</v>
      </c>
      <c r="N245" s="20">
        <v>1.4330533850077822</v>
      </c>
      <c r="O245" s="20">
        <v>4.4263493748954055</v>
      </c>
      <c r="P245" s="20">
        <v>1.7340437369620101</v>
      </c>
      <c r="Q245" s="20">
        <v>1.2723906181692848</v>
      </c>
      <c r="R245" s="20">
        <v>2.2903467737109362</v>
      </c>
      <c r="S245" s="20">
        <v>5.5543616200099031</v>
      </c>
    </row>
    <row r="246" spans="1:23" x14ac:dyDescent="0.25">
      <c r="A246" s="166" t="s">
        <v>128</v>
      </c>
      <c r="B246" t="s">
        <v>5</v>
      </c>
      <c r="C246">
        <f t="shared" si="17"/>
        <v>0</v>
      </c>
      <c r="D246" s="2" t="s">
        <v>6</v>
      </c>
    </row>
    <row r="247" spans="1:23" x14ac:dyDescent="0.25">
      <c r="A247" s="166" t="s">
        <v>132</v>
      </c>
      <c r="B247" t="s">
        <v>5</v>
      </c>
      <c r="C247">
        <f t="shared" si="17"/>
        <v>0</v>
      </c>
      <c r="D247" s="2" t="s">
        <v>6</v>
      </c>
    </row>
    <row r="248" spans="1:23" x14ac:dyDescent="0.25">
      <c r="A248" s="166" t="s">
        <v>124</v>
      </c>
      <c r="B248" t="s">
        <v>5</v>
      </c>
      <c r="C248">
        <f t="shared" si="17"/>
        <v>0</v>
      </c>
      <c r="D248" s="2" t="s">
        <v>6</v>
      </c>
    </row>
    <row r="249" spans="1:23" x14ac:dyDescent="0.25">
      <c r="A249" s="166" t="s">
        <v>125</v>
      </c>
      <c r="B249" t="s">
        <v>5</v>
      </c>
      <c r="C249">
        <f t="shared" si="17"/>
        <v>0</v>
      </c>
      <c r="D249" s="2" t="s">
        <v>6</v>
      </c>
    </row>
    <row r="250" spans="1:23" x14ac:dyDescent="0.25">
      <c r="A250" s="166" t="s">
        <v>130</v>
      </c>
      <c r="B250" t="s">
        <v>5</v>
      </c>
      <c r="C250" t="str">
        <f t="shared" si="17"/>
        <v>N.A.</v>
      </c>
      <c r="D250" s="2" t="s">
        <v>6</v>
      </c>
      <c r="S250" s="21">
        <v>12.396579506122848</v>
      </c>
    </row>
    <row r="251" spans="1:23" x14ac:dyDescent="0.25">
      <c r="A251" s="166" t="s">
        <v>131</v>
      </c>
      <c r="B251" t="s">
        <v>5</v>
      </c>
      <c r="C251" t="str">
        <f t="shared" si="17"/>
        <v>N.A.</v>
      </c>
      <c r="D251" s="2" t="s">
        <v>6</v>
      </c>
      <c r="S251" s="21">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6" t="s">
        <v>111</v>
      </c>
      <c r="B254" t="s">
        <v>5</v>
      </c>
      <c r="C254" t="str">
        <f t="shared" ref="C254:C265" si="18">IF(SUMPRODUCT(--(E254:W254&lt;&gt;""))=0,0,"N.A.")</f>
        <v>N.A.</v>
      </c>
      <c r="D254" s="2" t="s">
        <v>6</v>
      </c>
      <c r="P254">
        <v>0</v>
      </c>
      <c r="Q254">
        <v>1</v>
      </c>
      <c r="R254">
        <v>0</v>
      </c>
    </row>
    <row r="255" spans="1:23" x14ac:dyDescent="0.25">
      <c r="A255" s="166" t="s">
        <v>113</v>
      </c>
      <c r="B255" t="s">
        <v>5</v>
      </c>
      <c r="C255" t="str">
        <f t="shared" si="18"/>
        <v>N.A.</v>
      </c>
      <c r="D255" s="2" t="s">
        <v>6</v>
      </c>
      <c r="K255">
        <v>0</v>
      </c>
      <c r="L255">
        <v>1</v>
      </c>
      <c r="M255">
        <v>0</v>
      </c>
    </row>
    <row r="256" spans="1:23" x14ac:dyDescent="0.25">
      <c r="A256" s="166" t="s">
        <v>115</v>
      </c>
      <c r="B256" t="s">
        <v>5</v>
      </c>
      <c r="C256" t="str">
        <f t="shared" si="18"/>
        <v>N.A.</v>
      </c>
      <c r="D256" s="2" t="s">
        <v>6</v>
      </c>
      <c r="E256" s="22">
        <v>2.7271188851172354</v>
      </c>
      <c r="F256" s="22">
        <v>2.9724171083982047</v>
      </c>
      <c r="G256" s="22">
        <v>3.1002521347406704</v>
      </c>
      <c r="H256" s="22">
        <v>3.455236384017923</v>
      </c>
      <c r="I256" s="22">
        <v>3.7618318304221479</v>
      </c>
      <c r="J256" s="22">
        <v>3.9658262443144352</v>
      </c>
      <c r="K256" s="22">
        <v>2.3573281212945023</v>
      </c>
      <c r="L256" s="22">
        <v>6.4360272495994275</v>
      </c>
      <c r="M256" s="22">
        <v>6.0590180151785624</v>
      </c>
      <c r="N256" s="22">
        <v>4.3965623652684167</v>
      </c>
      <c r="O256" s="22">
        <v>4.0808762403674166</v>
      </c>
      <c r="P256" s="22">
        <v>3.4800428329830497</v>
      </c>
      <c r="Q256" s="22">
        <v>4.4533671635924978</v>
      </c>
      <c r="R256" s="22">
        <v>3.1922331622434816</v>
      </c>
      <c r="S256" s="22">
        <v>3.7029077466732683</v>
      </c>
    </row>
    <row r="257" spans="1:23" x14ac:dyDescent="0.25">
      <c r="A257" s="166" t="s">
        <v>117</v>
      </c>
      <c r="B257" t="s">
        <v>5</v>
      </c>
      <c r="C257" t="str">
        <f t="shared" si="18"/>
        <v>N.A.</v>
      </c>
      <c r="D257" s="2" t="s">
        <v>6</v>
      </c>
      <c r="J257">
        <v>0</v>
      </c>
      <c r="K257">
        <v>0</v>
      </c>
      <c r="N257">
        <v>0</v>
      </c>
      <c r="O257">
        <v>1</v>
      </c>
      <c r="P257">
        <v>1</v>
      </c>
      <c r="Q257">
        <v>0</v>
      </c>
    </row>
    <row r="258" spans="1:23" x14ac:dyDescent="0.25">
      <c r="A258" s="166" t="s">
        <v>119</v>
      </c>
      <c r="B258" t="s">
        <v>5</v>
      </c>
      <c r="C258" t="str">
        <f t="shared" si="18"/>
        <v>N.A.</v>
      </c>
      <c r="D258" s="2" t="s">
        <v>6</v>
      </c>
      <c r="E258" s="23">
        <v>4.7900075728704206</v>
      </c>
      <c r="F258" s="23">
        <v>5.1485725593844318</v>
      </c>
      <c r="G258" s="23">
        <v>5.2251901530683345</v>
      </c>
      <c r="H258" s="23">
        <v>5.8263392888977865</v>
      </c>
      <c r="I258" s="23">
        <v>6.6175986639520321</v>
      </c>
      <c r="J258" s="23">
        <v>7.2048578523456284</v>
      </c>
      <c r="K258" s="23">
        <v>10.617954398796073</v>
      </c>
      <c r="L258" s="23">
        <v>13.310874538944274</v>
      </c>
      <c r="M258" s="23">
        <v>4.7261612535959312</v>
      </c>
      <c r="N258" s="23">
        <v>9.0928903463505897</v>
      </c>
      <c r="O258" s="23">
        <v>15.355159916870466</v>
      </c>
      <c r="P258" s="23">
        <v>12.528154198738978</v>
      </c>
      <c r="Q258" s="23">
        <v>9.4306598758429363</v>
      </c>
      <c r="R258" s="23">
        <v>8.7060904424822212</v>
      </c>
      <c r="S258" s="23">
        <v>3.193757931505695</v>
      </c>
    </row>
    <row r="259" spans="1:23" x14ac:dyDescent="0.25">
      <c r="A259" s="166" t="s">
        <v>121</v>
      </c>
      <c r="B259" t="s">
        <v>5</v>
      </c>
      <c r="C259">
        <f t="shared" si="18"/>
        <v>0</v>
      </c>
      <c r="D259" s="2" t="s">
        <v>6</v>
      </c>
    </row>
    <row r="260" spans="1:23" x14ac:dyDescent="0.25">
      <c r="A260" s="166" t="s">
        <v>128</v>
      </c>
      <c r="B260" t="s">
        <v>5</v>
      </c>
      <c r="C260">
        <f t="shared" si="18"/>
        <v>0</v>
      </c>
      <c r="D260" s="2" t="s">
        <v>6</v>
      </c>
    </row>
    <row r="261" spans="1:23" x14ac:dyDescent="0.25">
      <c r="A261" s="166" t="s">
        <v>132</v>
      </c>
      <c r="B261" t="s">
        <v>5</v>
      </c>
      <c r="C261">
        <f t="shared" si="18"/>
        <v>0</v>
      </c>
      <c r="D261" s="2" t="s">
        <v>6</v>
      </c>
    </row>
    <row r="262" spans="1:23" x14ac:dyDescent="0.25">
      <c r="A262" s="166" t="s">
        <v>124</v>
      </c>
      <c r="B262" t="s">
        <v>5</v>
      </c>
      <c r="C262">
        <f t="shared" si="18"/>
        <v>0</v>
      </c>
      <c r="D262" s="2" t="s">
        <v>6</v>
      </c>
    </row>
    <row r="263" spans="1:23" x14ac:dyDescent="0.25">
      <c r="A263" s="166" t="s">
        <v>125</v>
      </c>
      <c r="B263" t="s">
        <v>5</v>
      </c>
      <c r="C263">
        <f t="shared" si="18"/>
        <v>0</v>
      </c>
      <c r="D263" s="2" t="s">
        <v>6</v>
      </c>
    </row>
    <row r="264" spans="1:23" x14ac:dyDescent="0.25">
      <c r="A264" s="166" t="s">
        <v>130</v>
      </c>
      <c r="B264" t="s">
        <v>5</v>
      </c>
      <c r="C264" t="str">
        <f t="shared" si="18"/>
        <v>N.A.</v>
      </c>
      <c r="D264" s="2" t="s">
        <v>6</v>
      </c>
      <c r="S264" s="24">
        <v>1.1019181783220311</v>
      </c>
    </row>
    <row r="265" spans="1:23" x14ac:dyDescent="0.25">
      <c r="A265" s="166" t="s">
        <v>131</v>
      </c>
      <c r="B265" t="s">
        <v>5</v>
      </c>
      <c r="C265" t="str">
        <f t="shared" si="18"/>
        <v>N.A.</v>
      </c>
      <c r="D265" s="2" t="s">
        <v>6</v>
      </c>
      <c r="S265" s="24">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6" t="s">
        <v>111</v>
      </c>
      <c r="B268" t="s">
        <v>5</v>
      </c>
      <c r="C268" t="str">
        <f t="shared" ref="C268:C279" si="19">IF(SUMPRODUCT(--(E268:W268&lt;&gt;""))=0,0,"N.A.")</f>
        <v>N.A.</v>
      </c>
      <c r="D268" s="2" t="s">
        <v>6</v>
      </c>
      <c r="E268" s="7">
        <v>3433.2956319999998</v>
      </c>
      <c r="F268" s="7">
        <v>3971.172564</v>
      </c>
      <c r="G268" s="7">
        <v>4508.3745339999996</v>
      </c>
      <c r="H268" s="7">
        <v>4927.1933520000002</v>
      </c>
      <c r="I268" s="7">
        <v>4469.2829970000003</v>
      </c>
      <c r="J268" s="7">
        <v>4838.1745030000002</v>
      </c>
      <c r="K268" s="7">
        <v>4889.7895660000004</v>
      </c>
      <c r="L268" s="7">
        <v>4249.5070180000002</v>
      </c>
      <c r="M268" s="7">
        <v>2689.0802859999999</v>
      </c>
      <c r="N268" s="7">
        <v>1844.9665669999999</v>
      </c>
      <c r="O268" s="7">
        <v>1526.0076979999999</v>
      </c>
      <c r="P268" s="7">
        <v>1768.5359539999999</v>
      </c>
      <c r="Q268" s="7">
        <v>1582.507159</v>
      </c>
      <c r="R268" s="7">
        <v>1668.025527</v>
      </c>
      <c r="S268" s="7">
        <v>1431.0677069999999</v>
      </c>
    </row>
    <row r="269" spans="1:23" x14ac:dyDescent="0.25">
      <c r="A269" s="166" t="s">
        <v>113</v>
      </c>
      <c r="B269" t="s">
        <v>5</v>
      </c>
      <c r="C269" t="str">
        <f t="shared" si="19"/>
        <v>N.A.</v>
      </c>
      <c r="D269" s="2" t="s">
        <v>6</v>
      </c>
      <c r="E269" s="7">
        <v>1527.314185</v>
      </c>
      <c r="F269" s="7">
        <v>1766.5907159999999</v>
      </c>
      <c r="G269" s="7">
        <v>2005.5669869999999</v>
      </c>
      <c r="H269" s="7">
        <v>2421.3597890000001</v>
      </c>
      <c r="I269" s="7">
        <v>2472.3170030000001</v>
      </c>
      <c r="J269" s="7">
        <v>2519.1061</v>
      </c>
      <c r="K269" s="7">
        <v>2282.1311580000001</v>
      </c>
      <c r="L269" s="7">
        <v>2351.5165750000001</v>
      </c>
      <c r="M269" s="7">
        <v>1923.7887069999999</v>
      </c>
      <c r="N269" s="7">
        <v>1585.3074670000001</v>
      </c>
      <c r="O269" s="7">
        <v>1166.1778440000001</v>
      </c>
      <c r="P269" s="7">
        <v>1216.5629369999999</v>
      </c>
      <c r="Q269" s="7">
        <v>1161.3392490000001</v>
      </c>
      <c r="R269" s="7">
        <v>917.90179750000004</v>
      </c>
      <c r="S269" s="7">
        <v>680.9075785</v>
      </c>
    </row>
    <row r="270" spans="1:23" x14ac:dyDescent="0.25">
      <c r="A270" s="166" t="s">
        <v>115</v>
      </c>
      <c r="B270" t="s">
        <v>5</v>
      </c>
      <c r="C270" t="str">
        <f t="shared" si="19"/>
        <v>N.A.</v>
      </c>
      <c r="D270" s="2" t="s">
        <v>6</v>
      </c>
      <c r="E270" s="7">
        <v>5366.92922</v>
      </c>
      <c r="F270" s="7">
        <v>6207.7386720000004</v>
      </c>
      <c r="G270" s="7">
        <v>7047.4930249999998</v>
      </c>
      <c r="H270" s="7">
        <v>7814.5535630000004</v>
      </c>
      <c r="I270" s="7">
        <v>8512.5166969999991</v>
      </c>
      <c r="J270" s="7">
        <v>8900.1841659999991</v>
      </c>
      <c r="K270" s="7">
        <v>11109.5844</v>
      </c>
      <c r="L270" s="7">
        <v>12011.0715</v>
      </c>
      <c r="M270" s="7">
        <v>12043.16387</v>
      </c>
      <c r="N270" s="7">
        <v>12007.358850000001</v>
      </c>
      <c r="O270" s="7">
        <v>10834.812470000001</v>
      </c>
      <c r="P270" s="7">
        <v>10557.664280000001</v>
      </c>
      <c r="Q270" s="7">
        <v>11216.92691</v>
      </c>
      <c r="R270" s="7">
        <v>10800.484829999999</v>
      </c>
      <c r="S270" s="7">
        <v>10234.81566</v>
      </c>
    </row>
    <row r="271" spans="1:23" x14ac:dyDescent="0.25">
      <c r="A271" s="166" t="s">
        <v>117</v>
      </c>
      <c r="B271" t="s">
        <v>5</v>
      </c>
      <c r="C271" t="str">
        <f t="shared" si="19"/>
        <v>N.A.</v>
      </c>
      <c r="D271" s="2" t="s">
        <v>6</v>
      </c>
      <c r="E271" s="7">
        <v>368.63412899999997</v>
      </c>
      <c r="F271" s="7">
        <v>426.38615959999998</v>
      </c>
      <c r="G271" s="7">
        <v>484.06571930000001</v>
      </c>
      <c r="H271" s="7">
        <v>557.01951929999996</v>
      </c>
      <c r="I271" s="7">
        <v>461.3847887</v>
      </c>
      <c r="J271" s="7">
        <v>579.22366</v>
      </c>
      <c r="K271" s="7">
        <v>566.30354420000003</v>
      </c>
      <c r="L271" s="7">
        <v>624.83256340000003</v>
      </c>
      <c r="M271" s="7">
        <v>483.79927889999999</v>
      </c>
      <c r="N271" s="7">
        <v>578.78045329999998</v>
      </c>
      <c r="O271" s="7">
        <v>759.95232610000005</v>
      </c>
      <c r="P271" s="7">
        <v>512.6636148</v>
      </c>
      <c r="Q271" s="7">
        <v>602.47980680000001</v>
      </c>
      <c r="R271" s="7">
        <v>543.18388010000001</v>
      </c>
      <c r="S271" s="7">
        <v>490.79258390000001</v>
      </c>
    </row>
    <row r="272" spans="1:23" x14ac:dyDescent="0.25">
      <c r="A272" s="166" t="s">
        <v>119</v>
      </c>
      <c r="B272" t="s">
        <v>5</v>
      </c>
      <c r="C272" t="str">
        <f t="shared" si="19"/>
        <v>N.A.</v>
      </c>
      <c r="D272" s="2" t="s">
        <v>6</v>
      </c>
      <c r="E272" s="7">
        <v>28825.458610000001</v>
      </c>
      <c r="F272" s="7">
        <v>33341.39632</v>
      </c>
      <c r="G272" s="7">
        <v>37851.667159999997</v>
      </c>
      <c r="H272" s="7">
        <v>41980.767180000003</v>
      </c>
      <c r="I272" s="7">
        <v>45728.299099999997</v>
      </c>
      <c r="J272" s="7">
        <v>47812.504760000003</v>
      </c>
      <c r="K272" s="7">
        <v>45332.23545</v>
      </c>
      <c r="L272" s="7">
        <v>46320.47507</v>
      </c>
      <c r="M272" s="7">
        <v>43064.373440000003</v>
      </c>
      <c r="N272" s="7">
        <v>41314.145909999999</v>
      </c>
      <c r="O272" s="7">
        <v>36874.422509999997</v>
      </c>
      <c r="P272" s="7">
        <v>32961.122649999998</v>
      </c>
      <c r="Q272" s="7">
        <v>32316.595270000002</v>
      </c>
      <c r="R272" s="7">
        <v>29274.683499999999</v>
      </c>
      <c r="S272" s="7">
        <v>25243.96744</v>
      </c>
    </row>
    <row r="273" spans="1:23" x14ac:dyDescent="0.25">
      <c r="A273" s="166" t="s">
        <v>121</v>
      </c>
      <c r="B273" t="s">
        <v>5</v>
      </c>
      <c r="C273" t="str">
        <f t="shared" si="19"/>
        <v>N.A.</v>
      </c>
      <c r="D273" s="2" t="s">
        <v>6</v>
      </c>
      <c r="E273" s="7">
        <v>173.11258309999999</v>
      </c>
      <c r="F273" s="7">
        <v>200.23324940000001</v>
      </c>
      <c r="G273" s="7">
        <v>227.31988290000001</v>
      </c>
      <c r="H273" s="7">
        <v>261.57938250000001</v>
      </c>
      <c r="I273" s="7">
        <v>216.66879510000001</v>
      </c>
      <c r="J273" s="7">
        <v>272.00656720000001</v>
      </c>
      <c r="K273" s="7">
        <v>265.93921080000001</v>
      </c>
      <c r="L273" s="7">
        <v>164.6977382</v>
      </c>
      <c r="M273" s="7">
        <v>346.52284880000002</v>
      </c>
      <c r="N273" s="7">
        <v>199.40660500000001</v>
      </c>
      <c r="O273" s="7">
        <v>644.46600409999996</v>
      </c>
      <c r="P273" s="7">
        <v>213.92639260000001</v>
      </c>
      <c r="Q273" s="7">
        <v>189.8454198</v>
      </c>
      <c r="R273" s="7">
        <v>178.43937149999999</v>
      </c>
      <c r="S273" s="7">
        <v>175.75911339999999</v>
      </c>
    </row>
    <row r="274" spans="1:23" x14ac:dyDescent="0.25">
      <c r="A274" s="166" t="s">
        <v>128</v>
      </c>
      <c r="B274" t="s">
        <v>5</v>
      </c>
      <c r="C274" t="str">
        <f t="shared" si="19"/>
        <v>N.A.</v>
      </c>
      <c r="D274" s="2" t="s">
        <v>6</v>
      </c>
      <c r="E274" s="7">
        <v>230.283880275</v>
      </c>
      <c r="F274" s="7">
        <v>266.36128224999999</v>
      </c>
      <c r="G274" s="7">
        <v>302.39341224999998</v>
      </c>
      <c r="H274" s="7">
        <v>273.99220324999999</v>
      </c>
      <c r="I274" s="7">
        <v>312.3633845</v>
      </c>
      <c r="J274" s="7">
        <v>328.043452</v>
      </c>
      <c r="K274" s="7">
        <v>305.33495525000001</v>
      </c>
      <c r="L274" s="7">
        <v>318.72088650000001</v>
      </c>
      <c r="M274" s="7">
        <v>328.75055349999997</v>
      </c>
      <c r="N274" s="7">
        <v>437.83455674999999</v>
      </c>
      <c r="O274" s="7">
        <v>438.36049174999999</v>
      </c>
      <c r="P274" s="7">
        <v>400.37297475000003</v>
      </c>
      <c r="Q274" s="7">
        <v>327.84027049999997</v>
      </c>
      <c r="R274" s="7">
        <v>312.58845574999998</v>
      </c>
      <c r="S274" s="7">
        <v>247.56694984999999</v>
      </c>
    </row>
    <row r="275" spans="1:23" x14ac:dyDescent="0.25">
      <c r="A275" s="166" t="s">
        <v>132</v>
      </c>
      <c r="B275" t="s">
        <v>5</v>
      </c>
      <c r="C275" t="str">
        <f t="shared" si="19"/>
        <v>N.A.</v>
      </c>
      <c r="D275" s="2" t="s">
        <v>6</v>
      </c>
      <c r="E275" s="7">
        <v>513.47252330000003</v>
      </c>
      <c r="F275" s="7">
        <v>593.9156471</v>
      </c>
      <c r="G275" s="7">
        <v>674.25782579999998</v>
      </c>
      <c r="H275" s="7">
        <v>534.63083600000004</v>
      </c>
      <c r="I275" s="7">
        <v>696.48824349999995</v>
      </c>
      <c r="J275" s="7">
        <v>731.45067229999995</v>
      </c>
      <c r="K275" s="7">
        <v>649.14164779999999</v>
      </c>
      <c r="L275" s="7">
        <v>507.31787839999998</v>
      </c>
      <c r="M275" s="7">
        <v>583.47688579999999</v>
      </c>
      <c r="N275" s="7">
        <v>520.29756180000004</v>
      </c>
      <c r="O275" s="7">
        <v>411.19249430000002</v>
      </c>
      <c r="P275" s="7">
        <v>429.56422199999997</v>
      </c>
      <c r="Q275" s="7">
        <v>328.31473199999999</v>
      </c>
      <c r="R275" s="7">
        <v>235.81524970000001</v>
      </c>
      <c r="S275" s="7">
        <v>207.08076829999999</v>
      </c>
    </row>
    <row r="276" spans="1:23" x14ac:dyDescent="0.25">
      <c r="A276" s="166" t="s">
        <v>124</v>
      </c>
      <c r="B276" t="s">
        <v>5</v>
      </c>
      <c r="C276">
        <f t="shared" si="19"/>
        <v>0</v>
      </c>
      <c r="D276" s="2" t="s">
        <v>6</v>
      </c>
      <c r="E276" s="7"/>
      <c r="F276" s="7"/>
      <c r="G276" s="7"/>
      <c r="H276" s="7"/>
      <c r="I276" s="7"/>
      <c r="J276" s="7"/>
      <c r="K276" s="7"/>
      <c r="L276" s="7"/>
      <c r="M276" s="7"/>
      <c r="N276" s="7"/>
      <c r="O276" s="7"/>
      <c r="P276" s="7"/>
      <c r="Q276" s="7"/>
      <c r="R276" s="7"/>
      <c r="S276" s="7"/>
    </row>
    <row r="277" spans="1:23" x14ac:dyDescent="0.25">
      <c r="A277" s="166" t="s">
        <v>125</v>
      </c>
      <c r="B277" t="s">
        <v>5</v>
      </c>
      <c r="C277">
        <f t="shared" si="19"/>
        <v>0</v>
      </c>
      <c r="D277" s="2" t="s">
        <v>6</v>
      </c>
      <c r="E277" s="7"/>
      <c r="F277" s="7"/>
      <c r="G277" s="7"/>
      <c r="H277" s="7"/>
      <c r="I277" s="7"/>
      <c r="J277" s="7"/>
      <c r="K277" s="7"/>
      <c r="L277" s="7"/>
      <c r="M277" s="7"/>
      <c r="N277" s="7"/>
      <c r="O277" s="7"/>
      <c r="P277" s="7"/>
      <c r="Q277" s="7"/>
      <c r="R277" s="7"/>
      <c r="S277" s="7"/>
    </row>
    <row r="278" spans="1:23" x14ac:dyDescent="0.25">
      <c r="A278" s="166" t="s">
        <v>130</v>
      </c>
      <c r="B278" t="s">
        <v>5</v>
      </c>
      <c r="C278" t="str">
        <f t="shared" si="19"/>
        <v>N.A.</v>
      </c>
      <c r="D278" s="2" t="s">
        <v>6</v>
      </c>
      <c r="E278" s="7"/>
      <c r="F278" s="7"/>
      <c r="G278" s="7"/>
      <c r="H278" s="7"/>
      <c r="I278" s="7"/>
      <c r="J278" s="7"/>
      <c r="K278" s="7"/>
      <c r="L278" s="7"/>
      <c r="M278" s="7"/>
      <c r="N278" s="7"/>
      <c r="O278" s="7"/>
      <c r="P278" s="7"/>
      <c r="Q278" s="7"/>
      <c r="R278" s="7"/>
      <c r="S278" s="7">
        <v>461.0131171407761</v>
      </c>
    </row>
    <row r="279" spans="1:23" x14ac:dyDescent="0.25">
      <c r="A279" s="166" t="s">
        <v>131</v>
      </c>
      <c r="B279" t="s">
        <v>5</v>
      </c>
      <c r="C279" t="str">
        <f t="shared" si="19"/>
        <v>N.A.</v>
      </c>
      <c r="D279" s="2" t="s">
        <v>6</v>
      </c>
      <c r="E279" s="7"/>
      <c r="F279" s="7"/>
      <c r="G279" s="7"/>
      <c r="H279" s="7"/>
      <c r="I279" s="7"/>
      <c r="J279" s="7"/>
      <c r="K279" s="7"/>
      <c r="L279" s="7"/>
      <c r="M279" s="7"/>
      <c r="N279" s="7"/>
      <c r="O279" s="7"/>
      <c r="P279" s="7"/>
      <c r="Q279" s="7"/>
      <c r="R279" s="7"/>
      <c r="S279" s="7">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6" t="s">
        <v>111</v>
      </c>
      <c r="B282" t="s">
        <v>5</v>
      </c>
      <c r="C282" t="str">
        <f t="shared" ref="C282:C293" si="20">IF(SUMPRODUCT(--(E282:W282&lt;&gt;""))=0,0,"N.A.")</f>
        <v>N.A.</v>
      </c>
      <c r="D282" s="2" t="s">
        <v>6</v>
      </c>
      <c r="E282" s="8">
        <v>279.59857804087704</v>
      </c>
      <c r="F282" s="8">
        <v>323.14613440903986</v>
      </c>
      <c r="G282" s="8">
        <v>366.89323938962229</v>
      </c>
      <c r="H282" s="8">
        <v>438.52990611046511</v>
      </c>
      <c r="I282" s="8">
        <v>532.25993113954507</v>
      </c>
      <c r="J282" s="8">
        <v>950.7088789510783</v>
      </c>
      <c r="K282" s="8">
        <v>1639.6793215006237</v>
      </c>
      <c r="L282" s="8">
        <v>2199.2187973895461</v>
      </c>
      <c r="M282" s="8">
        <v>3049.7516694719729</v>
      </c>
      <c r="N282" s="8">
        <v>3356.4715394023688</v>
      </c>
      <c r="O282" s="8">
        <v>3406.8842459878933</v>
      </c>
      <c r="P282" s="8">
        <v>3398.0277884396469</v>
      </c>
      <c r="Q282" s="8">
        <v>3451.4701944466347</v>
      </c>
      <c r="R282" s="8">
        <v>3663.6648788787825</v>
      </c>
      <c r="S282" s="8">
        <v>3161.914175866651</v>
      </c>
    </row>
    <row r="283" spans="1:23" x14ac:dyDescent="0.25">
      <c r="A283" s="166" t="s">
        <v>113</v>
      </c>
      <c r="B283" t="s">
        <v>5</v>
      </c>
      <c r="C283" t="str">
        <f t="shared" si="20"/>
        <v>N.A.</v>
      </c>
      <c r="D283" s="2" t="s">
        <v>6</v>
      </c>
      <c r="E283" s="8">
        <v>160.85896110825823</v>
      </c>
      <c r="F283" s="8">
        <v>185.91278908288351</v>
      </c>
      <c r="G283" s="8">
        <v>211.08142158444647</v>
      </c>
      <c r="H283" s="8">
        <v>195.43416958284558</v>
      </c>
      <c r="I283" s="8">
        <v>301.32061608847192</v>
      </c>
      <c r="J283" s="8">
        <v>436.38889606910686</v>
      </c>
      <c r="K283" s="8">
        <v>587.16516535726726</v>
      </c>
      <c r="L283" s="8">
        <v>690.02094925176493</v>
      </c>
      <c r="M283" s="8">
        <v>1027.6948303193808</v>
      </c>
      <c r="N283" s="8">
        <v>1115.1385966314638</v>
      </c>
      <c r="O283" s="8">
        <v>1332.1127081158909</v>
      </c>
      <c r="P283" s="8">
        <v>1396.038516022445</v>
      </c>
      <c r="Q283" s="8">
        <v>1489.7513693848628</v>
      </c>
      <c r="R283" s="8">
        <v>1402.040166103835</v>
      </c>
      <c r="S283" s="8">
        <v>1276.0848937160401</v>
      </c>
    </row>
    <row r="284" spans="1:23" x14ac:dyDescent="0.25">
      <c r="A284" s="166" t="s">
        <v>115</v>
      </c>
      <c r="B284" t="s">
        <v>5</v>
      </c>
      <c r="C284" t="str">
        <f t="shared" si="20"/>
        <v>N.A.</v>
      </c>
      <c r="D284" s="2" t="s">
        <v>6</v>
      </c>
      <c r="E284" s="8">
        <v>312.79762048584377</v>
      </c>
      <c r="F284" s="8">
        <v>361.51593695719225</v>
      </c>
      <c r="G284" s="8">
        <v>410.4574960915524</v>
      </c>
      <c r="H284" s="8">
        <v>508.32930372228498</v>
      </c>
      <c r="I284" s="8">
        <v>634.48141359499516</v>
      </c>
      <c r="J284" s="8">
        <v>763.77106011647209</v>
      </c>
      <c r="K284" s="8">
        <v>528.74691632784595</v>
      </c>
      <c r="L284" s="8">
        <v>1300.3750648668572</v>
      </c>
      <c r="M284" s="8">
        <v>1750.5367049608469</v>
      </c>
      <c r="N284" s="8">
        <v>2228.2435593650439</v>
      </c>
      <c r="O284" s="8">
        <v>2535.1996529293042</v>
      </c>
      <c r="P284" s="8">
        <v>2792.3757830768391</v>
      </c>
      <c r="Q284" s="8">
        <v>3124.6915310041895</v>
      </c>
      <c r="R284" s="8">
        <v>4216.7450300042119</v>
      </c>
      <c r="S284" s="8">
        <v>5885.8165222782691</v>
      </c>
    </row>
    <row r="285" spans="1:23" x14ac:dyDescent="0.25">
      <c r="A285" s="166" t="s">
        <v>117</v>
      </c>
      <c r="B285" t="s">
        <v>5</v>
      </c>
      <c r="C285" t="str">
        <f t="shared" si="20"/>
        <v>N.A.</v>
      </c>
      <c r="D285" s="2" t="s">
        <v>6</v>
      </c>
      <c r="E285" s="8">
        <v>37.797604979410337</v>
      </c>
      <c r="F285" s="8">
        <v>43.68459247754339</v>
      </c>
      <c r="G285" s="8">
        <v>49.59855600566658</v>
      </c>
      <c r="H285" s="8">
        <v>64.086026826188572</v>
      </c>
      <c r="I285" s="8">
        <v>94.977839969866068</v>
      </c>
      <c r="J285" s="8">
        <v>116.12028351296753</v>
      </c>
      <c r="K285" s="8">
        <v>118.15878993967577</v>
      </c>
      <c r="L285" s="8">
        <v>174.77917698220483</v>
      </c>
      <c r="M285" s="8">
        <v>155.29724327316828</v>
      </c>
      <c r="N285" s="8">
        <v>296.87849875924928</v>
      </c>
      <c r="O285" s="8">
        <v>367.93889490176866</v>
      </c>
      <c r="P285" s="8">
        <v>338.05291678930934</v>
      </c>
      <c r="Q285" s="8">
        <v>399.1945143358858</v>
      </c>
      <c r="R285" s="8">
        <v>482.73572626140628</v>
      </c>
      <c r="S285" s="8">
        <v>689.55716837276611</v>
      </c>
    </row>
    <row r="286" spans="1:23" x14ac:dyDescent="0.25">
      <c r="A286" s="166" t="s">
        <v>119</v>
      </c>
      <c r="B286" t="s">
        <v>5</v>
      </c>
      <c r="C286" t="str">
        <f t="shared" si="20"/>
        <v>N.A.</v>
      </c>
      <c r="D286" s="2" t="s">
        <v>6</v>
      </c>
      <c r="E286" s="8">
        <v>2257.8647896180419</v>
      </c>
      <c r="F286" s="8">
        <v>2609.5278591748788</v>
      </c>
      <c r="G286" s="8">
        <v>2962.8023596229482</v>
      </c>
      <c r="H286" s="8">
        <v>3672.8831838132992</v>
      </c>
      <c r="I286" s="8">
        <v>4584.3827955043498</v>
      </c>
      <c r="J286" s="8">
        <v>5518.5523684025729</v>
      </c>
      <c r="K286" s="8">
        <v>8877.5999880283562</v>
      </c>
      <c r="L286" s="8">
        <v>8487.1764297663794</v>
      </c>
      <c r="M286" s="8">
        <v>12391.508298574334</v>
      </c>
      <c r="N286" s="8">
        <v>14905.987296697407</v>
      </c>
      <c r="O286" s="8">
        <v>19735.840877547191</v>
      </c>
      <c r="P286" s="8">
        <v>19046.44006064448</v>
      </c>
      <c r="Q286" s="8">
        <v>20120.868243313376</v>
      </c>
      <c r="R286" s="8">
        <v>23757.04370382665</v>
      </c>
      <c r="S286" s="8">
        <v>27446.247616314813</v>
      </c>
    </row>
    <row r="287" spans="1:23" x14ac:dyDescent="0.25">
      <c r="A287" s="166" t="s">
        <v>121</v>
      </c>
      <c r="B287" t="s">
        <v>5</v>
      </c>
      <c r="C287" t="str">
        <f t="shared" si="20"/>
        <v>N.A.</v>
      </c>
      <c r="D287" s="2" t="s">
        <v>6</v>
      </c>
      <c r="E287" s="8">
        <v>14.502172817746391</v>
      </c>
      <c r="F287" s="8">
        <v>16.760890271414265</v>
      </c>
      <c r="G287" s="8">
        <v>19.029957879518296</v>
      </c>
      <c r="H287" s="8">
        <v>24.588505984503165</v>
      </c>
      <c r="I287" s="8">
        <v>36.441066830810236</v>
      </c>
      <c r="J287" s="8">
        <v>44.552992711260224</v>
      </c>
      <c r="K287" s="8">
        <v>66.087675459755019</v>
      </c>
      <c r="L287" s="8">
        <v>68.024401331063871</v>
      </c>
      <c r="M287" s="8">
        <v>141.03474592360624</v>
      </c>
      <c r="N287" s="8">
        <v>123.18573290679288</v>
      </c>
      <c r="O287" s="8">
        <v>384.91895993681055</v>
      </c>
      <c r="P287" s="8">
        <v>199.07344595769845</v>
      </c>
      <c r="Q287" s="8">
        <v>214.86865143910956</v>
      </c>
      <c r="R287" s="8">
        <v>210.09296195752108</v>
      </c>
      <c r="S287" s="8">
        <v>349.73870467148993</v>
      </c>
    </row>
    <row r="288" spans="1:23" x14ac:dyDescent="0.25">
      <c r="A288" s="166" t="s">
        <v>128</v>
      </c>
      <c r="B288" t="s">
        <v>5</v>
      </c>
      <c r="C288" t="str">
        <f t="shared" si="20"/>
        <v>N.A.</v>
      </c>
      <c r="D288" s="2" t="s">
        <v>6</v>
      </c>
      <c r="E288" s="8">
        <v>129.94155845851776</v>
      </c>
      <c r="F288" s="8">
        <v>150.1799923632565</v>
      </c>
      <c r="G288" s="8">
        <v>170.5111651433775</v>
      </c>
      <c r="H288" s="8">
        <v>112.49358806186174</v>
      </c>
      <c r="I288" s="8">
        <v>89.885285096909001</v>
      </c>
      <c r="J288" s="8">
        <v>58.731702872660748</v>
      </c>
      <c r="K288" s="8">
        <v>35.69210396184225</v>
      </c>
      <c r="L288" s="8">
        <v>39.868046556886</v>
      </c>
      <c r="M288" s="8">
        <v>43.83805079013225</v>
      </c>
      <c r="N288" s="8">
        <v>44.299418048438746</v>
      </c>
      <c r="O288" s="8">
        <v>75.365758781897753</v>
      </c>
      <c r="P288" s="8">
        <v>103.38603282416676</v>
      </c>
      <c r="Q288" s="8">
        <v>88.156126032275495</v>
      </c>
      <c r="R288" s="8">
        <v>189.56231631087024</v>
      </c>
      <c r="S288" s="8">
        <v>259.91419346238251</v>
      </c>
    </row>
    <row r="289" spans="1:23" x14ac:dyDescent="0.25">
      <c r="A289" s="166" t="s">
        <v>132</v>
      </c>
      <c r="B289" t="s">
        <v>5</v>
      </c>
      <c r="C289" t="str">
        <f t="shared" si="20"/>
        <v>N.A.</v>
      </c>
      <c r="D289" s="2" t="s">
        <v>6</v>
      </c>
      <c r="E289" s="8">
        <v>106.39388821264373</v>
      </c>
      <c r="F289" s="8">
        <v>122.96476592108021</v>
      </c>
      <c r="G289" s="8">
        <v>139.61157660782987</v>
      </c>
      <c r="H289" s="8">
        <v>82.202472090330303</v>
      </c>
      <c r="I289" s="8">
        <v>73.596508214999687</v>
      </c>
      <c r="J289" s="8">
        <v>48.088496891215179</v>
      </c>
      <c r="K289" s="8">
        <v>55.263078266677468</v>
      </c>
      <c r="L289" s="8">
        <v>73.114496536582649</v>
      </c>
      <c r="M289" s="8">
        <v>123.16047767751013</v>
      </c>
      <c r="N289" s="8">
        <v>169.73195993262223</v>
      </c>
      <c r="O289" s="8">
        <v>180.81986473831421</v>
      </c>
      <c r="P289" s="8">
        <v>208.38633345091142</v>
      </c>
      <c r="Q289" s="8">
        <v>139.30209269909804</v>
      </c>
      <c r="R289" s="8">
        <v>148.8535980694875</v>
      </c>
      <c r="S289" s="8">
        <v>207.45026287349788</v>
      </c>
    </row>
    <row r="290" spans="1:23" x14ac:dyDescent="0.25">
      <c r="A290" s="166" t="s">
        <v>124</v>
      </c>
      <c r="B290" t="s">
        <v>5</v>
      </c>
      <c r="C290">
        <f t="shared" si="20"/>
        <v>0</v>
      </c>
      <c r="D290" s="2" t="s">
        <v>6</v>
      </c>
      <c r="E290" s="8"/>
      <c r="F290" s="8"/>
      <c r="G290" s="8"/>
      <c r="H290" s="8"/>
      <c r="I290" s="8"/>
      <c r="J290" s="8"/>
      <c r="K290" s="8"/>
      <c r="L290" s="8"/>
      <c r="M290" s="8"/>
      <c r="N290" s="8"/>
      <c r="O290" s="8"/>
      <c r="P290" s="8"/>
      <c r="Q290" s="8"/>
      <c r="R290" s="8"/>
      <c r="S290" s="8"/>
    </row>
    <row r="291" spans="1:23" x14ac:dyDescent="0.25">
      <c r="A291" s="166" t="s">
        <v>125</v>
      </c>
      <c r="B291" t="s">
        <v>5</v>
      </c>
      <c r="C291">
        <f t="shared" si="20"/>
        <v>0</v>
      </c>
      <c r="D291" s="2" t="s">
        <v>6</v>
      </c>
      <c r="E291" s="8"/>
      <c r="F291" s="8"/>
      <c r="G291" s="8"/>
      <c r="H291" s="8"/>
      <c r="I291" s="8"/>
      <c r="J291" s="8"/>
      <c r="K291" s="8"/>
      <c r="L291" s="8"/>
      <c r="M291" s="8"/>
      <c r="N291" s="8"/>
      <c r="O291" s="8"/>
      <c r="P291" s="8"/>
      <c r="Q291" s="8"/>
      <c r="R291" s="8"/>
      <c r="S291" s="8"/>
    </row>
    <row r="292" spans="1:23" x14ac:dyDescent="0.25">
      <c r="A292" s="166" t="s">
        <v>130</v>
      </c>
      <c r="B292" t="s">
        <v>5</v>
      </c>
      <c r="C292" t="str">
        <f t="shared" si="20"/>
        <v>N.A.</v>
      </c>
      <c r="D292" s="2" t="s">
        <v>6</v>
      </c>
      <c r="E292" s="8"/>
      <c r="F292" s="8"/>
      <c r="G292" s="8"/>
      <c r="H292" s="8"/>
      <c r="I292" s="8"/>
      <c r="J292" s="8"/>
      <c r="K292" s="8"/>
      <c r="L292" s="8"/>
      <c r="M292" s="8"/>
      <c r="N292" s="8"/>
      <c r="O292" s="8"/>
      <c r="P292" s="8"/>
      <c r="Q292" s="8"/>
      <c r="R292" s="8"/>
      <c r="S292" s="8">
        <v>433.10372720818981</v>
      </c>
    </row>
    <row r="293" spans="1:23" x14ac:dyDescent="0.25">
      <c r="A293" s="166" t="s">
        <v>131</v>
      </c>
      <c r="B293" t="s">
        <v>5</v>
      </c>
      <c r="C293" t="str">
        <f t="shared" si="20"/>
        <v>N.A.</v>
      </c>
      <c r="D293" s="2" t="s">
        <v>6</v>
      </c>
      <c r="E293" s="8"/>
      <c r="F293" s="8"/>
      <c r="G293" s="8"/>
      <c r="H293" s="8"/>
      <c r="I293" s="8"/>
      <c r="J293" s="8"/>
      <c r="K293" s="8"/>
      <c r="L293" s="8"/>
      <c r="M293" s="8"/>
      <c r="N293" s="8"/>
      <c r="O293" s="8"/>
      <c r="P293" s="8"/>
      <c r="Q293" s="8"/>
      <c r="R293" s="8"/>
      <c r="S293" s="8">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6" t="s">
        <v>111</v>
      </c>
      <c r="B296" t="s">
        <v>5</v>
      </c>
      <c r="C296" t="str">
        <f t="shared" ref="C296:C307" si="21">IF(SUMPRODUCT(--(E296:W296&lt;&gt;""))=0,0,"N.A.")</f>
        <v>N.A.</v>
      </c>
      <c r="D296" s="2" t="s">
        <v>6</v>
      </c>
      <c r="E296" s="6">
        <v>3772.852343</v>
      </c>
      <c r="F296" s="6">
        <v>4363.925894</v>
      </c>
      <c r="G296" s="6">
        <v>4954.2577289999999</v>
      </c>
      <c r="H296" s="6">
        <v>5459.8629030000002</v>
      </c>
      <c r="I296" s="6">
        <v>5115.4443940000001</v>
      </c>
      <c r="J296" s="6">
        <v>5993.5594590000001</v>
      </c>
      <c r="K296" s="6">
        <v>6884.3711219999996</v>
      </c>
      <c r="L296" s="6">
        <v>6928.7058349999998</v>
      </c>
      <c r="M296" s="6">
        <v>6411.5924800000003</v>
      </c>
      <c r="N296" s="6">
        <v>5946.4228819999998</v>
      </c>
      <c r="O296" s="6">
        <v>5692.7730680000004</v>
      </c>
      <c r="P296" s="6">
        <v>5933.9793559999998</v>
      </c>
      <c r="Q296" s="6">
        <v>5810.0363479999996</v>
      </c>
      <c r="R296" s="6">
        <v>6143.5940890000002</v>
      </c>
      <c r="S296" s="6">
        <v>5287.752262</v>
      </c>
    </row>
    <row r="297" spans="1:23" x14ac:dyDescent="0.25">
      <c r="A297" s="166" t="s">
        <v>113</v>
      </c>
      <c r="B297" t="s">
        <v>5</v>
      </c>
      <c r="C297" t="str">
        <f t="shared" si="21"/>
        <v>N.A.</v>
      </c>
      <c r="D297" s="2" t="s">
        <v>6</v>
      </c>
      <c r="E297" s="6">
        <v>1722.6683250000001</v>
      </c>
      <c r="F297" s="6">
        <v>1992.5499930000001</v>
      </c>
      <c r="G297" s="6">
        <v>2262.0929970000002</v>
      </c>
      <c r="H297" s="6">
        <v>2658.748004</v>
      </c>
      <c r="I297" s="6">
        <v>2838.1190080000001</v>
      </c>
      <c r="J297" s="6">
        <v>3049.4442260000001</v>
      </c>
      <c r="K297" s="6">
        <v>2996.3859480000001</v>
      </c>
      <c r="L297" s="6">
        <v>3192.134759</v>
      </c>
      <c r="M297" s="6">
        <v>3178.1880660000002</v>
      </c>
      <c r="N297" s="6">
        <v>2947.9563629999998</v>
      </c>
      <c r="O297" s="6">
        <v>2795.4087479999998</v>
      </c>
      <c r="P297" s="6">
        <v>2927.884853</v>
      </c>
      <c r="Q297" s="6">
        <v>2986.0594529999998</v>
      </c>
      <c r="R297" s="6">
        <v>2630.6476670000002</v>
      </c>
      <c r="S297" s="6">
        <v>2239.080234</v>
      </c>
    </row>
    <row r="298" spans="1:23" x14ac:dyDescent="0.25">
      <c r="A298" s="166" t="s">
        <v>115</v>
      </c>
      <c r="B298" t="s">
        <v>5</v>
      </c>
      <c r="C298" t="str">
        <f t="shared" si="21"/>
        <v>N.A.</v>
      </c>
      <c r="D298" s="2" t="s">
        <v>6</v>
      </c>
      <c r="E298" s="6">
        <v>5746.8042960000002</v>
      </c>
      <c r="F298" s="6">
        <v>6647.1268410000002</v>
      </c>
      <c r="G298" s="6">
        <v>7546.3196049999997</v>
      </c>
      <c r="H298" s="6">
        <v>8432.0064170000005</v>
      </c>
      <c r="I298" s="6">
        <v>9282.7745589999995</v>
      </c>
      <c r="J298" s="6">
        <v>9828.3858610000007</v>
      </c>
      <c r="K298" s="6">
        <v>11752.776529999999</v>
      </c>
      <c r="L298" s="6">
        <v>13595.25373</v>
      </c>
      <c r="M298" s="6">
        <v>14179.86054</v>
      </c>
      <c r="N298" s="6">
        <v>14730.171630000001</v>
      </c>
      <c r="O298" s="6">
        <v>13935.47025</v>
      </c>
      <c r="P298" s="6">
        <v>13980.67433</v>
      </c>
      <c r="Q298" s="6">
        <v>15044.20163</v>
      </c>
      <c r="R298" s="6">
        <v>15951.70147</v>
      </c>
      <c r="S298" s="6">
        <v>17413.928189999999</v>
      </c>
    </row>
    <row r="299" spans="1:23" x14ac:dyDescent="0.25">
      <c r="A299" s="166" t="s">
        <v>117</v>
      </c>
      <c r="B299" t="s">
        <v>5</v>
      </c>
      <c r="C299" t="str">
        <f t="shared" si="21"/>
        <v>N.A.</v>
      </c>
      <c r="D299" s="2" t="s">
        <v>6</v>
      </c>
      <c r="E299" s="6">
        <v>414.53718950000001</v>
      </c>
      <c r="F299" s="6">
        <v>479.48061860000001</v>
      </c>
      <c r="G299" s="6">
        <v>544.34255270000006</v>
      </c>
      <c r="H299" s="6">
        <v>634.8629565</v>
      </c>
      <c r="I299" s="6">
        <v>576.68750109999996</v>
      </c>
      <c r="J299" s="6">
        <v>720.3432305</v>
      </c>
      <c r="K299" s="6">
        <v>710.03734629999997</v>
      </c>
      <c r="L299" s="6">
        <v>837.75733690000004</v>
      </c>
      <c r="M299" s="6">
        <v>673.35434580000003</v>
      </c>
      <c r="N299" s="6">
        <v>941.55254279999997</v>
      </c>
      <c r="O299" s="6">
        <v>1209.9573559999999</v>
      </c>
      <c r="P299" s="6">
        <v>927.06290149999995</v>
      </c>
      <c r="Q299" s="6">
        <v>1091.432736</v>
      </c>
      <c r="R299" s="6">
        <v>1132.8985270000001</v>
      </c>
      <c r="S299" s="6">
        <v>1331.866798</v>
      </c>
    </row>
    <row r="300" spans="1:23" x14ac:dyDescent="0.25">
      <c r="A300" s="166" t="s">
        <v>119</v>
      </c>
      <c r="B300" t="s">
        <v>5</v>
      </c>
      <c r="C300" t="str">
        <f t="shared" si="21"/>
        <v>N.A.</v>
      </c>
      <c r="D300" s="2" t="s">
        <v>6</v>
      </c>
      <c r="E300" s="6">
        <v>31567.508109999999</v>
      </c>
      <c r="F300" s="6">
        <v>36513.028749999998</v>
      </c>
      <c r="G300" s="6">
        <v>41452.343430000001</v>
      </c>
      <c r="H300" s="6">
        <v>46442.111799999999</v>
      </c>
      <c r="I300" s="6">
        <v>51293.721210000003</v>
      </c>
      <c r="J300" s="6">
        <v>54519.134440000002</v>
      </c>
      <c r="K300" s="6">
        <v>56131.357550000001</v>
      </c>
      <c r="L300" s="6">
        <v>56676.046170000001</v>
      </c>
      <c r="M300" s="6">
        <v>58209.652900000001</v>
      </c>
      <c r="N300" s="6">
        <v>59567.206270000002</v>
      </c>
      <c r="O300" s="6">
        <v>61039.918440000001</v>
      </c>
      <c r="P300" s="6">
        <v>56332.643949999998</v>
      </c>
      <c r="Q300" s="6">
        <v>56982.794029999997</v>
      </c>
      <c r="R300" s="6">
        <v>58306.006399999998</v>
      </c>
      <c r="S300" s="6">
        <v>58743.592779999999</v>
      </c>
    </row>
    <row r="301" spans="1:23" x14ac:dyDescent="0.25">
      <c r="A301" s="166" t="s">
        <v>121</v>
      </c>
      <c r="B301" t="s">
        <v>5</v>
      </c>
      <c r="C301" t="str">
        <f t="shared" si="21"/>
        <v>N.A.</v>
      </c>
      <c r="D301" s="2" t="s">
        <v>6</v>
      </c>
      <c r="E301" s="6">
        <v>190.72465439999999</v>
      </c>
      <c r="F301" s="6">
        <v>220.60451420000001</v>
      </c>
      <c r="G301" s="6">
        <v>250.44687880000001</v>
      </c>
      <c r="H301" s="6">
        <v>291.44632719999998</v>
      </c>
      <c r="I301" s="6">
        <v>260.90810240000002</v>
      </c>
      <c r="J301" s="6">
        <v>326.15127819999998</v>
      </c>
      <c r="K301" s="6">
        <v>321.08694939999998</v>
      </c>
      <c r="L301" s="6">
        <v>247.56848110000001</v>
      </c>
      <c r="M301" s="6">
        <v>518.66918009999995</v>
      </c>
      <c r="N301" s="6">
        <v>399.26250099999999</v>
      </c>
      <c r="O301" s="6">
        <v>1115.23838</v>
      </c>
      <c r="P301" s="6">
        <v>457.95887959999999</v>
      </c>
      <c r="Q301" s="6">
        <v>453.02703359999998</v>
      </c>
      <c r="R301" s="6">
        <v>435.09097220000001</v>
      </c>
      <c r="S301" s="6">
        <v>602.34623299999998</v>
      </c>
    </row>
    <row r="302" spans="1:23" x14ac:dyDescent="0.25">
      <c r="A302" s="166" t="s">
        <v>128</v>
      </c>
      <c r="B302" t="s">
        <v>5</v>
      </c>
      <c r="C302" t="str">
        <f t="shared" si="21"/>
        <v>N.A.</v>
      </c>
      <c r="D302" s="2" t="s">
        <v>6</v>
      </c>
      <c r="E302" s="6">
        <v>388.09057774999997</v>
      </c>
      <c r="F302" s="6">
        <v>448.89075100000002</v>
      </c>
      <c r="G302" s="6">
        <v>509.61462825000001</v>
      </c>
      <c r="H302" s="6">
        <v>410.63490024999999</v>
      </c>
      <c r="I302" s="6">
        <v>421.48375600000003</v>
      </c>
      <c r="J302" s="6">
        <v>399.41937725000003</v>
      </c>
      <c r="K302" s="6">
        <v>348.75247674999997</v>
      </c>
      <c r="L302" s="6">
        <v>367.29014374999997</v>
      </c>
      <c r="M302" s="6">
        <v>382.25906700000002</v>
      </c>
      <c r="N302" s="6">
        <v>491.96644075</v>
      </c>
      <c r="O302" s="6">
        <v>530.53604325000003</v>
      </c>
      <c r="P302" s="6">
        <v>527.10786200000007</v>
      </c>
      <c r="Q302" s="6">
        <v>435.81819725000003</v>
      </c>
      <c r="R302" s="6">
        <v>544.15962049999996</v>
      </c>
      <c r="S302" s="6">
        <v>564.59233374999997</v>
      </c>
    </row>
    <row r="303" spans="1:23" x14ac:dyDescent="0.25">
      <c r="A303" s="166" t="s">
        <v>132</v>
      </c>
      <c r="B303" t="s">
        <v>5</v>
      </c>
      <c r="C303" t="str">
        <f t="shared" si="21"/>
        <v>N.A.</v>
      </c>
      <c r="D303" s="2" t="s">
        <v>6</v>
      </c>
      <c r="E303" s="6">
        <v>642.68190270000002</v>
      </c>
      <c r="F303" s="6">
        <v>743.36760149999998</v>
      </c>
      <c r="G303" s="6">
        <v>843.92695360000005</v>
      </c>
      <c r="H303" s="6">
        <v>634.47979339999995</v>
      </c>
      <c r="I303" s="6">
        <v>785.83410590000005</v>
      </c>
      <c r="J303" s="6">
        <v>789.89203859999998</v>
      </c>
      <c r="K303" s="6">
        <v>716.36620519999997</v>
      </c>
      <c r="L303" s="6">
        <v>596.38963100000001</v>
      </c>
      <c r="M303" s="6">
        <v>733.80597150000006</v>
      </c>
      <c r="N303" s="6">
        <v>727.70233519999999</v>
      </c>
      <c r="O303" s="6">
        <v>632.34293449999996</v>
      </c>
      <c r="P303" s="6">
        <v>685.01283269999999</v>
      </c>
      <c r="Q303" s="6">
        <v>498.93873559999997</v>
      </c>
      <c r="R303" s="6">
        <v>417.65624930000001</v>
      </c>
      <c r="S303" s="6">
        <v>460.11427279999998</v>
      </c>
    </row>
    <row r="304" spans="1:23" x14ac:dyDescent="0.25">
      <c r="A304" s="166" t="s">
        <v>124</v>
      </c>
      <c r="B304" t="s">
        <v>5</v>
      </c>
      <c r="C304">
        <f t="shared" si="21"/>
        <v>0</v>
      </c>
      <c r="D304" s="2" t="s">
        <v>6</v>
      </c>
      <c r="E304" s="6"/>
      <c r="F304" s="6"/>
      <c r="G304" s="6"/>
      <c r="H304" s="6"/>
      <c r="I304" s="6"/>
      <c r="J304" s="6"/>
      <c r="K304" s="6"/>
      <c r="L304" s="6"/>
      <c r="M304" s="6"/>
      <c r="N304" s="6"/>
      <c r="O304" s="6"/>
      <c r="P304" s="6"/>
      <c r="Q304" s="6"/>
      <c r="R304" s="6"/>
      <c r="S304" s="6"/>
    </row>
    <row r="305" spans="1:19" x14ac:dyDescent="0.25">
      <c r="A305" s="166" t="s">
        <v>125</v>
      </c>
      <c r="B305" t="s">
        <v>5</v>
      </c>
      <c r="C305">
        <f t="shared" si="21"/>
        <v>0</v>
      </c>
      <c r="D305" s="2" t="s">
        <v>6</v>
      </c>
      <c r="E305" s="6"/>
      <c r="F305" s="6"/>
      <c r="G305" s="6"/>
      <c r="H305" s="6"/>
      <c r="I305" s="6"/>
      <c r="J305" s="6"/>
      <c r="K305" s="6"/>
      <c r="L305" s="6"/>
      <c r="M305" s="6"/>
      <c r="N305" s="6"/>
      <c r="O305" s="6"/>
      <c r="P305" s="6"/>
      <c r="Q305" s="6"/>
      <c r="R305" s="6"/>
      <c r="S305" s="6"/>
    </row>
    <row r="306" spans="1:19" x14ac:dyDescent="0.25">
      <c r="A306" s="166" t="s">
        <v>130</v>
      </c>
      <c r="B306" t="s">
        <v>5</v>
      </c>
      <c r="C306" t="str">
        <f t="shared" si="21"/>
        <v>N.A.</v>
      </c>
      <c r="D306" s="2" t="s">
        <v>6</v>
      </c>
      <c r="E306" s="6"/>
      <c r="F306" s="6"/>
      <c r="G306" s="6"/>
      <c r="H306" s="6"/>
      <c r="I306" s="6"/>
      <c r="J306" s="6"/>
      <c r="K306" s="6"/>
      <c r="L306" s="6"/>
      <c r="M306" s="6"/>
      <c r="N306" s="6"/>
      <c r="O306" s="6"/>
      <c r="P306" s="6"/>
      <c r="Q306" s="6"/>
      <c r="R306" s="6"/>
      <c r="S306" s="6">
        <v>894.11684434896597</v>
      </c>
    </row>
    <row r="307" spans="1:19" x14ac:dyDescent="0.25">
      <c r="A307" s="166" t="s">
        <v>131</v>
      </c>
      <c r="B307" t="s">
        <v>5</v>
      </c>
      <c r="C307" t="str">
        <f t="shared" si="21"/>
        <v>N.A.</v>
      </c>
      <c r="D307" s="2" t="s">
        <v>6</v>
      </c>
      <c r="E307" s="6"/>
      <c r="F307" s="6"/>
      <c r="G307" s="6"/>
      <c r="H307" s="6"/>
      <c r="I307" s="6"/>
      <c r="J307" s="6"/>
      <c r="K307" s="6"/>
      <c r="L307" s="6"/>
      <c r="M307" s="6"/>
      <c r="N307" s="6"/>
      <c r="O307" s="6"/>
      <c r="P307" s="6"/>
      <c r="Q307" s="6"/>
      <c r="R307" s="6"/>
      <c r="S307" s="6">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82" workbookViewId="0">
      <selection activeCell="A100" sqref="A100:A111"/>
    </sheetView>
  </sheetViews>
  <sheetFormatPr defaultColWidth="9" defaultRowHeight="15" x14ac:dyDescent="0.25"/>
  <cols>
    <col min="1" max="1" width="50.7109375" style="36" customWidth="1"/>
    <col min="2" max="2" width="15.7109375" style="36" customWidth="1"/>
    <col min="3" max="3" width="10.7109375" style="36" customWidth="1"/>
    <col min="4" max="4" width="9" style="36"/>
    <col min="5" max="5" width="9.85546875" style="36" bestFit="1" customWidth="1"/>
    <col min="6" max="16384" width="9" style="36"/>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s="36" t="s">
        <v>5</v>
      </c>
      <c r="C2" s="36" t="str">
        <f t="shared" ref="C2:C13" si="0">IF(SUMPRODUCT(--(E2:W2&lt;&gt;""))=0,0,"N.A.")</f>
        <v>N.A.</v>
      </c>
      <c r="D2" s="38" t="s">
        <v>6</v>
      </c>
      <c r="E2" s="39">
        <v>196086.5355</v>
      </c>
      <c r="F2" s="39">
        <v>345769.89500000002</v>
      </c>
    </row>
    <row r="3" spans="1:23" x14ac:dyDescent="0.25">
      <c r="A3" s="166" t="s">
        <v>113</v>
      </c>
      <c r="B3" s="36" t="s">
        <v>5</v>
      </c>
      <c r="C3" s="36" t="str">
        <f t="shared" si="0"/>
        <v>N.A.</v>
      </c>
      <c r="D3" s="38" t="s">
        <v>6</v>
      </c>
      <c r="E3" s="39">
        <v>20108.095701425736</v>
      </c>
      <c r="F3" s="39">
        <v>20571.5493687784</v>
      </c>
    </row>
    <row r="4" spans="1:23" x14ac:dyDescent="0.25">
      <c r="A4" s="166" t="s">
        <v>115</v>
      </c>
      <c r="B4" s="36" t="s">
        <v>5</v>
      </c>
      <c r="C4" s="36" t="str">
        <f t="shared" si="0"/>
        <v>N.A.</v>
      </c>
      <c r="D4" s="38" t="s">
        <v>6</v>
      </c>
      <c r="E4" s="39">
        <v>549888.96905186586</v>
      </c>
      <c r="F4" s="39"/>
    </row>
    <row r="5" spans="1:23" x14ac:dyDescent="0.25">
      <c r="A5" s="166" t="s">
        <v>117</v>
      </c>
      <c r="B5" s="36" t="s">
        <v>5</v>
      </c>
      <c r="C5" s="36">
        <f t="shared" si="0"/>
        <v>0</v>
      </c>
      <c r="D5" s="38" t="s">
        <v>6</v>
      </c>
    </row>
    <row r="6" spans="1:23" x14ac:dyDescent="0.25">
      <c r="A6" s="166" t="s">
        <v>119</v>
      </c>
      <c r="B6" s="36" t="s">
        <v>5</v>
      </c>
      <c r="C6" s="36">
        <f t="shared" si="0"/>
        <v>0</v>
      </c>
      <c r="D6" s="38" t="s">
        <v>6</v>
      </c>
    </row>
    <row r="7" spans="1:23" x14ac:dyDescent="0.25">
      <c r="A7" s="166" t="s">
        <v>121</v>
      </c>
      <c r="B7" s="36" t="s">
        <v>5</v>
      </c>
      <c r="C7" s="36">
        <f t="shared" si="0"/>
        <v>0</v>
      </c>
      <c r="D7" s="38" t="s">
        <v>6</v>
      </c>
    </row>
    <row r="8" spans="1:23" x14ac:dyDescent="0.25">
      <c r="A8" s="166" t="s">
        <v>128</v>
      </c>
      <c r="B8" s="36" t="s">
        <v>5</v>
      </c>
      <c r="C8" s="36">
        <f t="shared" si="0"/>
        <v>0</v>
      </c>
      <c r="D8" s="38" t="s">
        <v>6</v>
      </c>
    </row>
    <row r="9" spans="1:23" x14ac:dyDescent="0.25">
      <c r="A9" s="166" t="s">
        <v>132</v>
      </c>
      <c r="B9" s="36" t="s">
        <v>5</v>
      </c>
      <c r="C9" s="36">
        <f t="shared" si="0"/>
        <v>0</v>
      </c>
      <c r="D9" s="38" t="s">
        <v>6</v>
      </c>
    </row>
    <row r="10" spans="1:23" x14ac:dyDescent="0.25">
      <c r="A10" s="166" t="s">
        <v>124</v>
      </c>
      <c r="B10" s="36" t="s">
        <v>5</v>
      </c>
      <c r="C10" s="36">
        <f t="shared" si="0"/>
        <v>0</v>
      </c>
      <c r="D10" s="38" t="s">
        <v>6</v>
      </c>
    </row>
    <row r="11" spans="1:23" x14ac:dyDescent="0.25">
      <c r="A11" s="166" t="s">
        <v>125</v>
      </c>
      <c r="B11" s="36" t="s">
        <v>5</v>
      </c>
      <c r="C11" s="36">
        <f t="shared" si="0"/>
        <v>0</v>
      </c>
      <c r="D11" s="38" t="s">
        <v>6</v>
      </c>
    </row>
    <row r="12" spans="1:23" x14ac:dyDescent="0.25">
      <c r="A12" s="166" t="s">
        <v>130</v>
      </c>
      <c r="B12" s="36" t="s">
        <v>5</v>
      </c>
      <c r="C12" s="36">
        <f t="shared" si="0"/>
        <v>0</v>
      </c>
      <c r="D12" s="38" t="s">
        <v>6</v>
      </c>
    </row>
    <row r="13" spans="1:23" x14ac:dyDescent="0.25">
      <c r="A13" s="166" t="s">
        <v>131</v>
      </c>
      <c r="B13" s="36" t="s">
        <v>5</v>
      </c>
      <c r="C13" s="36">
        <f t="shared" si="0"/>
        <v>0</v>
      </c>
      <c r="D13" s="38"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36" t="s">
        <v>5</v>
      </c>
      <c r="C16" s="36" t="str">
        <f t="shared" ref="C16:C27" si="1">IF(SUMPRODUCT(--(E16:W16&lt;&gt;""))=0,0,"N.A.")</f>
        <v>N.A.</v>
      </c>
      <c r="D16" s="38" t="s">
        <v>6</v>
      </c>
      <c r="E16" s="42">
        <v>11989.172171602127</v>
      </c>
      <c r="F16" s="162"/>
      <c r="H16" s="55"/>
    </row>
    <row r="17" spans="1:23" x14ac:dyDescent="0.25">
      <c r="A17" s="166" t="s">
        <v>113</v>
      </c>
      <c r="B17" s="36" t="s">
        <v>5</v>
      </c>
      <c r="C17" s="36" t="str">
        <f t="shared" si="1"/>
        <v>N.A.</v>
      </c>
      <c r="D17" s="38" t="s">
        <v>6</v>
      </c>
      <c r="E17" s="42">
        <v>940.57531764110195</v>
      </c>
      <c r="F17" s="162"/>
      <c r="H17" s="55"/>
    </row>
    <row r="18" spans="1:23" x14ac:dyDescent="0.25">
      <c r="A18" s="166" t="s">
        <v>115</v>
      </c>
      <c r="B18" s="36" t="s">
        <v>5</v>
      </c>
      <c r="C18" s="36" t="str">
        <f t="shared" si="1"/>
        <v>N.A.</v>
      </c>
      <c r="D18" s="38" t="s">
        <v>6</v>
      </c>
      <c r="E18" s="42">
        <v>111046.39073066738</v>
      </c>
      <c r="F18" s="162"/>
    </row>
    <row r="19" spans="1:23" x14ac:dyDescent="0.25">
      <c r="A19" s="166" t="s">
        <v>117</v>
      </c>
      <c r="B19" s="36" t="s">
        <v>5</v>
      </c>
      <c r="C19" s="36" t="str">
        <f t="shared" si="1"/>
        <v>N.A.</v>
      </c>
      <c r="D19" s="38" t="s">
        <v>6</v>
      </c>
      <c r="E19" s="42">
        <v>559.0348756011075</v>
      </c>
      <c r="F19" s="162"/>
    </row>
    <row r="20" spans="1:23" x14ac:dyDescent="0.25">
      <c r="A20" s="166" t="s">
        <v>119</v>
      </c>
      <c r="B20" s="36" t="s">
        <v>5</v>
      </c>
      <c r="C20" s="36" t="str">
        <f t="shared" si="1"/>
        <v>N.A.</v>
      </c>
      <c r="D20" s="38" t="s">
        <v>6</v>
      </c>
      <c r="E20" s="42">
        <v>25642.40270181272</v>
      </c>
      <c r="F20" s="162"/>
    </row>
    <row r="21" spans="1:23" x14ac:dyDescent="0.25">
      <c r="A21" s="166" t="s">
        <v>121</v>
      </c>
      <c r="B21" s="36" t="s">
        <v>5</v>
      </c>
      <c r="C21" s="36" t="str">
        <f t="shared" si="1"/>
        <v>N.A.</v>
      </c>
      <c r="D21" s="38" t="s">
        <v>6</v>
      </c>
      <c r="E21" s="42">
        <v>115.26492280435555</v>
      </c>
      <c r="F21" s="162"/>
    </row>
    <row r="22" spans="1:23" x14ac:dyDescent="0.25">
      <c r="A22" s="166" t="s">
        <v>128</v>
      </c>
      <c r="B22" s="36" t="s">
        <v>5</v>
      </c>
      <c r="C22" s="36" t="str">
        <f t="shared" si="1"/>
        <v>N.A.</v>
      </c>
      <c r="D22" s="38" t="s">
        <v>6</v>
      </c>
      <c r="E22" s="42">
        <v>3168.1275594077397</v>
      </c>
      <c r="F22" s="162"/>
    </row>
    <row r="23" spans="1:23" x14ac:dyDescent="0.25">
      <c r="A23" s="166" t="s">
        <v>132</v>
      </c>
      <c r="B23" s="36" t="s">
        <v>5</v>
      </c>
      <c r="C23" s="36" t="str">
        <f t="shared" si="1"/>
        <v>N.A.</v>
      </c>
      <c r="D23" s="38" t="s">
        <v>6</v>
      </c>
      <c r="E23" s="42">
        <v>429.96016877676465</v>
      </c>
      <c r="F23" s="162"/>
    </row>
    <row r="24" spans="1:23" x14ac:dyDescent="0.25">
      <c r="A24" s="166" t="s">
        <v>124</v>
      </c>
      <c r="B24" s="36" t="s">
        <v>5</v>
      </c>
      <c r="C24" s="36" t="str">
        <f t="shared" si="1"/>
        <v>N.A.</v>
      </c>
      <c r="D24" s="38" t="s">
        <v>6</v>
      </c>
      <c r="E24" s="42">
        <v>884.22498996991453</v>
      </c>
      <c r="F24" s="162"/>
    </row>
    <row r="25" spans="1:23" x14ac:dyDescent="0.25">
      <c r="A25" s="166" t="s">
        <v>125</v>
      </c>
      <c r="B25" s="36" t="s">
        <v>5</v>
      </c>
      <c r="C25" s="36" t="str">
        <f t="shared" si="1"/>
        <v>N.A.</v>
      </c>
      <c r="D25" s="38" t="s">
        <v>6</v>
      </c>
      <c r="E25" s="42">
        <v>1567.1981776765374</v>
      </c>
      <c r="F25" s="162"/>
    </row>
    <row r="26" spans="1:23" x14ac:dyDescent="0.25">
      <c r="A26" s="166" t="s">
        <v>130</v>
      </c>
      <c r="B26" s="36" t="s">
        <v>5</v>
      </c>
      <c r="C26" s="36" t="str">
        <f t="shared" si="1"/>
        <v>N.A.</v>
      </c>
      <c r="D26" s="38" t="s">
        <v>6</v>
      </c>
      <c r="E26" s="42">
        <v>324.67907887243854</v>
      </c>
      <c r="F26" s="162"/>
    </row>
    <row r="27" spans="1:23" x14ac:dyDescent="0.25">
      <c r="A27" s="166" t="s">
        <v>131</v>
      </c>
      <c r="B27" s="36" t="s">
        <v>5</v>
      </c>
      <c r="C27" s="36" t="str">
        <f t="shared" si="1"/>
        <v>N.A.</v>
      </c>
      <c r="D27" s="38" t="s">
        <v>6</v>
      </c>
      <c r="E27" s="42">
        <v>66.73784880410004</v>
      </c>
      <c r="F27" s="162"/>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36" t="s">
        <v>5</v>
      </c>
      <c r="C30" s="36">
        <f t="shared" ref="C30:C41" si="2">IF(SUMPRODUCT(--(E30:W30&lt;&gt;""))=0,0,"N.A.")</f>
        <v>0</v>
      </c>
      <c r="D30" s="38" t="s">
        <v>6</v>
      </c>
    </row>
    <row r="31" spans="1:23" x14ac:dyDescent="0.25">
      <c r="A31" s="166" t="s">
        <v>113</v>
      </c>
      <c r="B31" s="36" t="s">
        <v>5</v>
      </c>
      <c r="C31" s="36">
        <f t="shared" si="2"/>
        <v>0</v>
      </c>
      <c r="D31" s="38" t="s">
        <v>6</v>
      </c>
    </row>
    <row r="32" spans="1:23" x14ac:dyDescent="0.25">
      <c r="A32" s="166" t="s">
        <v>115</v>
      </c>
      <c r="B32" s="36" t="s">
        <v>5</v>
      </c>
      <c r="C32" s="36">
        <f t="shared" si="2"/>
        <v>0</v>
      </c>
      <c r="D32" s="38" t="s">
        <v>6</v>
      </c>
    </row>
    <row r="33" spans="1:23" x14ac:dyDescent="0.25">
      <c r="A33" s="166" t="s">
        <v>117</v>
      </c>
      <c r="B33" s="36" t="s">
        <v>5</v>
      </c>
      <c r="C33" s="36">
        <f t="shared" si="2"/>
        <v>0</v>
      </c>
      <c r="D33" s="38" t="s">
        <v>6</v>
      </c>
    </row>
    <row r="34" spans="1:23" x14ac:dyDescent="0.25">
      <c r="A34" s="166" t="s">
        <v>119</v>
      </c>
      <c r="B34" s="36" t="s">
        <v>5</v>
      </c>
      <c r="C34" s="36">
        <f t="shared" si="2"/>
        <v>0</v>
      </c>
      <c r="D34" s="38" t="s">
        <v>6</v>
      </c>
    </row>
    <row r="35" spans="1:23" x14ac:dyDescent="0.25">
      <c r="A35" s="166" t="s">
        <v>121</v>
      </c>
      <c r="B35" s="36" t="s">
        <v>5</v>
      </c>
      <c r="C35" s="36">
        <f t="shared" si="2"/>
        <v>0</v>
      </c>
      <c r="D35" s="38" t="s">
        <v>6</v>
      </c>
    </row>
    <row r="36" spans="1:23" x14ac:dyDescent="0.25">
      <c r="A36" s="166" t="s">
        <v>128</v>
      </c>
      <c r="B36" s="36" t="s">
        <v>5</v>
      </c>
      <c r="C36" s="36">
        <f t="shared" si="2"/>
        <v>0</v>
      </c>
      <c r="D36" s="38" t="s">
        <v>6</v>
      </c>
    </row>
    <row r="37" spans="1:23" x14ac:dyDescent="0.25">
      <c r="A37" s="166" t="s">
        <v>132</v>
      </c>
      <c r="B37" s="36" t="s">
        <v>5</v>
      </c>
      <c r="C37" s="36">
        <f t="shared" si="2"/>
        <v>0</v>
      </c>
      <c r="D37" s="38" t="s">
        <v>6</v>
      </c>
    </row>
    <row r="38" spans="1:23" x14ac:dyDescent="0.25">
      <c r="A38" s="166" t="s">
        <v>124</v>
      </c>
      <c r="B38" s="36" t="s">
        <v>5</v>
      </c>
      <c r="C38" s="36">
        <f t="shared" si="2"/>
        <v>0</v>
      </c>
      <c r="D38" s="38" t="s">
        <v>6</v>
      </c>
    </row>
    <row r="39" spans="1:23" x14ac:dyDescent="0.25">
      <c r="A39" s="166" t="s">
        <v>125</v>
      </c>
      <c r="B39" s="36" t="s">
        <v>5</v>
      </c>
      <c r="C39" s="36">
        <f t="shared" si="2"/>
        <v>0</v>
      </c>
      <c r="D39" s="38" t="s">
        <v>6</v>
      </c>
    </row>
    <row r="40" spans="1:23" x14ac:dyDescent="0.25">
      <c r="A40" s="166" t="s">
        <v>130</v>
      </c>
      <c r="B40" s="36" t="s">
        <v>5</v>
      </c>
      <c r="C40" s="36">
        <f t="shared" si="2"/>
        <v>0</v>
      </c>
      <c r="D40" s="38" t="s">
        <v>6</v>
      </c>
    </row>
    <row r="41" spans="1:23" x14ac:dyDescent="0.25">
      <c r="A41" s="166" t="s">
        <v>131</v>
      </c>
      <c r="B41" s="36" t="s">
        <v>5</v>
      </c>
      <c r="C41" s="36">
        <f t="shared" si="2"/>
        <v>0</v>
      </c>
      <c r="D41" s="38"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36" t="s">
        <v>5</v>
      </c>
      <c r="C44" s="36" t="str">
        <f t="shared" ref="C44:C55" si="3">IF(SUMPRODUCT(--(E44:W44&lt;&gt;""))=0,0,"N.A.")</f>
        <v>N.A.</v>
      </c>
      <c r="D44" s="38" t="s">
        <v>6</v>
      </c>
      <c r="E44" s="43">
        <v>107902.54954441913</v>
      </c>
      <c r="F44" s="162"/>
    </row>
    <row r="45" spans="1:23" x14ac:dyDescent="0.25">
      <c r="A45" s="166" t="s">
        <v>113</v>
      </c>
      <c r="B45" s="36" t="s">
        <v>5</v>
      </c>
      <c r="C45" s="36" t="str">
        <f t="shared" si="3"/>
        <v>N.A.</v>
      </c>
      <c r="D45" s="38" t="s">
        <v>6</v>
      </c>
      <c r="E45" s="43">
        <v>8465.1778587699173</v>
      </c>
      <c r="F45" s="162"/>
    </row>
    <row r="46" spans="1:23" x14ac:dyDescent="0.25">
      <c r="A46" s="166" t="s">
        <v>115</v>
      </c>
      <c r="B46" s="36" t="s">
        <v>5</v>
      </c>
      <c r="C46" s="36" t="str">
        <f t="shared" si="3"/>
        <v>N.A.</v>
      </c>
      <c r="D46" s="38" t="s">
        <v>6</v>
      </c>
      <c r="E46" s="43">
        <v>1277033.4934026748</v>
      </c>
      <c r="F46" s="162"/>
    </row>
    <row r="47" spans="1:23" x14ac:dyDescent="0.25">
      <c r="A47" s="166" t="s">
        <v>117</v>
      </c>
      <c r="B47" s="36" t="s">
        <v>5</v>
      </c>
      <c r="C47" s="36" t="str">
        <f t="shared" si="3"/>
        <v>N.A.</v>
      </c>
      <c r="D47" s="38" t="s">
        <v>6</v>
      </c>
      <c r="E47" s="43">
        <v>5031.3138804099681</v>
      </c>
      <c r="F47" s="162"/>
    </row>
    <row r="48" spans="1:23" x14ac:dyDescent="0.25">
      <c r="A48" s="166" t="s">
        <v>119</v>
      </c>
      <c r="B48" s="36" t="s">
        <v>5</v>
      </c>
      <c r="C48" s="36" t="str">
        <f t="shared" si="3"/>
        <v>N.A.</v>
      </c>
      <c r="D48" s="38" t="s">
        <v>6</v>
      </c>
      <c r="E48" s="43">
        <v>230781.62431631447</v>
      </c>
      <c r="F48" s="162"/>
    </row>
    <row r="49" spans="1:23" x14ac:dyDescent="0.25">
      <c r="A49" s="166" t="s">
        <v>121</v>
      </c>
      <c r="B49" s="36" t="s">
        <v>5</v>
      </c>
      <c r="C49" s="36" t="str">
        <f t="shared" si="3"/>
        <v>N.A.</v>
      </c>
      <c r="D49" s="38" t="s">
        <v>6</v>
      </c>
      <c r="E49" s="43">
        <v>1037.3843052391999</v>
      </c>
      <c r="F49" s="162"/>
    </row>
    <row r="50" spans="1:23" x14ac:dyDescent="0.25">
      <c r="A50" s="166" t="s">
        <v>128</v>
      </c>
      <c r="B50" s="36" t="s">
        <v>5</v>
      </c>
      <c r="C50" s="36" t="str">
        <f t="shared" si="3"/>
        <v>N.A.</v>
      </c>
      <c r="D50" s="38" t="s">
        <v>6</v>
      </c>
      <c r="E50" s="43">
        <v>7392.2976386180599</v>
      </c>
      <c r="F50" s="162"/>
    </row>
    <row r="51" spans="1:23" x14ac:dyDescent="0.25">
      <c r="A51" s="166" t="s">
        <v>132</v>
      </c>
      <c r="B51" s="36" t="s">
        <v>5</v>
      </c>
      <c r="C51" s="36" t="str">
        <f t="shared" si="3"/>
        <v>N.A.</v>
      </c>
      <c r="D51" s="38" t="s">
        <v>6</v>
      </c>
      <c r="E51" s="43">
        <v>2436.4409564016664</v>
      </c>
      <c r="F51" s="162"/>
    </row>
    <row r="52" spans="1:23" x14ac:dyDescent="0.25">
      <c r="A52" s="166" t="s">
        <v>124</v>
      </c>
      <c r="B52" s="36" t="s">
        <v>5</v>
      </c>
      <c r="C52" s="36" t="str">
        <f t="shared" si="3"/>
        <v>N.A.</v>
      </c>
      <c r="D52" s="38" t="s">
        <v>6</v>
      </c>
      <c r="E52" s="43">
        <v>7958.0249097292308</v>
      </c>
      <c r="F52" s="162"/>
    </row>
    <row r="53" spans="1:23" x14ac:dyDescent="0.25">
      <c r="A53" s="166" t="s">
        <v>125</v>
      </c>
      <c r="B53" s="36" t="s">
        <v>5</v>
      </c>
      <c r="C53" s="36" t="str">
        <f t="shared" si="3"/>
        <v>N.A.</v>
      </c>
      <c r="D53" s="38" t="s">
        <v>6</v>
      </c>
      <c r="E53" s="43">
        <v>1044.7987851176918</v>
      </c>
      <c r="F53" s="162"/>
    </row>
    <row r="54" spans="1:23" x14ac:dyDescent="0.25">
      <c r="A54" s="166" t="s">
        <v>130</v>
      </c>
      <c r="B54" s="36" t="s">
        <v>5</v>
      </c>
      <c r="C54" s="36" t="str">
        <f t="shared" si="3"/>
        <v>N.A.</v>
      </c>
      <c r="D54" s="38" t="s">
        <v>6</v>
      </c>
      <c r="E54" s="43">
        <v>2922.1117098519467</v>
      </c>
      <c r="F54" s="162"/>
    </row>
    <row r="55" spans="1:23" x14ac:dyDescent="0.25">
      <c r="A55" s="166" t="s">
        <v>131</v>
      </c>
      <c r="B55" s="36" t="s">
        <v>5</v>
      </c>
      <c r="C55" s="36" t="str">
        <f t="shared" si="3"/>
        <v>N.A.</v>
      </c>
      <c r="D55" s="38" t="s">
        <v>6</v>
      </c>
      <c r="E55" s="43">
        <v>600.64063923690037</v>
      </c>
      <c r="F55" s="162"/>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36" t="s">
        <v>5</v>
      </c>
      <c r="C58" s="36">
        <f t="shared" ref="C58:C69" si="4">IF(SUMPRODUCT(--(E58:W58&lt;&gt;""))=0,0,"N.A.")</f>
        <v>0</v>
      </c>
      <c r="D58" s="38" t="s">
        <v>6</v>
      </c>
    </row>
    <row r="59" spans="1:23" x14ac:dyDescent="0.25">
      <c r="A59" s="166" t="s">
        <v>113</v>
      </c>
      <c r="B59" s="36" t="s">
        <v>5</v>
      </c>
      <c r="C59" s="36">
        <f t="shared" si="4"/>
        <v>0</v>
      </c>
      <c r="D59" s="38" t="s">
        <v>6</v>
      </c>
    </row>
    <row r="60" spans="1:23" x14ac:dyDescent="0.25">
      <c r="A60" s="166" t="s">
        <v>115</v>
      </c>
      <c r="B60" s="36" t="s">
        <v>5</v>
      </c>
      <c r="C60" s="36">
        <f t="shared" si="4"/>
        <v>0</v>
      </c>
      <c r="D60" s="38" t="s">
        <v>6</v>
      </c>
    </row>
    <row r="61" spans="1:23" x14ac:dyDescent="0.25">
      <c r="A61" s="166" t="s">
        <v>117</v>
      </c>
      <c r="B61" s="36" t="s">
        <v>5</v>
      </c>
      <c r="C61" s="36">
        <f t="shared" si="4"/>
        <v>0</v>
      </c>
      <c r="D61" s="38" t="s">
        <v>6</v>
      </c>
    </row>
    <row r="62" spans="1:23" x14ac:dyDescent="0.25">
      <c r="A62" s="166" t="s">
        <v>119</v>
      </c>
      <c r="B62" s="36" t="s">
        <v>5</v>
      </c>
      <c r="C62" s="36">
        <f t="shared" si="4"/>
        <v>0</v>
      </c>
      <c r="D62" s="38" t="s">
        <v>6</v>
      </c>
    </row>
    <row r="63" spans="1:23" x14ac:dyDescent="0.25">
      <c r="A63" s="166" t="s">
        <v>121</v>
      </c>
      <c r="B63" s="36" t="s">
        <v>5</v>
      </c>
      <c r="C63" s="36">
        <f t="shared" si="4"/>
        <v>0</v>
      </c>
      <c r="D63" s="38" t="s">
        <v>6</v>
      </c>
    </row>
    <row r="64" spans="1:23" x14ac:dyDescent="0.25">
      <c r="A64" s="166" t="s">
        <v>128</v>
      </c>
      <c r="B64" s="36" t="s">
        <v>5</v>
      </c>
      <c r="C64" s="36">
        <f t="shared" si="4"/>
        <v>0</v>
      </c>
      <c r="D64" s="38" t="s">
        <v>6</v>
      </c>
    </row>
    <row r="65" spans="1:23" x14ac:dyDescent="0.25">
      <c r="A65" s="166" t="s">
        <v>132</v>
      </c>
      <c r="B65" s="36" t="s">
        <v>5</v>
      </c>
      <c r="C65" s="36">
        <f t="shared" si="4"/>
        <v>0</v>
      </c>
      <c r="D65" s="38" t="s">
        <v>6</v>
      </c>
    </row>
    <row r="66" spans="1:23" x14ac:dyDescent="0.25">
      <c r="A66" s="166" t="s">
        <v>124</v>
      </c>
      <c r="B66" s="36" t="s">
        <v>5</v>
      </c>
      <c r="C66" s="36">
        <f t="shared" si="4"/>
        <v>0</v>
      </c>
      <c r="D66" s="38" t="s">
        <v>6</v>
      </c>
    </row>
    <row r="67" spans="1:23" x14ac:dyDescent="0.25">
      <c r="A67" s="166" t="s">
        <v>125</v>
      </c>
      <c r="B67" s="36" t="s">
        <v>5</v>
      </c>
      <c r="C67" s="36">
        <f t="shared" si="4"/>
        <v>0</v>
      </c>
      <c r="D67" s="38" t="s">
        <v>6</v>
      </c>
    </row>
    <row r="68" spans="1:23" x14ac:dyDescent="0.25">
      <c r="A68" s="166" t="s">
        <v>130</v>
      </c>
      <c r="B68" s="36" t="s">
        <v>5</v>
      </c>
      <c r="C68" s="36">
        <f t="shared" si="4"/>
        <v>0</v>
      </c>
      <c r="D68" s="38" t="s">
        <v>6</v>
      </c>
    </row>
    <row r="69" spans="1:23" x14ac:dyDescent="0.25">
      <c r="A69" s="166" t="s">
        <v>131</v>
      </c>
      <c r="B69" s="36" t="s">
        <v>5</v>
      </c>
      <c r="C69" s="36">
        <f t="shared" si="4"/>
        <v>0</v>
      </c>
      <c r="D69" s="38"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36" t="s">
        <v>5</v>
      </c>
      <c r="C72" s="36">
        <f t="shared" ref="C72:C83" si="5">IF(SUMPRODUCT(--(E72:W72&lt;&gt;""))=0,0,"N.A.")</f>
        <v>0</v>
      </c>
      <c r="D72" s="38" t="s">
        <v>6</v>
      </c>
    </row>
    <row r="73" spans="1:23" x14ac:dyDescent="0.25">
      <c r="A73" s="166" t="s">
        <v>113</v>
      </c>
      <c r="B73" s="36" t="s">
        <v>5</v>
      </c>
      <c r="C73" s="36">
        <f t="shared" si="5"/>
        <v>0</v>
      </c>
      <c r="D73" s="38" t="s">
        <v>6</v>
      </c>
    </row>
    <row r="74" spans="1:23" x14ac:dyDescent="0.25">
      <c r="A74" s="166" t="s">
        <v>115</v>
      </c>
      <c r="B74" s="36" t="s">
        <v>5</v>
      </c>
      <c r="C74" s="36">
        <f t="shared" si="5"/>
        <v>0</v>
      </c>
      <c r="D74" s="38" t="s">
        <v>6</v>
      </c>
    </row>
    <row r="75" spans="1:23" x14ac:dyDescent="0.25">
      <c r="A75" s="166" t="s">
        <v>117</v>
      </c>
      <c r="B75" s="36" t="s">
        <v>5</v>
      </c>
      <c r="C75" s="36">
        <f t="shared" si="5"/>
        <v>0</v>
      </c>
      <c r="D75" s="38" t="s">
        <v>6</v>
      </c>
    </row>
    <row r="76" spans="1:23" x14ac:dyDescent="0.25">
      <c r="A76" s="166" t="s">
        <v>119</v>
      </c>
      <c r="B76" s="36" t="s">
        <v>5</v>
      </c>
      <c r="C76" s="36">
        <f t="shared" si="5"/>
        <v>0</v>
      </c>
      <c r="D76" s="38" t="s">
        <v>6</v>
      </c>
    </row>
    <row r="77" spans="1:23" x14ac:dyDescent="0.25">
      <c r="A77" s="166" t="s">
        <v>121</v>
      </c>
      <c r="B77" s="36" t="s">
        <v>5</v>
      </c>
      <c r="C77" s="36">
        <f t="shared" si="5"/>
        <v>0</v>
      </c>
      <c r="D77" s="38" t="s">
        <v>6</v>
      </c>
    </row>
    <row r="78" spans="1:23" x14ac:dyDescent="0.25">
      <c r="A78" s="166" t="s">
        <v>128</v>
      </c>
      <c r="B78" s="36" t="s">
        <v>5</v>
      </c>
      <c r="C78" s="36">
        <f t="shared" si="5"/>
        <v>0</v>
      </c>
      <c r="D78" s="38" t="s">
        <v>6</v>
      </c>
    </row>
    <row r="79" spans="1:23" x14ac:dyDescent="0.25">
      <c r="A79" s="166" t="s">
        <v>132</v>
      </c>
      <c r="B79" s="36" t="s">
        <v>5</v>
      </c>
      <c r="C79" s="36">
        <f t="shared" si="5"/>
        <v>0</v>
      </c>
      <c r="D79" s="38" t="s">
        <v>6</v>
      </c>
    </row>
    <row r="80" spans="1:23" x14ac:dyDescent="0.25">
      <c r="A80" s="166" t="s">
        <v>124</v>
      </c>
      <c r="B80" s="36" t="s">
        <v>5</v>
      </c>
      <c r="C80" s="36">
        <f t="shared" si="5"/>
        <v>0</v>
      </c>
      <c r="D80" s="38" t="s">
        <v>6</v>
      </c>
    </row>
    <row r="81" spans="1:23" x14ac:dyDescent="0.25">
      <c r="A81" s="166" t="s">
        <v>125</v>
      </c>
      <c r="B81" s="36" t="s">
        <v>5</v>
      </c>
      <c r="C81" s="36">
        <f t="shared" si="5"/>
        <v>0</v>
      </c>
      <c r="D81" s="38" t="s">
        <v>6</v>
      </c>
    </row>
    <row r="82" spans="1:23" x14ac:dyDescent="0.25">
      <c r="A82" s="166" t="s">
        <v>130</v>
      </c>
      <c r="B82" s="36" t="s">
        <v>5</v>
      </c>
      <c r="C82" s="36">
        <f t="shared" si="5"/>
        <v>0</v>
      </c>
      <c r="D82" s="38" t="s">
        <v>6</v>
      </c>
    </row>
    <row r="83" spans="1:23" x14ac:dyDescent="0.25">
      <c r="A83" s="166" t="s">
        <v>131</v>
      </c>
      <c r="B83" s="36" t="s">
        <v>5</v>
      </c>
      <c r="C83" s="36">
        <f t="shared" si="5"/>
        <v>0</v>
      </c>
      <c r="D83" s="38"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36" t="s">
        <v>5</v>
      </c>
      <c r="C86" s="36" t="str">
        <f t="shared" ref="C86:C97" si="6">IF(SUMPRODUCT(--(E86:W86&lt;&gt;""))=0,0,"N.A.")</f>
        <v>N.A.</v>
      </c>
      <c r="D86" s="38" t="s">
        <v>6</v>
      </c>
      <c r="E86" s="41">
        <v>11989.172171602127</v>
      </c>
    </row>
    <row r="87" spans="1:23" x14ac:dyDescent="0.25">
      <c r="A87" s="166" t="s">
        <v>113</v>
      </c>
      <c r="B87" s="36" t="s">
        <v>5</v>
      </c>
      <c r="C87" s="36" t="str">
        <f t="shared" si="6"/>
        <v>N.A.</v>
      </c>
      <c r="D87" s="38" t="s">
        <v>6</v>
      </c>
      <c r="E87" s="41">
        <v>940.57531764110195</v>
      </c>
    </row>
    <row r="88" spans="1:23" x14ac:dyDescent="0.25">
      <c r="A88" s="166" t="s">
        <v>115</v>
      </c>
      <c r="B88" s="36" t="s">
        <v>5</v>
      </c>
      <c r="C88" s="36">
        <f t="shared" si="6"/>
        <v>0</v>
      </c>
      <c r="D88" s="38" t="s">
        <v>6</v>
      </c>
    </row>
    <row r="89" spans="1:23" x14ac:dyDescent="0.25">
      <c r="A89" s="166" t="s">
        <v>117</v>
      </c>
      <c r="B89" s="36" t="s">
        <v>5</v>
      </c>
      <c r="C89" s="36">
        <f t="shared" si="6"/>
        <v>0</v>
      </c>
      <c r="D89" s="38" t="s">
        <v>6</v>
      </c>
    </row>
    <row r="90" spans="1:23" x14ac:dyDescent="0.25">
      <c r="A90" s="166" t="s">
        <v>119</v>
      </c>
      <c r="B90" s="36" t="s">
        <v>5</v>
      </c>
      <c r="C90" s="36">
        <f t="shared" si="6"/>
        <v>0</v>
      </c>
      <c r="D90" s="38" t="s">
        <v>6</v>
      </c>
    </row>
    <row r="91" spans="1:23" x14ac:dyDescent="0.25">
      <c r="A91" s="166" t="s">
        <v>121</v>
      </c>
      <c r="B91" s="36" t="s">
        <v>5</v>
      </c>
      <c r="C91" s="36">
        <f t="shared" si="6"/>
        <v>0</v>
      </c>
      <c r="D91" s="38" t="s">
        <v>6</v>
      </c>
    </row>
    <row r="92" spans="1:23" x14ac:dyDescent="0.25">
      <c r="A92" s="166" t="s">
        <v>128</v>
      </c>
      <c r="B92" s="36" t="s">
        <v>5</v>
      </c>
      <c r="C92" s="36">
        <f t="shared" si="6"/>
        <v>0</v>
      </c>
      <c r="D92" s="38" t="s">
        <v>6</v>
      </c>
    </row>
    <row r="93" spans="1:23" x14ac:dyDescent="0.25">
      <c r="A93" s="166" t="s">
        <v>132</v>
      </c>
      <c r="B93" s="36" t="s">
        <v>5</v>
      </c>
      <c r="C93" s="36">
        <f t="shared" si="6"/>
        <v>0</v>
      </c>
      <c r="D93" s="38" t="s">
        <v>6</v>
      </c>
    </row>
    <row r="94" spans="1:23" x14ac:dyDescent="0.25">
      <c r="A94" s="166" t="s">
        <v>124</v>
      </c>
      <c r="B94" s="36" t="s">
        <v>5</v>
      </c>
      <c r="C94" s="36">
        <f t="shared" si="6"/>
        <v>0</v>
      </c>
      <c r="D94" s="38" t="s">
        <v>6</v>
      </c>
    </row>
    <row r="95" spans="1:23" x14ac:dyDescent="0.25">
      <c r="A95" s="166" t="s">
        <v>125</v>
      </c>
      <c r="B95" s="36" t="s">
        <v>5</v>
      </c>
      <c r="C95" s="36">
        <f t="shared" si="6"/>
        <v>0</v>
      </c>
      <c r="D95" s="38" t="s">
        <v>6</v>
      </c>
    </row>
    <row r="96" spans="1:23" x14ac:dyDescent="0.25">
      <c r="A96" s="166" t="s">
        <v>130</v>
      </c>
      <c r="B96" s="36" t="s">
        <v>5</v>
      </c>
      <c r="C96" s="36">
        <f t="shared" si="6"/>
        <v>0</v>
      </c>
      <c r="D96" s="38" t="s">
        <v>6</v>
      </c>
    </row>
    <row r="97" spans="1:23" x14ac:dyDescent="0.25">
      <c r="A97" s="166" t="s">
        <v>131</v>
      </c>
      <c r="B97" s="36" t="s">
        <v>5</v>
      </c>
      <c r="C97" s="36">
        <f t="shared" si="6"/>
        <v>0</v>
      </c>
      <c r="D97" s="38"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36" t="s">
        <v>5</v>
      </c>
      <c r="C100" s="36" t="str">
        <f t="shared" ref="C100:C111" si="7">IF(SUMPRODUCT(--(E100:W100&lt;&gt;""))=0,0,"N.A.")</f>
        <v>N.A.</v>
      </c>
      <c r="D100" s="38" t="s">
        <v>6</v>
      </c>
      <c r="E100" s="40">
        <v>107902.54954441913</v>
      </c>
    </row>
    <row r="101" spans="1:23" x14ac:dyDescent="0.25">
      <c r="A101" s="166" t="s">
        <v>113</v>
      </c>
      <c r="B101" s="36" t="s">
        <v>5</v>
      </c>
      <c r="C101" s="36" t="str">
        <f t="shared" si="7"/>
        <v>N.A.</v>
      </c>
      <c r="D101" s="38" t="s">
        <v>6</v>
      </c>
      <c r="E101" s="40">
        <v>8465.1778587699173</v>
      </c>
    </row>
    <row r="102" spans="1:23" x14ac:dyDescent="0.25">
      <c r="A102" s="166" t="s">
        <v>115</v>
      </c>
      <c r="B102" s="36" t="s">
        <v>5</v>
      </c>
      <c r="C102" s="36">
        <f t="shared" si="7"/>
        <v>0</v>
      </c>
      <c r="D102" s="38" t="s">
        <v>6</v>
      </c>
    </row>
    <row r="103" spans="1:23" x14ac:dyDescent="0.25">
      <c r="A103" s="166" t="s">
        <v>117</v>
      </c>
      <c r="B103" s="36" t="s">
        <v>5</v>
      </c>
      <c r="C103" s="36">
        <f t="shared" si="7"/>
        <v>0</v>
      </c>
      <c r="D103" s="38" t="s">
        <v>6</v>
      </c>
    </row>
    <row r="104" spans="1:23" x14ac:dyDescent="0.25">
      <c r="A104" s="166" t="s">
        <v>119</v>
      </c>
      <c r="B104" s="36" t="s">
        <v>5</v>
      </c>
      <c r="C104" s="36">
        <f t="shared" si="7"/>
        <v>0</v>
      </c>
      <c r="D104" s="38" t="s">
        <v>6</v>
      </c>
    </row>
    <row r="105" spans="1:23" x14ac:dyDescent="0.25">
      <c r="A105" s="166" t="s">
        <v>121</v>
      </c>
      <c r="B105" s="36" t="s">
        <v>5</v>
      </c>
      <c r="C105" s="36">
        <f t="shared" si="7"/>
        <v>0</v>
      </c>
      <c r="D105" s="38" t="s">
        <v>6</v>
      </c>
    </row>
    <row r="106" spans="1:23" x14ac:dyDescent="0.25">
      <c r="A106" s="166" t="s">
        <v>128</v>
      </c>
      <c r="B106" s="36" t="s">
        <v>5</v>
      </c>
      <c r="C106" s="36">
        <f t="shared" si="7"/>
        <v>0</v>
      </c>
      <c r="D106" s="38" t="s">
        <v>6</v>
      </c>
    </row>
    <row r="107" spans="1:23" x14ac:dyDescent="0.25">
      <c r="A107" s="166" t="s">
        <v>132</v>
      </c>
      <c r="B107" s="36" t="s">
        <v>5</v>
      </c>
      <c r="C107" s="36">
        <f t="shared" si="7"/>
        <v>0</v>
      </c>
      <c r="D107" s="38" t="s">
        <v>6</v>
      </c>
    </row>
    <row r="108" spans="1:23" x14ac:dyDescent="0.25">
      <c r="A108" s="166" t="s">
        <v>124</v>
      </c>
      <c r="B108" s="36" t="s">
        <v>5</v>
      </c>
      <c r="C108" s="36">
        <f t="shared" si="7"/>
        <v>0</v>
      </c>
      <c r="D108" s="38" t="s">
        <v>6</v>
      </c>
    </row>
    <row r="109" spans="1:23" x14ac:dyDescent="0.25">
      <c r="A109" s="166" t="s">
        <v>125</v>
      </c>
      <c r="B109" s="36" t="s">
        <v>5</v>
      </c>
      <c r="C109" s="36">
        <f t="shared" si="7"/>
        <v>0</v>
      </c>
      <c r="D109" s="38" t="s">
        <v>6</v>
      </c>
    </row>
    <row r="110" spans="1:23" x14ac:dyDescent="0.25">
      <c r="A110" s="166" t="s">
        <v>130</v>
      </c>
      <c r="B110" s="36" t="s">
        <v>5</v>
      </c>
      <c r="C110" s="36">
        <f t="shared" si="7"/>
        <v>0</v>
      </c>
      <c r="D110" s="38" t="s">
        <v>6</v>
      </c>
    </row>
    <row r="111" spans="1:23" x14ac:dyDescent="0.25">
      <c r="A111" s="166" t="s">
        <v>131</v>
      </c>
      <c r="B111" s="36" t="s">
        <v>5</v>
      </c>
      <c r="C111" s="36">
        <f t="shared" si="7"/>
        <v>0</v>
      </c>
      <c r="D111" s="38"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91" workbookViewId="0">
      <selection activeCell="A100" sqref="A100:A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32</v>
      </c>
      <c r="C2" t="str">
        <f t="shared" ref="C2:C13" si="0">IF(SUMPRODUCT(--(E2:W2&lt;&gt;""))=0,1,"N.A.")</f>
        <v>N.A.</v>
      </c>
      <c r="D2" s="2" t="s">
        <v>6</v>
      </c>
      <c r="G2" s="44">
        <v>0.91</v>
      </c>
      <c r="H2" s="44">
        <v>0.90243902439024393</v>
      </c>
      <c r="I2" s="44">
        <v>0.87368421052631573</v>
      </c>
      <c r="J2" s="44">
        <v>0.80722891566265054</v>
      </c>
      <c r="K2" s="44">
        <v>0.80620155038759689</v>
      </c>
      <c r="L2" s="44">
        <v>0.53736773137848137</v>
      </c>
      <c r="M2" s="44">
        <v>0.419409108534404</v>
      </c>
      <c r="N2" s="44">
        <v>0.31026494474770339</v>
      </c>
      <c r="O2" s="44">
        <v>0.26806051809682574</v>
      </c>
      <c r="P2" s="44">
        <v>0.29803540723363647</v>
      </c>
      <c r="Q2" s="44">
        <v>0.27237474342228024</v>
      </c>
      <c r="R2" s="44">
        <v>0.19340207531162304</v>
      </c>
      <c r="S2" s="44">
        <v>0.2706381910417785</v>
      </c>
      <c r="T2" s="44">
        <v>0.32278066528066529</v>
      </c>
    </row>
    <row r="3" spans="1:23" x14ac:dyDescent="0.25">
      <c r="A3" s="166" t="s">
        <v>113</v>
      </c>
      <c r="B3" t="s">
        <v>32</v>
      </c>
      <c r="C3" t="str">
        <f t="shared" si="0"/>
        <v>N.A.</v>
      </c>
      <c r="D3" s="2" t="s">
        <v>6</v>
      </c>
      <c r="G3" s="44">
        <v>0.88659793814432986</v>
      </c>
      <c r="H3" s="44">
        <v>0.9107142857142857</v>
      </c>
      <c r="I3" s="44">
        <v>0.87111111111111106</v>
      </c>
      <c r="J3" s="44">
        <v>0.82608695652173914</v>
      </c>
      <c r="K3" s="44">
        <v>0.76162790697674421</v>
      </c>
      <c r="L3" s="44">
        <v>0.73665955631399316</v>
      </c>
      <c r="M3" s="44">
        <v>0.60530990224667447</v>
      </c>
      <c r="N3" s="44">
        <v>0.5377649026439314</v>
      </c>
      <c r="O3" s="44">
        <v>0.41717614443091328</v>
      </c>
      <c r="P3" s="44">
        <v>0.41550914683503321</v>
      </c>
      <c r="Q3" s="44">
        <v>0.3889203371610373</v>
      </c>
      <c r="R3" s="44">
        <v>0.34892616326950793</v>
      </c>
      <c r="S3" s="44">
        <v>0.30410146456822551</v>
      </c>
      <c r="T3" s="44">
        <v>0.27144744518033015</v>
      </c>
    </row>
    <row r="4" spans="1:23" x14ac:dyDescent="0.25">
      <c r="A4" s="166" t="s">
        <v>115</v>
      </c>
      <c r="B4" t="s">
        <v>32</v>
      </c>
      <c r="C4" t="str">
        <f t="shared" si="0"/>
        <v>N.A.</v>
      </c>
      <c r="D4" s="2" t="s">
        <v>6</v>
      </c>
      <c r="G4" s="44">
        <v>0.9338980315406038</v>
      </c>
      <c r="H4" s="44">
        <v>0.92677272480372763</v>
      </c>
      <c r="I4" s="44">
        <v>0.91702288391986764</v>
      </c>
      <c r="J4" s="44">
        <v>0.90555909099908916</v>
      </c>
      <c r="K4" s="44">
        <v>0.94527317561454582</v>
      </c>
      <c r="L4" s="44">
        <v>0.88347534658555682</v>
      </c>
      <c r="M4" s="44"/>
      <c r="N4" s="44">
        <v>0.7651540353396169</v>
      </c>
      <c r="O4" s="44">
        <v>0.72749887742824693</v>
      </c>
      <c r="P4" s="44">
        <v>0.70516130541107092</v>
      </c>
      <c r="Q4" s="44">
        <v>0.69559801698863599</v>
      </c>
      <c r="R4" s="44">
        <v>0.62707415727369598</v>
      </c>
      <c r="S4" s="44">
        <v>0.53773733004249391</v>
      </c>
      <c r="T4" s="44">
        <v>0.515607238645027</v>
      </c>
    </row>
    <row r="5" spans="1:23" x14ac:dyDescent="0.25">
      <c r="A5" s="166" t="s">
        <v>117</v>
      </c>
      <c r="B5" t="s">
        <v>32</v>
      </c>
      <c r="C5" t="str">
        <f t="shared" si="0"/>
        <v>N.A.</v>
      </c>
      <c r="D5" s="2" t="s">
        <v>6</v>
      </c>
      <c r="G5" s="44">
        <v>0.88926672540425789</v>
      </c>
      <c r="H5" s="44">
        <v>0.87738544779796024</v>
      </c>
      <c r="I5" s="44">
        <v>0.80006032349129241</v>
      </c>
      <c r="J5" s="44">
        <v>0.80409398672108912</v>
      </c>
      <c r="K5" s="44">
        <v>0.79756867313971369</v>
      </c>
      <c r="L5" s="44">
        <v>0.745839559877707</v>
      </c>
      <c r="M5" s="44">
        <v>0.71849135883722659</v>
      </c>
      <c r="N5" s="44">
        <v>0.61470860838264163</v>
      </c>
      <c r="O5" s="44">
        <v>0.62808190930071339</v>
      </c>
      <c r="P5" s="44">
        <v>0.55299765956135027</v>
      </c>
      <c r="Q5" s="44">
        <v>0.55200818796382456</v>
      </c>
      <c r="R5" s="44">
        <v>0.47946384179243512</v>
      </c>
      <c r="S5" s="44">
        <v>0.36849975127496815</v>
      </c>
      <c r="T5" s="44">
        <v>0.41951307660078296</v>
      </c>
    </row>
    <row r="6" spans="1:23" x14ac:dyDescent="0.25">
      <c r="A6" s="166" t="s">
        <v>119</v>
      </c>
      <c r="B6" t="s">
        <v>32</v>
      </c>
      <c r="C6" t="str">
        <f t="shared" si="0"/>
        <v>N.A.</v>
      </c>
      <c r="D6" s="2" t="s">
        <v>6</v>
      </c>
      <c r="G6" s="44">
        <v>0.91313696691011537</v>
      </c>
      <c r="H6" s="44">
        <v>0.90393751599377492</v>
      </c>
      <c r="I6" s="44">
        <v>0.89149895963290227</v>
      </c>
      <c r="J6" s="44">
        <v>0.87698576382075777</v>
      </c>
      <c r="K6" s="44">
        <v>0.80760981785943775</v>
      </c>
      <c r="L6" s="44">
        <v>0.81728487080211432</v>
      </c>
      <c r="M6" s="44">
        <v>0.73981498418123381</v>
      </c>
      <c r="N6" s="44">
        <v>0.69357199206504849</v>
      </c>
      <c r="O6" s="44">
        <v>0.60410340398619511</v>
      </c>
      <c r="P6" s="44">
        <v>0.58511584644587455</v>
      </c>
      <c r="Q6" s="44">
        <v>0.56712900479374162</v>
      </c>
      <c r="R6" s="44">
        <v>0.50208692561872825</v>
      </c>
      <c r="S6" s="44">
        <v>0.42973141831156103</v>
      </c>
      <c r="T6" s="44">
        <v>0.38286884875531318</v>
      </c>
    </row>
    <row r="7" spans="1:23" x14ac:dyDescent="0.25">
      <c r="A7" s="166" t="s">
        <v>121</v>
      </c>
      <c r="B7" t="s">
        <v>32</v>
      </c>
      <c r="C7" t="str">
        <f t="shared" si="0"/>
        <v>N.A.</v>
      </c>
      <c r="D7" s="2" t="s">
        <v>6</v>
      </c>
      <c r="G7" s="44">
        <v>0.9076570808934048</v>
      </c>
      <c r="H7" s="44">
        <v>0.89752162948319569</v>
      </c>
      <c r="I7" s="44">
        <v>0.83044103693658822</v>
      </c>
      <c r="J7" s="44">
        <v>0.83398896571663372</v>
      </c>
      <c r="K7" s="44">
        <v>0.82824671421747276</v>
      </c>
      <c r="L7" s="44">
        <v>0.66526133477150717</v>
      </c>
      <c r="M7" s="44">
        <v>0.66809994127318151</v>
      </c>
      <c r="N7" s="44">
        <v>0.49943734882386709</v>
      </c>
      <c r="O7" s="44">
        <v>0.5778728703640984</v>
      </c>
      <c r="P7" s="44">
        <v>0.46713013364610889</v>
      </c>
      <c r="Q7" s="44">
        <v>0.41905980386279468</v>
      </c>
      <c r="R7" s="44">
        <v>0.4101196827429221</v>
      </c>
      <c r="S7" s="44">
        <v>0.29179084019020718</v>
      </c>
      <c r="T7" s="44">
        <v>0.28759482953767479</v>
      </c>
    </row>
    <row r="8" spans="1:23" x14ac:dyDescent="0.25">
      <c r="A8" s="166" t="s">
        <v>128</v>
      </c>
      <c r="B8" t="s">
        <v>32</v>
      </c>
      <c r="C8" t="str">
        <f t="shared" si="0"/>
        <v>N.A.</v>
      </c>
      <c r="D8" s="2" t="s">
        <v>6</v>
      </c>
      <c r="G8" s="44">
        <v>0.59337663303425792</v>
      </c>
      <c r="H8" s="44">
        <v>0.51478370567663445</v>
      </c>
      <c r="I8" s="44">
        <v>0.74110420651523445</v>
      </c>
      <c r="J8" s="44">
        <v>0.82130079468603034</v>
      </c>
      <c r="K8" s="44">
        <v>0.87550619872199453</v>
      </c>
      <c r="L8" s="44">
        <v>0</v>
      </c>
      <c r="M8" s="44">
        <v>0.86002028939221931</v>
      </c>
      <c r="N8" s="44">
        <v>0.88996834032153471</v>
      </c>
      <c r="O8" s="44">
        <v>0.82625958679364375</v>
      </c>
      <c r="P8" s="44">
        <v>0.75956555328570086</v>
      </c>
      <c r="Q8" s="44">
        <v>0.75224089437737085</v>
      </c>
      <c r="R8" s="44">
        <v>0.57444257892750406</v>
      </c>
      <c r="S8" s="44">
        <v>0.43848797623752511</v>
      </c>
      <c r="T8" s="44">
        <v>0.2383102173711531</v>
      </c>
    </row>
    <row r="9" spans="1:23" x14ac:dyDescent="0.25">
      <c r="A9" s="166" t="s">
        <v>132</v>
      </c>
      <c r="B9" t="s">
        <v>32</v>
      </c>
      <c r="C9" t="str">
        <f t="shared" si="0"/>
        <v>N.A.</v>
      </c>
      <c r="D9" s="2" t="s">
        <v>6</v>
      </c>
      <c r="G9" s="44">
        <v>0.79895282750674146</v>
      </c>
      <c r="H9" s="44">
        <v>0.74287633580985168</v>
      </c>
      <c r="I9" s="44">
        <v>0.88630442260145192</v>
      </c>
      <c r="J9" s="44">
        <v>0.92601347593701955</v>
      </c>
      <c r="K9" s="44">
        <v>0.95037522526736207</v>
      </c>
      <c r="L9" s="44">
        <v>0.97494696826591876</v>
      </c>
      <c r="M9" s="44">
        <v>0.79513782731318117</v>
      </c>
      <c r="N9" s="44">
        <v>0.71498679700530177</v>
      </c>
      <c r="O9" s="44">
        <v>0.65026818816751875</v>
      </c>
      <c r="P9" s="44">
        <v>0.62708930619907</v>
      </c>
      <c r="Q9" s="44">
        <v>0.65802614346670252</v>
      </c>
      <c r="R9" s="44">
        <v>0.56461563806280446</v>
      </c>
      <c r="S9" s="44">
        <v>0.45006377885641197</v>
      </c>
      <c r="T9" s="44">
        <v>0.31158451947012883</v>
      </c>
    </row>
    <row r="10" spans="1:23" x14ac:dyDescent="0.25">
      <c r="A10" s="166" t="s">
        <v>124</v>
      </c>
      <c r="B10" t="s">
        <v>32</v>
      </c>
      <c r="C10" t="str">
        <f t="shared" si="0"/>
        <v>N.A.</v>
      </c>
      <c r="D10" s="2" t="s">
        <v>6</v>
      </c>
      <c r="G10" s="44"/>
      <c r="H10" s="45"/>
      <c r="I10" s="45"/>
      <c r="J10" s="45"/>
      <c r="K10" s="45">
        <v>1</v>
      </c>
      <c r="L10" s="45">
        <v>0.83136094674556216</v>
      </c>
      <c r="M10" s="45">
        <v>0.83807746150256646</v>
      </c>
      <c r="N10" s="45">
        <v>0.79525032092426184</v>
      </c>
      <c r="O10" s="45">
        <v>0.7731414868105515</v>
      </c>
      <c r="P10" s="45">
        <v>0.75533165407220826</v>
      </c>
      <c r="Q10" s="45">
        <v>0.73450494272713007</v>
      </c>
      <c r="R10" s="45">
        <v>0.66998754669987548</v>
      </c>
      <c r="S10" s="45">
        <v>0.58444318503825443</v>
      </c>
      <c r="T10" s="45">
        <v>0.56289402581807269</v>
      </c>
    </row>
    <row r="11" spans="1:23" x14ac:dyDescent="0.25">
      <c r="A11" s="166" t="s">
        <v>125</v>
      </c>
      <c r="B11" t="s">
        <v>32</v>
      </c>
      <c r="C11" t="str">
        <f t="shared" si="0"/>
        <v>N.A.</v>
      </c>
      <c r="D11" s="2" t="s">
        <v>6</v>
      </c>
      <c r="G11" s="44"/>
      <c r="H11" s="45">
        <v>1</v>
      </c>
      <c r="I11" s="45"/>
      <c r="J11" s="45">
        <v>1</v>
      </c>
      <c r="K11" s="45">
        <v>0.66666666666666663</v>
      </c>
      <c r="L11" s="45">
        <v>0.74448160535117058</v>
      </c>
      <c r="M11" s="45">
        <v>0.6643248392474399</v>
      </c>
      <c r="N11" s="45">
        <v>0.65026153114598195</v>
      </c>
      <c r="O11" s="45">
        <v>0.5986425085544399</v>
      </c>
      <c r="P11" s="45">
        <v>0.58567198479692406</v>
      </c>
      <c r="Q11" s="45">
        <v>0.55454943132108492</v>
      </c>
      <c r="R11" s="45">
        <v>0.49485246805772587</v>
      </c>
      <c r="S11" s="45">
        <v>0.42765349833412658</v>
      </c>
      <c r="T11" s="45">
        <v>0.38211011497746039</v>
      </c>
    </row>
    <row r="12" spans="1:23" x14ac:dyDescent="0.25">
      <c r="A12" s="166" t="s">
        <v>130</v>
      </c>
      <c r="B12" t="s">
        <v>32</v>
      </c>
      <c r="C12" t="str">
        <f t="shared" si="0"/>
        <v>N.A.</v>
      </c>
      <c r="D12" s="2" t="s">
        <v>6</v>
      </c>
      <c r="G12" s="44"/>
      <c r="H12" s="44"/>
      <c r="I12" s="44"/>
      <c r="J12" s="44"/>
      <c r="K12" s="44"/>
      <c r="L12" s="44"/>
      <c r="M12" s="44"/>
      <c r="N12" s="44"/>
      <c r="O12" s="44"/>
      <c r="P12" s="44"/>
      <c r="Q12" s="44"/>
      <c r="R12" s="44"/>
      <c r="S12" s="44"/>
      <c r="T12" s="44">
        <v>0.515607238645027</v>
      </c>
    </row>
    <row r="13" spans="1:23" x14ac:dyDescent="0.25">
      <c r="A13" s="166" t="s">
        <v>131</v>
      </c>
      <c r="B13" t="s">
        <v>32</v>
      </c>
      <c r="C13" t="str">
        <f t="shared" si="0"/>
        <v>N.A.</v>
      </c>
      <c r="D13" s="2" t="s">
        <v>6</v>
      </c>
      <c r="G13" s="44"/>
      <c r="H13" s="44"/>
      <c r="I13" s="44"/>
      <c r="J13" s="44"/>
      <c r="K13" s="44"/>
      <c r="L13" s="44"/>
      <c r="M13" s="44"/>
      <c r="N13" s="44"/>
      <c r="O13" s="44"/>
      <c r="P13" s="44"/>
      <c r="Q13" s="44"/>
      <c r="R13" s="44"/>
      <c r="S13" s="44"/>
      <c r="T13" s="44">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32</v>
      </c>
      <c r="C16" t="str">
        <f t="shared" ref="C16:C27" si="1">IF(SUMPRODUCT(--(E16:W16&lt;&gt;""))=0,1,"N.A.")</f>
        <v>N.A.</v>
      </c>
      <c r="D16" s="2" t="s">
        <v>6</v>
      </c>
      <c r="G16" s="46">
        <v>8.9999999999999969E-2</v>
      </c>
      <c r="H16" s="46">
        <v>9.7560975609756073E-2</v>
      </c>
      <c r="I16" s="46">
        <v>0.12631578947368427</v>
      </c>
      <c r="J16" s="46">
        <v>0.19277108433734946</v>
      </c>
      <c r="K16" s="46">
        <v>0.19379844961240311</v>
      </c>
      <c r="L16" s="46">
        <v>0.46263226862151863</v>
      </c>
      <c r="M16" s="46">
        <v>0.58059089146559595</v>
      </c>
      <c r="N16" s="46">
        <v>0.68973505525229661</v>
      </c>
      <c r="O16" s="46">
        <v>0.73193948190317426</v>
      </c>
      <c r="P16" s="46">
        <v>0.70196459276636358</v>
      </c>
      <c r="Q16" s="46">
        <v>0.7276252565777197</v>
      </c>
      <c r="R16" s="46">
        <v>0.80659792468837699</v>
      </c>
      <c r="S16" s="46">
        <v>0.72936180895822145</v>
      </c>
      <c r="T16" s="46">
        <v>0.67721933471933471</v>
      </c>
    </row>
    <row r="17" spans="1:23" x14ac:dyDescent="0.25">
      <c r="A17" s="166" t="s">
        <v>113</v>
      </c>
      <c r="B17" t="s">
        <v>32</v>
      </c>
      <c r="C17" t="str">
        <f t="shared" si="1"/>
        <v>N.A.</v>
      </c>
      <c r="D17" s="2" t="s">
        <v>6</v>
      </c>
      <c r="G17" s="46">
        <v>0.11340206185567014</v>
      </c>
      <c r="H17" s="46">
        <v>8.9285714285714302E-2</v>
      </c>
      <c r="I17" s="46">
        <v>0.12888888888888894</v>
      </c>
      <c r="J17" s="46">
        <v>0.17391304347826086</v>
      </c>
      <c r="K17" s="46">
        <v>0.23837209302325579</v>
      </c>
      <c r="L17" s="46">
        <v>0.26334044368600684</v>
      </c>
      <c r="M17" s="46">
        <v>0.39469009775332553</v>
      </c>
      <c r="N17" s="46">
        <v>0.4622350973560686</v>
      </c>
      <c r="O17" s="46">
        <v>0.58282385556908678</v>
      </c>
      <c r="P17" s="46">
        <v>0.58449085316496685</v>
      </c>
      <c r="Q17" s="46">
        <v>0.61107966283896276</v>
      </c>
      <c r="R17" s="46">
        <v>0.65107383673049202</v>
      </c>
      <c r="S17" s="46">
        <v>0.69589853543177449</v>
      </c>
      <c r="T17" s="46">
        <v>0.72855255481966985</v>
      </c>
    </row>
    <row r="18" spans="1:23" x14ac:dyDescent="0.25">
      <c r="A18" s="166" t="s">
        <v>115</v>
      </c>
      <c r="B18" t="s">
        <v>32</v>
      </c>
      <c r="C18" t="str">
        <f t="shared" si="1"/>
        <v>N.A.</v>
      </c>
      <c r="D18" s="2" t="s">
        <v>6</v>
      </c>
      <c r="G18" s="46">
        <v>6.6101968459396199E-2</v>
      </c>
      <c r="H18" s="46">
        <v>7.3227275196272368E-2</v>
      </c>
      <c r="I18" s="46">
        <v>8.2977116080132363E-2</v>
      </c>
      <c r="J18" s="46">
        <v>9.4440909000910844E-2</v>
      </c>
      <c r="K18" s="46">
        <v>5.4726824385454176E-2</v>
      </c>
      <c r="L18" s="46">
        <v>0.11652465341444318</v>
      </c>
      <c r="M18" s="46"/>
      <c r="N18" s="46">
        <v>0.2348459646603831</v>
      </c>
      <c r="O18" s="46">
        <v>0.27250112257175307</v>
      </c>
      <c r="P18" s="46">
        <v>0.29483869458892908</v>
      </c>
      <c r="Q18" s="46">
        <v>0.30440198301136401</v>
      </c>
      <c r="R18" s="46">
        <v>0.37292584272630402</v>
      </c>
      <c r="S18" s="46">
        <v>0.46226266995750609</v>
      </c>
      <c r="T18" s="46">
        <v>0.484392761354973</v>
      </c>
    </row>
    <row r="19" spans="1:23" x14ac:dyDescent="0.25">
      <c r="A19" s="166" t="s">
        <v>117</v>
      </c>
      <c r="B19" t="s">
        <v>32</v>
      </c>
      <c r="C19" t="str">
        <f t="shared" si="1"/>
        <v>N.A.</v>
      </c>
      <c r="D19" s="2" t="s">
        <v>6</v>
      </c>
      <c r="G19" s="46">
        <v>0.11073327459574211</v>
      </c>
      <c r="H19" s="46">
        <v>0.12261455220203976</v>
      </c>
      <c r="I19" s="46">
        <v>0.19993967650870759</v>
      </c>
      <c r="J19" s="46">
        <v>0.19590601327891088</v>
      </c>
      <c r="K19" s="46">
        <v>0.20243132686028631</v>
      </c>
      <c r="L19" s="46">
        <v>0.254160440122293</v>
      </c>
      <c r="M19" s="46">
        <v>0.28150864116277341</v>
      </c>
      <c r="N19" s="46">
        <v>0.38529139161735837</v>
      </c>
      <c r="O19" s="46">
        <v>0.37191809069928661</v>
      </c>
      <c r="P19" s="46">
        <v>0.44700234043864973</v>
      </c>
      <c r="Q19" s="46">
        <v>0.44799181203617544</v>
      </c>
      <c r="R19" s="46">
        <v>0.52053615820756494</v>
      </c>
      <c r="S19" s="46">
        <v>0.63150024872503185</v>
      </c>
      <c r="T19" s="46">
        <v>0.58048692339921704</v>
      </c>
    </row>
    <row r="20" spans="1:23" x14ac:dyDescent="0.25">
      <c r="A20" s="166" t="s">
        <v>119</v>
      </c>
      <c r="B20" t="s">
        <v>32</v>
      </c>
      <c r="C20" t="str">
        <f t="shared" si="1"/>
        <v>N.A.</v>
      </c>
      <c r="D20" s="2" t="s">
        <v>6</v>
      </c>
      <c r="G20" s="46">
        <v>8.6863033089884634E-2</v>
      </c>
      <c r="H20" s="46">
        <v>9.606248400622508E-2</v>
      </c>
      <c r="I20" s="46">
        <v>0.10850104036709773</v>
      </c>
      <c r="J20" s="46">
        <v>0.12301423617924223</v>
      </c>
      <c r="K20" s="46">
        <v>0.19239018214056225</v>
      </c>
      <c r="L20" s="46">
        <v>0.18271512919788568</v>
      </c>
      <c r="M20" s="46">
        <v>0.26018501581876619</v>
      </c>
      <c r="N20" s="46">
        <v>0.30642800793495151</v>
      </c>
      <c r="O20" s="46">
        <v>0.39589659601380489</v>
      </c>
      <c r="P20" s="46">
        <v>0.41488415355412545</v>
      </c>
      <c r="Q20" s="46">
        <v>0.43287099520625838</v>
      </c>
      <c r="R20" s="46">
        <v>0.49791307438127175</v>
      </c>
      <c r="S20" s="46">
        <v>0.57026858168843897</v>
      </c>
      <c r="T20" s="46">
        <v>0.61713115124468687</v>
      </c>
    </row>
    <row r="21" spans="1:23" x14ac:dyDescent="0.25">
      <c r="A21" s="166" t="s">
        <v>121</v>
      </c>
      <c r="B21" t="s">
        <v>32</v>
      </c>
      <c r="C21" t="str">
        <f t="shared" si="1"/>
        <v>N.A.</v>
      </c>
      <c r="D21" s="2" t="s">
        <v>6</v>
      </c>
      <c r="G21" s="46">
        <v>9.23429191065952E-2</v>
      </c>
      <c r="H21" s="46">
        <v>0.10247837051680431</v>
      </c>
      <c r="I21" s="46">
        <v>0.16955896306341178</v>
      </c>
      <c r="J21" s="46">
        <v>0.16601103428336628</v>
      </c>
      <c r="K21" s="46">
        <v>0.17175328578252724</v>
      </c>
      <c r="L21" s="46">
        <v>0.33473866522849283</v>
      </c>
      <c r="M21" s="46">
        <v>0.33190005872681849</v>
      </c>
      <c r="N21" s="46">
        <v>0.50056265117613297</v>
      </c>
      <c r="O21" s="46">
        <v>0.4221271296359016</v>
      </c>
      <c r="P21" s="46">
        <v>0.53286986635389111</v>
      </c>
      <c r="Q21" s="46">
        <v>0.58094019613720538</v>
      </c>
      <c r="R21" s="46">
        <v>0.5898803172570779</v>
      </c>
      <c r="S21" s="46">
        <v>0.70820915980979282</v>
      </c>
      <c r="T21" s="46">
        <v>0.71240517046232521</v>
      </c>
    </row>
    <row r="22" spans="1:23" x14ac:dyDescent="0.25">
      <c r="A22" s="166" t="s">
        <v>128</v>
      </c>
      <c r="B22" t="s">
        <v>32</v>
      </c>
      <c r="C22" t="str">
        <f t="shared" si="1"/>
        <v>N.A.</v>
      </c>
      <c r="D22" s="2" t="s">
        <v>6</v>
      </c>
      <c r="G22" s="46">
        <v>0.40662336696574208</v>
      </c>
      <c r="H22" s="46">
        <v>0.48521629432336555</v>
      </c>
      <c r="I22" s="46">
        <v>0.25889579348476555</v>
      </c>
      <c r="J22" s="46">
        <v>0.17869920531396966</v>
      </c>
      <c r="K22" s="46">
        <v>0.12449380127800547</v>
      </c>
      <c r="L22" s="46">
        <v>1</v>
      </c>
      <c r="M22" s="46">
        <v>0.13997971060778069</v>
      </c>
      <c r="N22" s="46">
        <v>0.11003165967846529</v>
      </c>
      <c r="O22" s="46">
        <v>0.17374041320635625</v>
      </c>
      <c r="P22" s="46">
        <v>0.24043444671429914</v>
      </c>
      <c r="Q22" s="46">
        <v>0.24775910562262915</v>
      </c>
      <c r="R22" s="46">
        <v>0.42555742107249594</v>
      </c>
      <c r="S22" s="46">
        <v>0.56151202376247489</v>
      </c>
      <c r="T22" s="46">
        <v>0.7616897826288469</v>
      </c>
    </row>
    <row r="23" spans="1:23" x14ac:dyDescent="0.25">
      <c r="A23" s="166" t="s">
        <v>132</v>
      </c>
      <c r="B23" t="s">
        <v>32</v>
      </c>
      <c r="C23" t="str">
        <f t="shared" si="1"/>
        <v>N.A.</v>
      </c>
      <c r="D23" s="2" t="s">
        <v>6</v>
      </c>
      <c r="G23" s="46">
        <v>0.20104717249325854</v>
      </c>
      <c r="H23" s="46">
        <v>0.25712366419014832</v>
      </c>
      <c r="I23" s="46">
        <v>0.11369557739854808</v>
      </c>
      <c r="J23" s="46">
        <v>7.3986524062980452E-2</v>
      </c>
      <c r="K23" s="46">
        <v>4.9624774732637933E-2</v>
      </c>
      <c r="L23" s="46">
        <v>2.5053031734081244E-2</v>
      </c>
      <c r="M23" s="46">
        <v>0.20486217268681883</v>
      </c>
      <c r="N23" s="46">
        <v>0.28501320299469823</v>
      </c>
      <c r="O23" s="46">
        <v>0.34973181183248125</v>
      </c>
      <c r="P23" s="46">
        <v>0.37291069380093</v>
      </c>
      <c r="Q23" s="46">
        <v>0.34197385653329748</v>
      </c>
      <c r="R23" s="46">
        <v>0.43538436193719554</v>
      </c>
      <c r="S23" s="46">
        <v>0.54993622114358809</v>
      </c>
      <c r="T23" s="46">
        <v>0.68841548052987123</v>
      </c>
    </row>
    <row r="24" spans="1:23" x14ac:dyDescent="0.25">
      <c r="A24" s="166" t="s">
        <v>124</v>
      </c>
      <c r="B24" t="s">
        <v>32</v>
      </c>
      <c r="C24" t="str">
        <f t="shared" si="1"/>
        <v>N.A.</v>
      </c>
      <c r="D24" s="2" t="s">
        <v>6</v>
      </c>
      <c r="G24" s="46"/>
      <c r="H24" s="48"/>
      <c r="I24" s="48"/>
      <c r="J24" s="48"/>
      <c r="K24" s="48">
        <v>0</v>
      </c>
      <c r="L24" s="48">
        <v>0.16863905325443784</v>
      </c>
      <c r="M24" s="48">
        <v>0.16192253849743354</v>
      </c>
      <c r="N24" s="48">
        <v>0.20474967907573816</v>
      </c>
      <c r="O24" s="48">
        <v>0.2268585131894485</v>
      </c>
      <c r="P24" s="48">
        <v>0.24466834592779174</v>
      </c>
      <c r="Q24" s="48">
        <v>0.26549505727286993</v>
      </c>
      <c r="R24" s="48">
        <v>0.33001245330012452</v>
      </c>
      <c r="S24" s="48">
        <v>0.41555681496174557</v>
      </c>
      <c r="T24" s="48">
        <v>0.43710597418192731</v>
      </c>
    </row>
    <row r="25" spans="1:23" x14ac:dyDescent="0.25">
      <c r="A25" s="166" t="s">
        <v>125</v>
      </c>
      <c r="B25" t="s">
        <v>32</v>
      </c>
      <c r="C25" t="str">
        <f t="shared" si="1"/>
        <v>N.A.</v>
      </c>
      <c r="D25" s="2" t="s">
        <v>6</v>
      </c>
      <c r="G25" s="46"/>
      <c r="H25" s="48">
        <v>0</v>
      </c>
      <c r="I25" s="48"/>
      <c r="J25" s="48">
        <v>0</v>
      </c>
      <c r="K25" s="48">
        <v>0.33333333333333337</v>
      </c>
      <c r="L25" s="48">
        <v>0.25551839464882942</v>
      </c>
      <c r="M25" s="48">
        <v>0.3356751607525601</v>
      </c>
      <c r="N25" s="48">
        <v>0.34973846885401805</v>
      </c>
      <c r="O25" s="48">
        <v>0.4013574914455601</v>
      </c>
      <c r="P25" s="48">
        <v>0.41432801520307594</v>
      </c>
      <c r="Q25" s="48">
        <v>0.44545056867891508</v>
      </c>
      <c r="R25" s="48">
        <v>0.50514753194227413</v>
      </c>
      <c r="S25" s="48">
        <v>0.57234650166587342</v>
      </c>
      <c r="T25" s="48">
        <v>0.61788988502253961</v>
      </c>
    </row>
    <row r="26" spans="1:23" x14ac:dyDescent="0.25">
      <c r="A26" s="166" t="s">
        <v>130</v>
      </c>
      <c r="B26" t="s">
        <v>32</v>
      </c>
      <c r="C26" t="str">
        <f t="shared" si="1"/>
        <v>N.A.</v>
      </c>
      <c r="D26" s="2" t="s">
        <v>6</v>
      </c>
      <c r="G26" s="46"/>
      <c r="H26" s="46"/>
      <c r="I26" s="46"/>
      <c r="J26" s="46"/>
      <c r="K26" s="46"/>
      <c r="L26" s="46"/>
      <c r="M26" s="46"/>
      <c r="N26" s="46"/>
      <c r="O26" s="46"/>
      <c r="P26" s="46"/>
      <c r="Q26" s="46"/>
      <c r="R26" s="46"/>
      <c r="S26" s="46"/>
      <c r="T26" s="47">
        <v>0.48399999999999999</v>
      </c>
    </row>
    <row r="27" spans="1:23" x14ac:dyDescent="0.25">
      <c r="A27" s="166" t="s">
        <v>131</v>
      </c>
      <c r="B27" t="s">
        <v>32</v>
      </c>
      <c r="C27" t="str">
        <f t="shared" si="1"/>
        <v>N.A.</v>
      </c>
      <c r="D27" s="2" t="s">
        <v>6</v>
      </c>
      <c r="G27" s="46"/>
      <c r="H27" s="46"/>
      <c r="I27" s="46"/>
      <c r="J27" s="46"/>
      <c r="K27" s="46"/>
      <c r="L27" s="46"/>
      <c r="M27" s="46"/>
      <c r="N27" s="46"/>
      <c r="O27" s="46"/>
      <c r="P27" s="46"/>
      <c r="Q27" s="46"/>
      <c r="R27" s="46"/>
      <c r="S27" s="46"/>
      <c r="T27" s="47">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32</v>
      </c>
      <c r="C30" t="str">
        <f t="shared" ref="C30:C41" si="2">IF(SUMPRODUCT(--(E30:W30&lt;&gt;""))=0,1,"N.A.")</f>
        <v>N.A.</v>
      </c>
      <c r="D30" s="2" t="s">
        <v>6</v>
      </c>
      <c r="E30" s="49"/>
      <c r="F30" s="49"/>
      <c r="G30" s="50"/>
      <c r="H30" s="50"/>
      <c r="I30" s="50"/>
      <c r="J30" s="50"/>
      <c r="K30" s="50"/>
      <c r="L30" s="50">
        <v>0.99947077238734572</v>
      </c>
      <c r="M30" s="50">
        <v>0.9987921444654867</v>
      </c>
      <c r="N30" s="50"/>
      <c r="O30" s="50">
        <v>0.99658105085574678</v>
      </c>
      <c r="P30" s="50">
        <v>0.9975878461299742</v>
      </c>
      <c r="Q30" s="50">
        <v>0.99606071635016802</v>
      </c>
      <c r="R30" s="50">
        <v>0.99648353209664964</v>
      </c>
      <c r="S30" s="50">
        <v>0.99704118352658933</v>
      </c>
      <c r="T30" s="50">
        <v>0.99686005506980335</v>
      </c>
    </row>
    <row r="31" spans="1:23" x14ac:dyDescent="0.25">
      <c r="A31" s="166" t="s">
        <v>113</v>
      </c>
      <c r="B31" t="s">
        <v>32</v>
      </c>
      <c r="C31" t="str">
        <f t="shared" si="2"/>
        <v>N.A.</v>
      </c>
      <c r="D31" s="2" t="s">
        <v>6</v>
      </c>
      <c r="E31" s="49"/>
      <c r="F31" s="49"/>
      <c r="G31" s="50"/>
      <c r="H31" s="50"/>
      <c r="I31" s="50"/>
      <c r="J31" s="50"/>
      <c r="K31" s="50"/>
      <c r="L31" s="50">
        <v>0.99754899595059898</v>
      </c>
      <c r="M31" s="50">
        <v>0.99071409832180968</v>
      </c>
      <c r="N31" s="50">
        <v>0.99098868773517101</v>
      </c>
      <c r="O31" s="50">
        <v>0.99347558793696744</v>
      </c>
      <c r="P31" s="50">
        <v>0.99742850463648403</v>
      </c>
      <c r="Q31" s="50">
        <v>0.985547980960365</v>
      </c>
      <c r="R31" s="50">
        <v>0.9846583627596508</v>
      </c>
      <c r="S31" s="50">
        <v>0.97651159900528983</v>
      </c>
      <c r="T31" s="50">
        <v>0.96401820422869067</v>
      </c>
    </row>
    <row r="32" spans="1:23" x14ac:dyDescent="0.25">
      <c r="A32" s="166" t="s">
        <v>115</v>
      </c>
      <c r="B32" t="s">
        <v>32</v>
      </c>
      <c r="C32" t="str">
        <f t="shared" si="2"/>
        <v>N.A.</v>
      </c>
      <c r="D32" s="2" t="s">
        <v>6</v>
      </c>
      <c r="E32" s="49"/>
      <c r="F32" s="49"/>
      <c r="G32" s="50"/>
      <c r="H32" s="50"/>
      <c r="I32" s="50"/>
      <c r="J32" s="50"/>
      <c r="K32" s="50"/>
      <c r="L32" s="50">
        <v>0.96126863564171106</v>
      </c>
      <c r="M32" s="50">
        <v>0.91082079156184814</v>
      </c>
      <c r="N32" s="50">
        <v>0.98930470707586993</v>
      </c>
      <c r="O32" s="50">
        <v>0.9983427166321126</v>
      </c>
      <c r="P32" s="50">
        <v>0.98758165742721316</v>
      </c>
      <c r="Q32" s="50">
        <v>0.98820914253509295</v>
      </c>
      <c r="R32" s="50">
        <v>0.98013842106523685</v>
      </c>
      <c r="S32" s="50">
        <v>0.9757197944225614</v>
      </c>
      <c r="T32" s="50">
        <v>0.9636867943047438</v>
      </c>
    </row>
    <row r="33" spans="1:23" x14ac:dyDescent="0.25">
      <c r="A33" s="166" t="s">
        <v>117</v>
      </c>
      <c r="B33" t="s">
        <v>32</v>
      </c>
      <c r="C33" t="str">
        <f t="shared" si="2"/>
        <v>N.A.</v>
      </c>
      <c r="D33" s="2" t="s">
        <v>6</v>
      </c>
      <c r="E33" s="49"/>
      <c r="F33" s="49"/>
      <c r="G33" s="50"/>
      <c r="H33" s="50"/>
      <c r="I33" s="50"/>
      <c r="J33" s="50"/>
      <c r="K33" s="50"/>
      <c r="L33" s="50"/>
      <c r="M33" s="50">
        <v>0.99569093532598985</v>
      </c>
      <c r="N33" s="50">
        <v>0.99074409354779513</v>
      </c>
      <c r="O33" s="50">
        <v>0.79848786913190151</v>
      </c>
      <c r="P33" s="50">
        <v>0.99793445178297191</v>
      </c>
      <c r="Q33" s="50">
        <v>0.99893015653424944</v>
      </c>
      <c r="R33" s="50">
        <v>0.97557054416748479</v>
      </c>
      <c r="S33" s="50">
        <v>0.97584326420986922</v>
      </c>
      <c r="T33" s="50">
        <v>0.9718425055041956</v>
      </c>
    </row>
    <row r="34" spans="1:23" x14ac:dyDescent="0.25">
      <c r="A34" s="166" t="s">
        <v>119</v>
      </c>
      <c r="B34" t="s">
        <v>32</v>
      </c>
      <c r="C34" t="str">
        <f t="shared" si="2"/>
        <v>N.A.</v>
      </c>
      <c r="D34" s="2" t="s">
        <v>6</v>
      </c>
      <c r="E34" s="49"/>
      <c r="F34" s="49"/>
      <c r="G34" s="50"/>
      <c r="H34" s="50"/>
      <c r="I34" s="50"/>
      <c r="J34" s="50"/>
      <c r="K34" s="50"/>
      <c r="L34" s="50"/>
      <c r="M34" s="50">
        <v>0.99782406347036379</v>
      </c>
      <c r="N34" s="50">
        <v>0.98969401272113711</v>
      </c>
      <c r="O34" s="50">
        <v>0.9990427178938891</v>
      </c>
      <c r="P34" s="50">
        <v>0.98898954595292399</v>
      </c>
      <c r="Q34" s="50">
        <v>0.98663371350033047</v>
      </c>
      <c r="R34" s="50">
        <v>0.97031526908539956</v>
      </c>
      <c r="S34" s="50">
        <v>0.95442974168903294</v>
      </c>
      <c r="T34" s="50">
        <v>0.93306289353512106</v>
      </c>
    </row>
    <row r="35" spans="1:23" x14ac:dyDescent="0.25">
      <c r="A35" s="166" t="s">
        <v>121</v>
      </c>
      <c r="B35" t="s">
        <v>32</v>
      </c>
      <c r="C35" t="str">
        <f t="shared" si="2"/>
        <v>N.A.</v>
      </c>
      <c r="D35" s="2" t="s">
        <v>6</v>
      </c>
      <c r="E35" s="49"/>
      <c r="F35" s="49"/>
      <c r="G35" s="50"/>
      <c r="H35" s="50"/>
      <c r="I35" s="50"/>
      <c r="J35" s="50"/>
      <c r="K35" s="50"/>
      <c r="L35" s="50"/>
      <c r="M35" s="50">
        <v>0.99664293962509776</v>
      </c>
      <c r="N35" s="50"/>
      <c r="O35" s="50"/>
      <c r="P35" s="50">
        <v>0.9916557476018264</v>
      </c>
      <c r="Q35" s="50">
        <v>0.9917907624737109</v>
      </c>
      <c r="R35" s="50">
        <v>0.97875278869648363</v>
      </c>
      <c r="S35" s="50"/>
      <c r="T35" s="50">
        <v>0.97036668283150596</v>
      </c>
    </row>
    <row r="36" spans="1:23" x14ac:dyDescent="0.25">
      <c r="A36" s="166" t="s">
        <v>128</v>
      </c>
      <c r="B36" t="s">
        <v>32</v>
      </c>
      <c r="C36" t="str">
        <f t="shared" si="2"/>
        <v>N.A.</v>
      </c>
      <c r="D36" s="2" t="s">
        <v>6</v>
      </c>
      <c r="E36" s="49"/>
      <c r="F36" s="49"/>
      <c r="G36" s="50"/>
      <c r="H36" s="50"/>
      <c r="I36" s="50"/>
      <c r="J36" s="50"/>
      <c r="K36" s="50"/>
      <c r="L36" s="50">
        <v>1</v>
      </c>
      <c r="M36" s="50">
        <v>1</v>
      </c>
      <c r="N36" s="50">
        <v>1</v>
      </c>
      <c r="O36" s="50">
        <v>1</v>
      </c>
      <c r="P36" s="50">
        <v>1</v>
      </c>
      <c r="Q36" s="50">
        <v>1</v>
      </c>
      <c r="R36" s="50">
        <v>1</v>
      </c>
      <c r="S36" s="50">
        <v>1</v>
      </c>
      <c r="T36" s="50">
        <v>1</v>
      </c>
    </row>
    <row r="37" spans="1:23" x14ac:dyDescent="0.25">
      <c r="A37" s="166" t="s">
        <v>132</v>
      </c>
      <c r="B37" t="s">
        <v>32</v>
      </c>
      <c r="C37" t="str">
        <f t="shared" si="2"/>
        <v>N.A.</v>
      </c>
      <c r="D37" s="2" t="s">
        <v>6</v>
      </c>
      <c r="E37" s="49"/>
      <c r="F37" s="49"/>
      <c r="G37" s="50"/>
      <c r="H37" s="50"/>
      <c r="I37" s="50"/>
      <c r="J37" s="50"/>
      <c r="K37" s="50"/>
      <c r="L37" s="50">
        <v>1</v>
      </c>
      <c r="M37" s="50">
        <v>1</v>
      </c>
      <c r="N37" s="50">
        <v>1</v>
      </c>
      <c r="O37" s="50">
        <v>1</v>
      </c>
      <c r="P37" s="50">
        <v>1</v>
      </c>
      <c r="Q37" s="50">
        <v>1</v>
      </c>
      <c r="R37" s="50">
        <v>1</v>
      </c>
      <c r="S37" s="50">
        <v>1</v>
      </c>
      <c r="T37" s="50">
        <v>1</v>
      </c>
    </row>
    <row r="38" spans="1:23" x14ac:dyDescent="0.25">
      <c r="A38" s="166" t="s">
        <v>124</v>
      </c>
      <c r="B38" t="s">
        <v>32</v>
      </c>
      <c r="C38" t="str">
        <f t="shared" si="2"/>
        <v>N.A.</v>
      </c>
      <c r="D38" s="2" t="s">
        <v>6</v>
      </c>
      <c r="E38" s="49">
        <v>1</v>
      </c>
      <c r="F38" s="49"/>
      <c r="G38" s="50"/>
      <c r="H38" s="50"/>
      <c r="I38" s="50"/>
      <c r="J38" s="50"/>
      <c r="K38" s="50"/>
      <c r="L38" s="50"/>
      <c r="M38" s="50"/>
      <c r="N38" s="50"/>
      <c r="O38" s="50"/>
      <c r="P38" s="50"/>
      <c r="Q38" s="50"/>
      <c r="R38" s="50"/>
      <c r="S38" s="50"/>
      <c r="T38" s="50"/>
    </row>
    <row r="39" spans="1:23" x14ac:dyDescent="0.25">
      <c r="A39" s="166" t="s">
        <v>125</v>
      </c>
      <c r="B39" t="s">
        <v>32</v>
      </c>
      <c r="C39" t="str">
        <f t="shared" si="2"/>
        <v>N.A.</v>
      </c>
      <c r="D39" s="2" t="s">
        <v>6</v>
      </c>
      <c r="E39" s="49">
        <v>1</v>
      </c>
      <c r="F39" s="49"/>
      <c r="G39" s="50"/>
      <c r="H39" s="50"/>
      <c r="I39" s="50"/>
      <c r="J39" s="50"/>
      <c r="K39" s="50"/>
      <c r="L39" s="50"/>
      <c r="M39" s="50"/>
      <c r="N39" s="50"/>
      <c r="O39" s="50"/>
      <c r="P39" s="50"/>
      <c r="Q39" s="50"/>
      <c r="R39" s="50"/>
      <c r="S39" s="50"/>
      <c r="T39" s="50"/>
    </row>
    <row r="40" spans="1:23" x14ac:dyDescent="0.25">
      <c r="A40" s="166" t="s">
        <v>130</v>
      </c>
      <c r="B40" t="s">
        <v>32</v>
      </c>
      <c r="C40" t="str">
        <f t="shared" si="2"/>
        <v>N.A.</v>
      </c>
      <c r="D40" s="2" t="s">
        <v>6</v>
      </c>
      <c r="E40" s="49"/>
      <c r="F40" s="49"/>
      <c r="G40" s="50"/>
      <c r="H40" s="50"/>
      <c r="I40" s="50"/>
      <c r="J40" s="50"/>
      <c r="K40" s="50"/>
      <c r="L40" s="50"/>
      <c r="M40" s="50"/>
      <c r="N40" s="50"/>
      <c r="O40" s="50"/>
      <c r="P40" s="50"/>
      <c r="Q40" s="50"/>
      <c r="R40" s="50"/>
      <c r="S40" s="50"/>
      <c r="T40" s="50">
        <v>0.96883310662908184</v>
      </c>
    </row>
    <row r="41" spans="1:23" x14ac:dyDescent="0.25">
      <c r="A41" s="166" t="s">
        <v>131</v>
      </c>
      <c r="B41" t="s">
        <v>32</v>
      </c>
      <c r="C41" t="str">
        <f t="shared" si="2"/>
        <v>N.A.</v>
      </c>
      <c r="D41" s="2" t="s">
        <v>6</v>
      </c>
      <c r="E41" s="49"/>
      <c r="F41" s="49"/>
      <c r="G41" s="50"/>
      <c r="H41" s="50"/>
      <c r="I41" s="50"/>
      <c r="J41" s="50"/>
      <c r="K41" s="50"/>
      <c r="L41" s="50"/>
      <c r="M41" s="50"/>
      <c r="N41" s="50"/>
      <c r="O41" s="50"/>
      <c r="P41" s="50"/>
      <c r="Q41" s="50"/>
      <c r="R41" s="50"/>
      <c r="S41" s="50"/>
      <c r="T41" s="50">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32</v>
      </c>
      <c r="C44" t="str">
        <f t="shared" ref="C44:C55" si="3">IF(SUMPRODUCT(--(E44:W44&lt;&gt;""))=0,1,"N.A.")</f>
        <v>N.A.</v>
      </c>
      <c r="D44" s="2" t="s">
        <v>6</v>
      </c>
      <c r="L44" s="51">
        <v>5.2922761265423936E-4</v>
      </c>
      <c r="M44" s="51">
        <v>6.0392776725667679E-4</v>
      </c>
      <c r="N44" s="51"/>
      <c r="O44" s="51">
        <v>3.4189491442531811E-3</v>
      </c>
      <c r="P44" s="51">
        <v>2.4121538700258142E-3</v>
      </c>
      <c r="Q44" s="51">
        <v>3.9392836498319383E-3</v>
      </c>
      <c r="R44" s="51">
        <v>3.5164679033504124E-3</v>
      </c>
      <c r="S44" s="51">
        <v>2.9588164734106353E-3</v>
      </c>
      <c r="T44" s="51">
        <v>3.1399449301966085E-3</v>
      </c>
    </row>
    <row r="45" spans="1:23" x14ac:dyDescent="0.25">
      <c r="A45" s="166" t="s">
        <v>113</v>
      </c>
      <c r="B45" t="s">
        <v>32</v>
      </c>
      <c r="C45" t="str">
        <f t="shared" si="3"/>
        <v>N.A.</v>
      </c>
      <c r="D45" s="2" t="s">
        <v>6</v>
      </c>
      <c r="L45" s="51">
        <v>2.4510040494010194E-3</v>
      </c>
      <c r="M45" s="51">
        <v>9.2859016781902965E-3</v>
      </c>
      <c r="N45" s="51">
        <v>9.011312264829114E-3</v>
      </c>
      <c r="O45" s="51">
        <v>6.5244120630325465E-3</v>
      </c>
      <c r="P45" s="51">
        <v>2.5714953635159353E-3</v>
      </c>
      <c r="Q45" s="51">
        <v>1.445201903963505E-2</v>
      </c>
      <c r="R45" s="51">
        <v>1.5341637240349242E-2</v>
      </c>
      <c r="S45" s="51">
        <v>2.3488400994710223E-2</v>
      </c>
      <c r="T45" s="51">
        <v>3.5981795771309374E-2</v>
      </c>
    </row>
    <row r="46" spans="1:23" x14ac:dyDescent="0.25">
      <c r="A46" s="166" t="s">
        <v>115</v>
      </c>
      <c r="B46" t="s">
        <v>32</v>
      </c>
      <c r="C46" t="str">
        <f t="shared" si="3"/>
        <v>N.A.</v>
      </c>
      <c r="D46" s="2" t="s">
        <v>6</v>
      </c>
      <c r="L46" s="51">
        <v>3.8233030129930339E-2</v>
      </c>
      <c r="M46" s="51">
        <v>8.6671758993048936E-2</v>
      </c>
      <c r="N46" s="51">
        <v>1.0695292924130136E-2</v>
      </c>
      <c r="O46" s="51"/>
      <c r="P46" s="51">
        <v>1.1798776496836952E-2</v>
      </c>
      <c r="Q46" s="51">
        <v>1.1304565492728184E-2</v>
      </c>
      <c r="R46" s="51">
        <v>1.8324743703583245E-2</v>
      </c>
      <c r="S46" s="51">
        <v>2.3668413192626601E-2</v>
      </c>
      <c r="T46" s="51">
        <v>3.5383741281257208E-2</v>
      </c>
    </row>
    <row r="47" spans="1:23" x14ac:dyDescent="0.25">
      <c r="A47" s="166" t="s">
        <v>117</v>
      </c>
      <c r="B47" t="s">
        <v>32</v>
      </c>
      <c r="C47" t="str">
        <f t="shared" si="3"/>
        <v>N.A.</v>
      </c>
      <c r="D47" s="2" t="s">
        <v>6</v>
      </c>
      <c r="L47" s="52"/>
      <c r="M47" s="51">
        <v>4.3090646740101147E-3</v>
      </c>
      <c r="N47" s="51">
        <v>9.2559064522048651E-3</v>
      </c>
      <c r="O47" s="51">
        <v>0.20151213086809847</v>
      </c>
      <c r="P47" s="51">
        <v>2.0655482170280595E-3</v>
      </c>
      <c r="Q47" s="51">
        <v>1.0698434657505419E-3</v>
      </c>
      <c r="R47" s="51">
        <v>2.4429455832515139E-2</v>
      </c>
      <c r="S47" s="51">
        <v>2.4156735790130814E-2</v>
      </c>
      <c r="T47" s="51">
        <v>2.8157494495804423E-2</v>
      </c>
    </row>
    <row r="48" spans="1:23" x14ac:dyDescent="0.25">
      <c r="A48" s="166" t="s">
        <v>119</v>
      </c>
      <c r="B48" t="s">
        <v>32</v>
      </c>
      <c r="C48" t="str">
        <f t="shared" si="3"/>
        <v>N.A.</v>
      </c>
      <c r="D48" s="2" t="s">
        <v>6</v>
      </c>
      <c r="L48" s="52">
        <v>5.7339932213939805E-5</v>
      </c>
      <c r="M48" s="51">
        <v>1.7056033512808076E-3</v>
      </c>
      <c r="N48" s="51">
        <v>9.3721080583095782E-3</v>
      </c>
      <c r="O48" s="51">
        <v>2.0618383823927083E-4</v>
      </c>
      <c r="P48" s="51">
        <v>1.0294816974218177E-2</v>
      </c>
      <c r="Q48" s="51">
        <v>1.271141527938744E-2</v>
      </c>
      <c r="R48" s="51">
        <v>2.936073962412112E-2</v>
      </c>
      <c r="S48" s="51">
        <v>4.4676274627293462E-2</v>
      </c>
      <c r="T48" s="51">
        <v>6.4016430652093032E-2</v>
      </c>
    </row>
    <row r="49" spans="1:23" x14ac:dyDescent="0.25">
      <c r="A49" s="166" t="s">
        <v>121</v>
      </c>
      <c r="B49" t="s">
        <v>32</v>
      </c>
      <c r="C49" t="str">
        <f t="shared" si="3"/>
        <v>N.A.</v>
      </c>
      <c r="D49" s="2" t="s">
        <v>6</v>
      </c>
      <c r="L49" s="51"/>
      <c r="M49" s="51">
        <v>3.3570603749021781E-3</v>
      </c>
      <c r="N49" s="51"/>
      <c r="O49" s="51">
        <v>0.57722328932167566</v>
      </c>
      <c r="P49" s="51">
        <v>8.3442523981736173E-3</v>
      </c>
      <c r="Q49" s="51">
        <v>8.2092375262891055E-3</v>
      </c>
      <c r="R49" s="51">
        <v>2.1247211303516415E-2</v>
      </c>
      <c r="S49" s="51"/>
      <c r="T49" s="51">
        <v>2.9633317168494083E-2</v>
      </c>
    </row>
    <row r="50" spans="1:23" x14ac:dyDescent="0.25">
      <c r="A50" s="166" t="s">
        <v>128</v>
      </c>
      <c r="B50" t="s">
        <v>32</v>
      </c>
      <c r="C50">
        <f t="shared" si="3"/>
        <v>1</v>
      </c>
      <c r="D50" s="2" t="s">
        <v>6</v>
      </c>
      <c r="L50" s="51"/>
      <c r="M50" s="51"/>
      <c r="N50" s="51"/>
      <c r="O50" s="51"/>
      <c r="P50" s="51"/>
      <c r="Q50" s="51"/>
      <c r="R50" s="51"/>
      <c r="S50" s="51"/>
      <c r="T50" s="51"/>
    </row>
    <row r="51" spans="1:23" x14ac:dyDescent="0.25">
      <c r="A51" s="166" t="s">
        <v>132</v>
      </c>
      <c r="B51" t="s">
        <v>32</v>
      </c>
      <c r="C51">
        <f t="shared" si="3"/>
        <v>1</v>
      </c>
      <c r="D51" s="2" t="s">
        <v>6</v>
      </c>
      <c r="L51" s="51"/>
      <c r="M51" s="51"/>
      <c r="N51" s="51"/>
      <c r="O51" s="51"/>
      <c r="P51" s="51"/>
      <c r="Q51" s="51"/>
      <c r="R51" s="51"/>
      <c r="S51" s="51"/>
      <c r="T51" s="51"/>
    </row>
    <row r="52" spans="1:23" x14ac:dyDescent="0.25">
      <c r="A52" s="166" t="s">
        <v>124</v>
      </c>
      <c r="B52" t="s">
        <v>32</v>
      </c>
      <c r="C52">
        <f t="shared" si="3"/>
        <v>1</v>
      </c>
      <c r="D52" s="2" t="s">
        <v>6</v>
      </c>
      <c r="L52" s="51"/>
      <c r="M52" s="51"/>
      <c r="N52" s="51"/>
      <c r="O52" s="51"/>
      <c r="P52" s="51"/>
      <c r="Q52" s="51"/>
      <c r="R52" s="51"/>
      <c r="S52" s="51"/>
      <c r="T52" s="51"/>
    </row>
    <row r="53" spans="1:23" x14ac:dyDescent="0.25">
      <c r="A53" s="166" t="s">
        <v>125</v>
      </c>
      <c r="B53" t="s">
        <v>32</v>
      </c>
      <c r="C53">
        <f t="shared" si="3"/>
        <v>1</v>
      </c>
      <c r="D53" s="2" t="s">
        <v>6</v>
      </c>
      <c r="L53" s="51"/>
      <c r="M53" s="51"/>
      <c r="N53" s="51"/>
      <c r="O53" s="51"/>
      <c r="P53" s="51"/>
      <c r="Q53" s="51"/>
      <c r="R53" s="51"/>
      <c r="S53" s="51"/>
      <c r="T53" s="51"/>
    </row>
    <row r="54" spans="1:23" x14ac:dyDescent="0.25">
      <c r="A54" s="166" t="s">
        <v>130</v>
      </c>
      <c r="B54" t="s">
        <v>32</v>
      </c>
      <c r="C54" t="str">
        <f t="shared" si="3"/>
        <v>N.A.</v>
      </c>
      <c r="D54" s="2" t="s">
        <v>6</v>
      </c>
      <c r="L54" s="51"/>
      <c r="M54" s="51"/>
      <c r="N54" s="51"/>
      <c r="O54" s="51"/>
      <c r="P54" s="51"/>
      <c r="Q54" s="51"/>
      <c r="R54" s="51"/>
      <c r="S54" s="51"/>
      <c r="T54" s="51">
        <v>2.8622657177373792E-2</v>
      </c>
    </row>
    <row r="55" spans="1:23" x14ac:dyDescent="0.25">
      <c r="A55" s="166" t="s">
        <v>131</v>
      </c>
      <c r="B55" t="s">
        <v>32</v>
      </c>
      <c r="C55" t="str">
        <f t="shared" si="3"/>
        <v>N.A.</v>
      </c>
      <c r="D55" s="2" t="s">
        <v>6</v>
      </c>
      <c r="L55" s="51"/>
      <c r="M55" s="51"/>
      <c r="N55" s="51"/>
      <c r="O55" s="51"/>
      <c r="P55" s="51"/>
      <c r="Q55" s="51"/>
      <c r="R55" s="51"/>
      <c r="S55" s="51"/>
      <c r="T55" s="51">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t="s">
        <v>32</v>
      </c>
      <c r="C58" t="str">
        <f t="shared" ref="C58:C69" si="4">IF(SUMPRODUCT(--(E58:W58&lt;&gt;""))=0,1,"N.A.")</f>
        <v>N.A.</v>
      </c>
      <c r="D58" s="2" t="s">
        <v>6</v>
      </c>
      <c r="L58" s="53"/>
      <c r="M58" s="53">
        <v>6.0392776725667679E-4</v>
      </c>
      <c r="N58" s="53"/>
      <c r="O58" s="53"/>
      <c r="P58" s="53"/>
      <c r="Q58" s="53"/>
      <c r="R58" s="53"/>
      <c r="S58" s="53"/>
      <c r="T58" s="53"/>
    </row>
    <row r="59" spans="1:23" x14ac:dyDescent="0.25">
      <c r="A59" s="166" t="s">
        <v>113</v>
      </c>
      <c r="B59" t="s">
        <v>32</v>
      </c>
      <c r="C59">
        <f t="shared" si="4"/>
        <v>1</v>
      </c>
      <c r="D59" s="2" t="s">
        <v>6</v>
      </c>
      <c r="L59" s="53"/>
      <c r="M59" s="53"/>
      <c r="N59" s="53"/>
      <c r="O59" s="53"/>
      <c r="P59" s="53"/>
      <c r="Q59" s="53"/>
      <c r="R59" s="53"/>
      <c r="S59" s="53"/>
      <c r="T59" s="53"/>
    </row>
    <row r="60" spans="1:23" x14ac:dyDescent="0.25">
      <c r="A60" s="166" t="s">
        <v>115</v>
      </c>
      <c r="B60" t="s">
        <v>32</v>
      </c>
      <c r="C60" t="str">
        <f t="shared" si="4"/>
        <v>N.A.</v>
      </c>
      <c r="D60" s="2" t="s">
        <v>6</v>
      </c>
      <c r="L60" s="54">
        <v>4.9833422835870078E-4</v>
      </c>
      <c r="M60" s="53">
        <v>2.507449445102769E-3</v>
      </c>
      <c r="N60" s="53">
        <v>0</v>
      </c>
      <c r="O60" s="53">
        <v>1.6572833678873467E-3</v>
      </c>
      <c r="P60" s="53">
        <v>6.1956607594982672E-4</v>
      </c>
      <c r="Q60" s="53">
        <v>4.8629197217890896E-4</v>
      </c>
      <c r="R60" s="53">
        <v>1.5368352311799637E-3</v>
      </c>
      <c r="S60" s="53">
        <v>6.1179238481197113E-4</v>
      </c>
      <c r="T60" s="53">
        <v>9.2946441399893633E-4</v>
      </c>
    </row>
    <row r="61" spans="1:23" x14ac:dyDescent="0.25">
      <c r="A61" s="166" t="s">
        <v>117</v>
      </c>
      <c r="B61" t="s">
        <v>32</v>
      </c>
      <c r="C61">
        <f t="shared" si="4"/>
        <v>1</v>
      </c>
      <c r="D61" s="2" t="s">
        <v>6</v>
      </c>
      <c r="L61" s="53"/>
      <c r="M61" s="53"/>
      <c r="N61" s="53"/>
      <c r="O61" s="53"/>
      <c r="P61" s="53"/>
      <c r="Q61" s="53"/>
      <c r="R61" s="53"/>
      <c r="S61" s="53"/>
      <c r="T61" s="53"/>
    </row>
    <row r="62" spans="1:23" x14ac:dyDescent="0.25">
      <c r="A62" s="166" t="s">
        <v>119</v>
      </c>
      <c r="B62" t="s">
        <v>32</v>
      </c>
      <c r="C62" t="str">
        <f t="shared" si="4"/>
        <v>N.A.</v>
      </c>
      <c r="D62" s="2" t="s">
        <v>6</v>
      </c>
      <c r="L62" s="54">
        <v>3.4673320173710174E-4</v>
      </c>
      <c r="M62" s="53">
        <v>4.7033317835537916E-4</v>
      </c>
      <c r="N62" s="53">
        <v>9.3387922055332645E-4</v>
      </c>
      <c r="O62" s="53">
        <v>7.5109826787162957E-4</v>
      </c>
      <c r="P62" s="53">
        <v>7.1563707285781004E-4</v>
      </c>
      <c r="Q62" s="53">
        <v>6.5487122028202386E-4</v>
      </c>
      <c r="R62" s="53">
        <v>3.239912904793915E-4</v>
      </c>
      <c r="S62" s="53">
        <v>8.939836836736098E-4</v>
      </c>
      <c r="T62" s="53">
        <v>2.9206758127859811E-3</v>
      </c>
    </row>
    <row r="63" spans="1:23" x14ac:dyDescent="0.25">
      <c r="A63" s="166" t="s">
        <v>121</v>
      </c>
      <c r="B63" t="s">
        <v>32</v>
      </c>
      <c r="C63">
        <f t="shared" si="4"/>
        <v>1</v>
      </c>
      <c r="D63" s="2" t="s">
        <v>6</v>
      </c>
      <c r="L63" s="53"/>
      <c r="M63" s="53"/>
      <c r="N63" s="53"/>
      <c r="O63" s="53"/>
      <c r="P63" s="53"/>
      <c r="Q63" s="53"/>
      <c r="R63" s="53"/>
      <c r="S63" s="53"/>
      <c r="T63" s="53"/>
    </row>
    <row r="64" spans="1:23" x14ac:dyDescent="0.25">
      <c r="A64" s="166" t="s">
        <v>128</v>
      </c>
      <c r="B64" t="s">
        <v>32</v>
      </c>
      <c r="C64">
        <f t="shared" si="4"/>
        <v>1</v>
      </c>
      <c r="D64" s="2" t="s">
        <v>6</v>
      </c>
      <c r="L64" s="53"/>
      <c r="M64" s="53"/>
      <c r="N64" s="53"/>
      <c r="O64" s="53"/>
      <c r="P64" s="53"/>
      <c r="Q64" s="53"/>
      <c r="R64" s="53"/>
      <c r="S64" s="53"/>
      <c r="T64" s="53"/>
    </row>
    <row r="65" spans="1:23" x14ac:dyDescent="0.25">
      <c r="A65" s="166" t="s">
        <v>132</v>
      </c>
      <c r="B65" t="s">
        <v>32</v>
      </c>
      <c r="C65">
        <f t="shared" si="4"/>
        <v>1</v>
      </c>
      <c r="D65" s="2" t="s">
        <v>6</v>
      </c>
      <c r="L65" s="53"/>
      <c r="M65" s="53"/>
      <c r="N65" s="53"/>
      <c r="O65" s="53"/>
      <c r="P65" s="53"/>
      <c r="Q65" s="53"/>
      <c r="R65" s="53"/>
      <c r="S65" s="53"/>
      <c r="T65" s="53"/>
    </row>
    <row r="66" spans="1:23" x14ac:dyDescent="0.25">
      <c r="A66" s="166" t="s">
        <v>124</v>
      </c>
      <c r="B66" t="s">
        <v>32</v>
      </c>
      <c r="C66">
        <f t="shared" si="4"/>
        <v>1</v>
      </c>
      <c r="D66" s="2" t="s">
        <v>6</v>
      </c>
      <c r="L66" s="53"/>
      <c r="M66" s="53"/>
      <c r="N66" s="53"/>
      <c r="O66" s="53"/>
      <c r="P66" s="53"/>
      <c r="Q66" s="53"/>
      <c r="R66" s="53"/>
      <c r="S66" s="53"/>
      <c r="T66" s="53"/>
    </row>
    <row r="67" spans="1:23" x14ac:dyDescent="0.25">
      <c r="A67" s="166" t="s">
        <v>125</v>
      </c>
      <c r="B67" t="s">
        <v>32</v>
      </c>
      <c r="C67">
        <f t="shared" si="4"/>
        <v>1</v>
      </c>
      <c r="D67" s="2" t="s">
        <v>6</v>
      </c>
      <c r="L67" s="53"/>
      <c r="M67" s="53"/>
      <c r="N67" s="53"/>
      <c r="O67" s="53"/>
      <c r="P67" s="53"/>
      <c r="Q67" s="53"/>
      <c r="R67" s="53"/>
      <c r="S67" s="53"/>
      <c r="T67" s="53"/>
    </row>
    <row r="68" spans="1:23" x14ac:dyDescent="0.25">
      <c r="A68" s="166" t="s">
        <v>130</v>
      </c>
      <c r="B68" t="s">
        <v>32</v>
      </c>
      <c r="C68" t="str">
        <f t="shared" si="4"/>
        <v>N.A.</v>
      </c>
      <c r="D68" s="2" t="s">
        <v>6</v>
      </c>
      <c r="L68" s="53"/>
      <c r="M68" s="53"/>
      <c r="N68" s="53"/>
      <c r="O68" s="53"/>
      <c r="P68" s="53"/>
      <c r="Q68" s="53"/>
      <c r="R68" s="53"/>
      <c r="S68" s="53"/>
      <c r="T68" s="53">
        <v>2.5442361935443373E-3</v>
      </c>
    </row>
    <row r="69" spans="1:23" x14ac:dyDescent="0.25">
      <c r="A69" s="166" t="s">
        <v>131</v>
      </c>
      <c r="B69" t="s">
        <v>32</v>
      </c>
      <c r="C69" t="str">
        <f t="shared" si="4"/>
        <v>N.A.</v>
      </c>
      <c r="D69" s="2" t="s">
        <v>6</v>
      </c>
      <c r="L69" s="53"/>
      <c r="M69" s="53"/>
      <c r="N69" s="53"/>
      <c r="O69" s="53"/>
      <c r="P69" s="53"/>
      <c r="Q69" s="53"/>
      <c r="R69" s="53"/>
      <c r="S69" s="53"/>
      <c r="T69" s="53">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t="s">
        <v>32</v>
      </c>
      <c r="C72" t="str">
        <f t="shared" ref="C72:C83" si="5">IF(SUMPRODUCT(--(E72:W72&lt;&gt;""))=0,1,"N.A.")</f>
        <v>N.A.</v>
      </c>
      <c r="D72" s="2" t="s">
        <v>6</v>
      </c>
      <c r="E72" s="55"/>
      <c r="F72" s="55"/>
      <c r="G72" s="57"/>
      <c r="H72" s="57"/>
      <c r="I72" s="57"/>
      <c r="J72" s="57"/>
      <c r="K72" s="57"/>
      <c r="L72" s="56">
        <v>0.99508223077577806</v>
      </c>
      <c r="M72" s="56">
        <v>0.99738239634612691</v>
      </c>
      <c r="N72" s="56"/>
      <c r="O72" s="56">
        <v>0.99833048988044359</v>
      </c>
      <c r="P72" s="56">
        <v>0.99658621309217221</v>
      </c>
      <c r="Q72" s="56">
        <v>0.99926269644731891</v>
      </c>
      <c r="R72" s="56">
        <v>0.99789209663991685</v>
      </c>
      <c r="S72" s="56">
        <v>0.9989020966985751</v>
      </c>
      <c r="T72" s="56">
        <v>0.99551025733516507</v>
      </c>
    </row>
    <row r="73" spans="1:23" x14ac:dyDescent="0.25">
      <c r="A73" s="166" t="s">
        <v>113</v>
      </c>
      <c r="B73" t="s">
        <v>32</v>
      </c>
      <c r="C73" t="str">
        <f t="shared" si="5"/>
        <v>N.A.</v>
      </c>
      <c r="D73" s="2" t="s">
        <v>6</v>
      </c>
      <c r="E73" s="55"/>
      <c r="F73" s="55"/>
      <c r="G73" s="57"/>
      <c r="H73" s="57"/>
      <c r="I73" s="57"/>
      <c r="J73" s="57"/>
      <c r="K73" s="57"/>
      <c r="L73" s="56">
        <v>0.97732128746109659</v>
      </c>
      <c r="M73" s="56">
        <v>0.99611604492019556</v>
      </c>
      <c r="N73" s="56">
        <v>0.99251159128685162</v>
      </c>
      <c r="O73" s="56">
        <v>0.99626394281136377</v>
      </c>
      <c r="P73" s="56">
        <v>0.99268779082650127</v>
      </c>
      <c r="Q73" s="56">
        <v>0.99724061306928136</v>
      </c>
      <c r="R73" s="56">
        <v>0.99588902339600271</v>
      </c>
      <c r="S73" s="56">
        <v>0.98744119874621927</v>
      </c>
      <c r="T73" s="56">
        <v>0.98957290722183622</v>
      </c>
    </row>
    <row r="74" spans="1:23" x14ac:dyDescent="0.25">
      <c r="A74" s="166" t="s">
        <v>115</v>
      </c>
      <c r="B74" t="s">
        <v>32</v>
      </c>
      <c r="C74" t="str">
        <f t="shared" si="5"/>
        <v>N.A.</v>
      </c>
      <c r="D74" s="2" t="s">
        <v>6</v>
      </c>
      <c r="E74" s="55"/>
      <c r="F74" s="55"/>
      <c r="G74" s="57"/>
      <c r="H74" s="57"/>
      <c r="I74" s="57"/>
      <c r="J74" s="57"/>
      <c r="K74" s="57"/>
      <c r="L74" s="56">
        <v>0.94210030442039283</v>
      </c>
      <c r="M74" s="56">
        <v>0.99247192227860381</v>
      </c>
      <c r="N74" s="56">
        <v>0.91657817931275676</v>
      </c>
      <c r="O74" s="56">
        <v>0.9952667488994843</v>
      </c>
      <c r="P74" s="56">
        <v>0.98677653353977746</v>
      </c>
      <c r="Q74" s="56">
        <v>0.98692880324734911</v>
      </c>
      <c r="R74" s="56">
        <v>0.9864616846168196</v>
      </c>
      <c r="S74" s="56">
        <v>0.98189222587549796</v>
      </c>
      <c r="T74" s="56">
        <v>0.974909342873439</v>
      </c>
    </row>
    <row r="75" spans="1:23" x14ac:dyDescent="0.25">
      <c r="A75" s="166" t="s">
        <v>117</v>
      </c>
      <c r="B75" t="s">
        <v>32</v>
      </c>
      <c r="C75" t="str">
        <f t="shared" si="5"/>
        <v>N.A.</v>
      </c>
      <c r="D75" s="2" t="s">
        <v>6</v>
      </c>
      <c r="E75" s="55"/>
      <c r="F75" s="55"/>
      <c r="G75" s="57"/>
      <c r="H75" s="57"/>
      <c r="I75" s="57"/>
      <c r="J75" s="57"/>
      <c r="K75" s="57"/>
      <c r="L75" s="56"/>
      <c r="M75" s="56">
        <v>0.97429754403504387</v>
      </c>
      <c r="N75" s="56">
        <v>0.99586090387304627</v>
      </c>
      <c r="O75" s="56">
        <v>0.88329026359380713</v>
      </c>
      <c r="P75" s="56">
        <v>0.99313708463942052</v>
      </c>
      <c r="Q75" s="56">
        <v>0.99813084858298307</v>
      </c>
      <c r="R75" s="56">
        <v>0.9820903425813684</v>
      </c>
      <c r="S75" s="56">
        <v>0.99194503099269171</v>
      </c>
      <c r="T75" s="56">
        <v>0.98616255261742924</v>
      </c>
    </row>
    <row r="76" spans="1:23" x14ac:dyDescent="0.25">
      <c r="A76" s="166" t="s">
        <v>119</v>
      </c>
      <c r="B76" t="s">
        <v>32</v>
      </c>
      <c r="C76" t="str">
        <f t="shared" si="5"/>
        <v>N.A.</v>
      </c>
      <c r="D76" s="2" t="s">
        <v>6</v>
      </c>
      <c r="E76" s="55"/>
      <c r="F76" s="55"/>
      <c r="G76" s="57"/>
      <c r="H76" s="57"/>
      <c r="I76" s="57"/>
      <c r="J76" s="57"/>
      <c r="K76" s="57"/>
      <c r="L76" s="56">
        <v>0.98140785759070248</v>
      </c>
      <c r="M76" s="56">
        <v>0.98827793532284569</v>
      </c>
      <c r="N76" s="56">
        <v>0.99938998402686385</v>
      </c>
      <c r="O76" s="56">
        <v>0.99896979260715302</v>
      </c>
      <c r="P76" s="56">
        <v>0.98747996683261841</v>
      </c>
      <c r="Q76" s="56">
        <v>0.99160877098659128</v>
      </c>
      <c r="R76" s="56">
        <v>0.98135258084056876</v>
      </c>
      <c r="S76" s="56">
        <v>0.97689352112854067</v>
      </c>
      <c r="T76" s="56">
        <v>0.96806809001841299</v>
      </c>
    </row>
    <row r="77" spans="1:23" x14ac:dyDescent="0.25">
      <c r="A77" s="166" t="s">
        <v>121</v>
      </c>
      <c r="B77" t="s">
        <v>32</v>
      </c>
      <c r="C77" t="str">
        <f t="shared" si="5"/>
        <v>N.A.</v>
      </c>
      <c r="D77" s="2" t="s">
        <v>6</v>
      </c>
      <c r="E77" s="55"/>
      <c r="F77" s="55"/>
      <c r="G77" s="57"/>
      <c r="H77" s="57"/>
      <c r="I77" s="57"/>
      <c r="J77" s="57"/>
      <c r="K77" s="57"/>
      <c r="L77" s="56"/>
      <c r="M77" s="56"/>
      <c r="N77" s="56">
        <v>0.98836672599015929</v>
      </c>
      <c r="O77" s="56">
        <v>0.51710816825631123</v>
      </c>
      <c r="P77" s="56"/>
      <c r="Q77" s="56">
        <v>0.99407828638730089</v>
      </c>
      <c r="R77" s="56"/>
      <c r="S77" s="56">
        <v>0.98411853893829937</v>
      </c>
      <c r="T77" s="56">
        <v>0.98684087641644147</v>
      </c>
    </row>
    <row r="78" spans="1:23" x14ac:dyDescent="0.25">
      <c r="A78" s="166" t="s">
        <v>128</v>
      </c>
      <c r="B78" t="s">
        <v>32</v>
      </c>
      <c r="C78" t="str">
        <f t="shared" si="5"/>
        <v>N.A.</v>
      </c>
      <c r="D78" s="2" t="s">
        <v>6</v>
      </c>
      <c r="E78" s="55"/>
      <c r="F78" s="55"/>
      <c r="G78" s="57"/>
      <c r="H78" s="57"/>
      <c r="I78" s="57"/>
      <c r="J78" s="57"/>
      <c r="K78" s="57"/>
      <c r="L78" s="56">
        <v>1</v>
      </c>
      <c r="M78" s="56">
        <v>1</v>
      </c>
      <c r="N78" s="56">
        <v>1</v>
      </c>
      <c r="O78" s="56">
        <v>1</v>
      </c>
      <c r="P78" s="56">
        <v>1</v>
      </c>
      <c r="Q78" s="56">
        <v>1</v>
      </c>
      <c r="R78" s="56">
        <v>1</v>
      </c>
      <c r="S78" s="56">
        <v>1</v>
      </c>
      <c r="T78" s="56">
        <v>1</v>
      </c>
    </row>
    <row r="79" spans="1:23" x14ac:dyDescent="0.25">
      <c r="A79" s="166" t="s">
        <v>132</v>
      </c>
      <c r="B79" t="s">
        <v>32</v>
      </c>
      <c r="C79" t="str">
        <f t="shared" si="5"/>
        <v>N.A.</v>
      </c>
      <c r="D79" s="2" t="s">
        <v>6</v>
      </c>
      <c r="E79" s="55"/>
      <c r="F79" s="55"/>
      <c r="G79" s="57"/>
      <c r="H79" s="57"/>
      <c r="I79" s="57"/>
      <c r="J79" s="57"/>
      <c r="K79" s="57"/>
      <c r="L79" s="56">
        <v>1</v>
      </c>
      <c r="M79" s="56">
        <v>1</v>
      </c>
      <c r="N79" s="56">
        <v>1</v>
      </c>
      <c r="O79" s="56">
        <v>1</v>
      </c>
      <c r="P79" s="56">
        <v>1</v>
      </c>
      <c r="Q79" s="56">
        <v>1</v>
      </c>
      <c r="R79" s="56">
        <v>1</v>
      </c>
      <c r="S79" s="56">
        <v>1</v>
      </c>
      <c r="T79" s="56">
        <v>1</v>
      </c>
    </row>
    <row r="80" spans="1:23" x14ac:dyDescent="0.25">
      <c r="A80" s="166" t="s">
        <v>124</v>
      </c>
      <c r="B80" t="s">
        <v>32</v>
      </c>
      <c r="C80" t="str">
        <f t="shared" si="5"/>
        <v>N.A.</v>
      </c>
      <c r="D80" s="2" t="s">
        <v>6</v>
      </c>
      <c r="E80" s="55">
        <v>1</v>
      </c>
      <c r="F80" s="55"/>
      <c r="G80" s="56"/>
      <c r="H80" s="56"/>
      <c r="I80" s="56"/>
      <c r="J80" s="56"/>
      <c r="K80" s="56"/>
      <c r="L80" s="56"/>
      <c r="M80" s="56"/>
      <c r="N80" s="56"/>
      <c r="O80" s="56"/>
      <c r="P80" s="56"/>
      <c r="Q80" s="56"/>
      <c r="R80" s="56"/>
      <c r="S80" s="56"/>
      <c r="T80" s="56"/>
    </row>
    <row r="81" spans="1:23" x14ac:dyDescent="0.25">
      <c r="A81" s="166" t="s">
        <v>125</v>
      </c>
      <c r="B81" t="s">
        <v>32</v>
      </c>
      <c r="C81" t="str">
        <f t="shared" si="5"/>
        <v>N.A.</v>
      </c>
      <c r="D81" s="2" t="s">
        <v>6</v>
      </c>
      <c r="E81" s="55">
        <v>1</v>
      </c>
      <c r="F81" s="55"/>
      <c r="G81" s="56"/>
      <c r="H81" s="56"/>
      <c r="I81" s="56"/>
      <c r="J81" s="56"/>
      <c r="K81" s="56"/>
      <c r="L81" s="56"/>
      <c r="M81" s="56"/>
      <c r="N81" s="56"/>
      <c r="O81" s="56"/>
      <c r="P81" s="56"/>
      <c r="Q81" s="56"/>
      <c r="R81" s="56"/>
      <c r="S81" s="56"/>
      <c r="T81" s="56"/>
    </row>
    <row r="82" spans="1:23" x14ac:dyDescent="0.25">
      <c r="A82" s="166" t="s">
        <v>130</v>
      </c>
      <c r="B82" t="s">
        <v>32</v>
      </c>
      <c r="C82" t="str">
        <f t="shared" si="5"/>
        <v>N.A.</v>
      </c>
      <c r="D82" s="2" t="s">
        <v>6</v>
      </c>
      <c r="E82" s="55"/>
      <c r="F82" s="55"/>
      <c r="G82" s="56"/>
      <c r="H82" s="56"/>
      <c r="I82" s="56"/>
      <c r="J82" s="56"/>
      <c r="K82" s="56"/>
      <c r="L82" s="56"/>
      <c r="M82" s="56"/>
      <c r="N82" s="56"/>
      <c r="O82" s="56"/>
      <c r="P82" s="56"/>
      <c r="Q82" s="56"/>
      <c r="R82" s="56"/>
      <c r="S82" s="56"/>
      <c r="T82" s="56">
        <v>0.96883310662908195</v>
      </c>
    </row>
    <row r="83" spans="1:23" x14ac:dyDescent="0.25">
      <c r="A83" s="166" t="s">
        <v>131</v>
      </c>
      <c r="B83" t="s">
        <v>32</v>
      </c>
      <c r="C83" t="str">
        <f t="shared" si="5"/>
        <v>N.A.</v>
      </c>
      <c r="D83" s="2" t="s">
        <v>6</v>
      </c>
      <c r="E83" s="55"/>
      <c r="F83" s="55"/>
      <c r="G83" s="56"/>
      <c r="H83" s="56"/>
      <c r="I83" s="56"/>
      <c r="J83" s="56"/>
      <c r="K83" s="56"/>
      <c r="L83" s="56"/>
      <c r="M83" s="56"/>
      <c r="N83" s="56"/>
      <c r="O83" s="56"/>
      <c r="P83" s="56"/>
      <c r="Q83" s="56"/>
      <c r="R83" s="56"/>
      <c r="S83" s="56"/>
      <c r="T83" s="56">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t="s">
        <v>32</v>
      </c>
      <c r="C86" t="str">
        <f t="shared" ref="C86:C97" si="6">IF(SUMPRODUCT(--(E86:W86&lt;&gt;""))=0,1,"N.A.")</f>
        <v>N.A.</v>
      </c>
      <c r="D86" s="2" t="s">
        <v>6</v>
      </c>
      <c r="L86" s="58">
        <v>4.9177692242219047E-3</v>
      </c>
      <c r="M86" s="58">
        <v>2.6176036538730842E-3</v>
      </c>
      <c r="N86" s="58">
        <v>3.7318714691991919E-4</v>
      </c>
      <c r="O86" s="58">
        <v>1.6695101195564786E-3</v>
      </c>
      <c r="P86" s="58">
        <v>3.4137869078277538E-3</v>
      </c>
      <c r="Q86" s="58">
        <v>3.6865177634057012E-4</v>
      </c>
      <c r="R86" s="58">
        <v>2.1079033600831239E-3</v>
      </c>
      <c r="S86" s="58">
        <v>1.0979033014249006E-3</v>
      </c>
      <c r="T86" s="58">
        <v>4.4897426648349533E-3</v>
      </c>
    </row>
    <row r="87" spans="1:23" x14ac:dyDescent="0.25">
      <c r="A87" s="166" t="s">
        <v>113</v>
      </c>
      <c r="B87" t="s">
        <v>32</v>
      </c>
      <c r="C87" t="str">
        <f t="shared" si="6"/>
        <v>N.A.</v>
      </c>
      <c r="D87" s="2" t="s">
        <v>6</v>
      </c>
      <c r="L87" s="58">
        <v>2.0569064860865859E-2</v>
      </c>
      <c r="M87" s="58">
        <v>3.8839550798044071E-3</v>
      </c>
      <c r="N87" s="58">
        <v>7.4884087131484572E-3</v>
      </c>
      <c r="O87" s="58">
        <v>3.7360571886362231E-3</v>
      </c>
      <c r="P87" s="58">
        <v>7.3122091734987814E-3</v>
      </c>
      <c r="Q87" s="58">
        <v>2.7593869307186263E-3</v>
      </c>
      <c r="R87" s="58">
        <v>4.110976603997331E-3</v>
      </c>
      <c r="S87" s="58">
        <v>1.2558801253780803E-2</v>
      </c>
      <c r="T87" s="58">
        <v>1.0427092778163748E-2</v>
      </c>
    </row>
    <row r="88" spans="1:23" x14ac:dyDescent="0.25">
      <c r="A88" s="166" t="s">
        <v>115</v>
      </c>
      <c r="B88" t="s">
        <v>32</v>
      </c>
      <c r="C88" t="str">
        <f t="shared" si="6"/>
        <v>N.A.</v>
      </c>
      <c r="D88" s="2" t="s">
        <v>6</v>
      </c>
      <c r="L88" s="58">
        <v>5.2950333335216197E-2</v>
      </c>
      <c r="M88" s="58">
        <v>6.7325801125529055E-3</v>
      </c>
      <c r="N88" s="58">
        <v>8.1448713956253166E-2</v>
      </c>
      <c r="O88" s="58"/>
      <c r="P88" s="58">
        <v>1.197720051920058E-2</v>
      </c>
      <c r="Q88" s="58">
        <v>1.1645978576902994E-2</v>
      </c>
      <c r="R88" s="58">
        <v>1.2781278109280859E-2</v>
      </c>
      <c r="S88" s="58">
        <v>1.7478650241238399E-2</v>
      </c>
      <c r="T88" s="58">
        <v>2.4538291749103221E-2</v>
      </c>
    </row>
    <row r="89" spans="1:23" x14ac:dyDescent="0.25">
      <c r="A89" s="166" t="s">
        <v>117</v>
      </c>
      <c r="B89" t="s">
        <v>32</v>
      </c>
      <c r="C89" t="str">
        <f t="shared" si="6"/>
        <v>N.A.</v>
      </c>
      <c r="D89" s="2" t="s">
        <v>6</v>
      </c>
      <c r="L89" s="58"/>
      <c r="M89" s="58">
        <v>2.5702455964956128E-2</v>
      </c>
      <c r="N89" s="58">
        <v>4.1390961269537375E-3</v>
      </c>
      <c r="O89" s="58">
        <v>0.11332816318290066</v>
      </c>
      <c r="P89" s="58">
        <v>3.4314576802897171E-3</v>
      </c>
      <c r="Q89" s="58">
        <v>1.8691514170169371E-3</v>
      </c>
      <c r="R89" s="58">
        <v>1.7909657418631576E-2</v>
      </c>
      <c r="S89" s="58">
        <v>8.0549690073083019E-3</v>
      </c>
      <c r="T89" s="58">
        <v>1.3837447382570809E-2</v>
      </c>
    </row>
    <row r="90" spans="1:23" x14ac:dyDescent="0.25">
      <c r="A90" s="166" t="s">
        <v>119</v>
      </c>
      <c r="B90" t="s">
        <v>32</v>
      </c>
      <c r="C90" t="str">
        <f t="shared" si="6"/>
        <v>N.A.</v>
      </c>
      <c r="D90" s="2" t="s">
        <v>6</v>
      </c>
      <c r="L90" s="58">
        <v>1.7023791067824229E-2</v>
      </c>
      <c r="M90" s="58">
        <v>1.1340661450063842E-2</v>
      </c>
      <c r="N90" s="58"/>
      <c r="O90" s="59">
        <v>2.5217315492708685E-4</v>
      </c>
      <c r="P90" s="58">
        <v>1.1862264358152672E-2</v>
      </c>
      <c r="Q90" s="58">
        <v>7.9225285695808424E-3</v>
      </c>
      <c r="R90" s="58">
        <v>1.8280955614933883E-2</v>
      </c>
      <c r="S90" s="58">
        <v>2.2990114770393436E-2</v>
      </c>
      <c r="T90" s="58">
        <v>3.1123971516729347E-2</v>
      </c>
    </row>
    <row r="91" spans="1:23" x14ac:dyDescent="0.25">
      <c r="A91" s="166" t="s">
        <v>121</v>
      </c>
      <c r="B91" t="s">
        <v>32</v>
      </c>
      <c r="C91" t="str">
        <f t="shared" si="6"/>
        <v>N.A.</v>
      </c>
      <c r="D91" s="2" t="s">
        <v>6</v>
      </c>
      <c r="L91" s="58"/>
      <c r="M91" s="58"/>
      <c r="N91" s="58">
        <v>1.1633274009840783E-2</v>
      </c>
      <c r="O91" s="58"/>
      <c r="P91" s="58"/>
      <c r="Q91" s="58">
        <v>5.9217136126991539E-3</v>
      </c>
      <c r="R91" s="58"/>
      <c r="S91" s="58">
        <v>1.5881461061700686E-2</v>
      </c>
      <c r="T91" s="58">
        <v>1.3159123583558505E-2</v>
      </c>
    </row>
    <row r="92" spans="1:23" x14ac:dyDescent="0.25">
      <c r="A92" s="166" t="s">
        <v>128</v>
      </c>
      <c r="B92" t="s">
        <v>32</v>
      </c>
      <c r="C92">
        <f t="shared" si="6"/>
        <v>1</v>
      </c>
      <c r="D92" s="2" t="s">
        <v>6</v>
      </c>
      <c r="L92" s="58"/>
      <c r="M92" s="58"/>
      <c r="N92" s="58"/>
      <c r="O92" s="58"/>
      <c r="P92" s="58"/>
      <c r="Q92" s="58"/>
      <c r="R92" s="58"/>
      <c r="S92" s="58"/>
      <c r="T92" s="58"/>
    </row>
    <row r="93" spans="1:23" x14ac:dyDescent="0.25">
      <c r="A93" s="166" t="s">
        <v>132</v>
      </c>
      <c r="B93" t="s">
        <v>32</v>
      </c>
      <c r="C93">
        <f t="shared" si="6"/>
        <v>1</v>
      </c>
      <c r="D93" s="2" t="s">
        <v>6</v>
      </c>
      <c r="L93" s="58"/>
      <c r="M93" s="58"/>
      <c r="N93" s="58"/>
      <c r="O93" s="58"/>
      <c r="P93" s="58"/>
      <c r="Q93" s="58"/>
      <c r="R93" s="58"/>
      <c r="S93" s="58"/>
      <c r="T93" s="58"/>
    </row>
    <row r="94" spans="1:23" x14ac:dyDescent="0.25">
      <c r="A94" s="166" t="s">
        <v>124</v>
      </c>
      <c r="B94" t="s">
        <v>32</v>
      </c>
      <c r="C94">
        <f t="shared" si="6"/>
        <v>1</v>
      </c>
      <c r="D94" s="2" t="s">
        <v>6</v>
      </c>
      <c r="L94" s="58"/>
      <c r="M94" s="58"/>
      <c r="N94" s="58"/>
      <c r="O94" s="58"/>
      <c r="P94" s="58"/>
      <c r="Q94" s="58"/>
      <c r="R94" s="58"/>
      <c r="S94" s="58"/>
      <c r="T94" s="58"/>
    </row>
    <row r="95" spans="1:23" x14ac:dyDescent="0.25">
      <c r="A95" s="166" t="s">
        <v>125</v>
      </c>
      <c r="B95" t="s">
        <v>32</v>
      </c>
      <c r="C95">
        <f t="shared" si="6"/>
        <v>1</v>
      </c>
      <c r="D95" s="2" t="s">
        <v>6</v>
      </c>
      <c r="L95" s="58"/>
      <c r="M95" s="58"/>
      <c r="N95" s="58"/>
      <c r="O95" s="58"/>
      <c r="P95" s="58"/>
      <c r="Q95" s="58"/>
      <c r="R95" s="58"/>
      <c r="S95" s="58"/>
      <c r="T95" s="58"/>
    </row>
    <row r="96" spans="1:23" x14ac:dyDescent="0.25">
      <c r="A96" s="166" t="s">
        <v>130</v>
      </c>
      <c r="B96" t="s">
        <v>32</v>
      </c>
      <c r="C96" t="str">
        <f t="shared" si="6"/>
        <v>N.A.</v>
      </c>
      <c r="D96" s="2" t="s">
        <v>6</v>
      </c>
      <c r="L96" s="58"/>
      <c r="M96" s="58"/>
      <c r="N96" s="58"/>
      <c r="O96" s="58"/>
      <c r="P96" s="58"/>
      <c r="Q96" s="58"/>
      <c r="R96" s="58"/>
      <c r="S96" s="58"/>
      <c r="T96" s="58">
        <v>2.8622657177373789E-2</v>
      </c>
    </row>
    <row r="97" spans="1:23" x14ac:dyDescent="0.25">
      <c r="A97" s="166" t="s">
        <v>131</v>
      </c>
      <c r="B97" t="s">
        <v>32</v>
      </c>
      <c r="C97" t="str">
        <f t="shared" si="6"/>
        <v>N.A.</v>
      </c>
      <c r="D97" s="2" t="s">
        <v>6</v>
      </c>
      <c r="L97" s="58"/>
      <c r="M97" s="58"/>
      <c r="N97" s="58"/>
      <c r="O97" s="58"/>
      <c r="P97" s="58"/>
      <c r="Q97" s="58"/>
      <c r="R97" s="58"/>
      <c r="S97" s="58"/>
      <c r="T97" s="58">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t="s">
        <v>32</v>
      </c>
      <c r="C100" t="str">
        <f t="shared" ref="C100:C111" si="7">IF(SUMPRODUCT(--(E100:W100&lt;&gt;""))=0,1,"N.A.")</f>
        <v>N.A.</v>
      </c>
      <c r="D100" s="2" t="s">
        <v>6</v>
      </c>
      <c r="L100" s="60"/>
      <c r="M100" s="60"/>
      <c r="N100" s="60"/>
      <c r="O100" s="60"/>
      <c r="P100" s="60"/>
      <c r="Q100" s="60">
        <v>3.6865177634057012E-4</v>
      </c>
      <c r="R100" s="60"/>
      <c r="S100" s="60"/>
      <c r="T100" s="60"/>
    </row>
    <row r="101" spans="1:23" x14ac:dyDescent="0.25">
      <c r="A101" s="166" t="s">
        <v>113</v>
      </c>
      <c r="B101" t="s">
        <v>32</v>
      </c>
      <c r="C101" t="str">
        <f t="shared" si="7"/>
        <v>N.A.</v>
      </c>
      <c r="D101" s="2" t="s">
        <v>6</v>
      </c>
      <c r="L101" s="60">
        <v>2.1096476780375238E-3</v>
      </c>
      <c r="M101" s="60"/>
      <c r="N101" s="60"/>
      <c r="O101" s="60"/>
      <c r="P101" s="60"/>
      <c r="Q101" s="60"/>
      <c r="R101" s="60"/>
      <c r="S101" s="60"/>
      <c r="T101" s="60"/>
    </row>
    <row r="102" spans="1:23" x14ac:dyDescent="0.25">
      <c r="A102" s="166" t="s">
        <v>115</v>
      </c>
      <c r="B102" t="s">
        <v>32</v>
      </c>
      <c r="C102" t="str">
        <f t="shared" si="7"/>
        <v>N.A.</v>
      </c>
      <c r="D102" s="2" t="s">
        <v>6</v>
      </c>
      <c r="L102" s="60">
        <v>4.9493622443909282E-3</v>
      </c>
      <c r="M102" s="60">
        <v>7.9549760884337995E-4</v>
      </c>
      <c r="N102" s="60">
        <v>1.9731067309900598E-3</v>
      </c>
      <c r="O102" s="60">
        <v>4.7332511005157016E-3</v>
      </c>
      <c r="P102" s="60">
        <v>1.24626594102191E-3</v>
      </c>
      <c r="Q102" s="60">
        <v>1.4252181757478341E-3</v>
      </c>
      <c r="R102" s="60">
        <v>7.5703727389945911E-4</v>
      </c>
      <c r="S102" s="60">
        <v>6.2912388326368603E-4</v>
      </c>
      <c r="T102" s="60">
        <v>5.5236537745792383E-4</v>
      </c>
    </row>
    <row r="103" spans="1:23" x14ac:dyDescent="0.25">
      <c r="A103" s="166" t="s">
        <v>117</v>
      </c>
      <c r="B103" t="s">
        <v>32</v>
      </c>
      <c r="C103" t="str">
        <f t="shared" si="7"/>
        <v>N.A.</v>
      </c>
      <c r="D103" s="2" t="s">
        <v>6</v>
      </c>
      <c r="L103" s="60"/>
      <c r="M103" s="60"/>
      <c r="N103" s="60"/>
      <c r="O103" s="60">
        <v>3.3815732232921076E-3</v>
      </c>
      <c r="P103" s="60">
        <v>3.4314576802897171E-3</v>
      </c>
      <c r="Q103" s="60"/>
      <c r="R103" s="60"/>
      <c r="S103" s="60"/>
      <c r="T103" s="60"/>
    </row>
    <row r="104" spans="1:23" x14ac:dyDescent="0.25">
      <c r="A104" s="166" t="s">
        <v>119</v>
      </c>
      <c r="B104" t="s">
        <v>32</v>
      </c>
      <c r="C104" t="str">
        <f t="shared" si="7"/>
        <v>N.A.</v>
      </c>
      <c r="D104" s="2" t="s">
        <v>6</v>
      </c>
      <c r="L104" s="60">
        <v>1.5683513414732528E-3</v>
      </c>
      <c r="M104" s="60">
        <v>3.8140322709057822E-4</v>
      </c>
      <c r="N104" s="60">
        <v>6.1001597313619239E-4</v>
      </c>
      <c r="O104" s="60">
        <v>7.780342379198811E-4</v>
      </c>
      <c r="P104" s="60">
        <v>6.5776880922886012E-4</v>
      </c>
      <c r="Q104" s="60">
        <v>4.6870044382786314E-4</v>
      </c>
      <c r="R104" s="60">
        <v>3.6646354449732703E-4</v>
      </c>
      <c r="S104" s="60">
        <v>1.1636410106594085E-4</v>
      </c>
      <c r="T104" s="60">
        <v>8.0793846485765531E-4</v>
      </c>
    </row>
    <row r="105" spans="1:23" x14ac:dyDescent="0.25">
      <c r="A105" s="166" t="s">
        <v>121</v>
      </c>
      <c r="B105" t="s">
        <v>32</v>
      </c>
      <c r="C105">
        <f t="shared" si="7"/>
        <v>1</v>
      </c>
      <c r="D105" s="2" t="s">
        <v>6</v>
      </c>
      <c r="L105" s="60"/>
      <c r="M105" s="60"/>
      <c r="N105" s="60"/>
      <c r="O105" s="60"/>
      <c r="P105" s="60"/>
      <c r="Q105" s="60"/>
      <c r="R105" s="60"/>
      <c r="S105" s="60"/>
      <c r="T105" s="60"/>
    </row>
    <row r="106" spans="1:23" x14ac:dyDescent="0.25">
      <c r="A106" s="166" t="s">
        <v>128</v>
      </c>
      <c r="B106" t="s">
        <v>32</v>
      </c>
      <c r="C106">
        <f t="shared" si="7"/>
        <v>1</v>
      </c>
      <c r="D106" s="2" t="s">
        <v>6</v>
      </c>
      <c r="L106" s="60"/>
      <c r="M106" s="60"/>
      <c r="N106" s="60"/>
      <c r="O106" s="60"/>
      <c r="P106" s="60"/>
      <c r="Q106" s="60"/>
      <c r="R106" s="60"/>
      <c r="S106" s="60"/>
      <c r="T106" s="60"/>
    </row>
    <row r="107" spans="1:23" x14ac:dyDescent="0.25">
      <c r="A107" s="166" t="s">
        <v>132</v>
      </c>
      <c r="B107" t="s">
        <v>32</v>
      </c>
      <c r="C107">
        <f t="shared" si="7"/>
        <v>1</v>
      </c>
      <c r="D107" s="2" t="s">
        <v>6</v>
      </c>
      <c r="L107" s="60"/>
      <c r="M107" s="60"/>
      <c r="N107" s="60"/>
      <c r="O107" s="60"/>
      <c r="P107" s="60"/>
      <c r="Q107" s="60"/>
      <c r="R107" s="60"/>
      <c r="S107" s="60"/>
      <c r="T107" s="60"/>
    </row>
    <row r="108" spans="1:23" x14ac:dyDescent="0.25">
      <c r="A108" s="166" t="s">
        <v>124</v>
      </c>
      <c r="B108" t="s">
        <v>32</v>
      </c>
      <c r="C108">
        <f t="shared" si="7"/>
        <v>1</v>
      </c>
      <c r="D108" s="2" t="s">
        <v>6</v>
      </c>
      <c r="L108" s="60"/>
      <c r="M108" s="60"/>
      <c r="N108" s="60"/>
      <c r="O108" s="60"/>
      <c r="P108" s="60"/>
      <c r="Q108" s="60"/>
      <c r="R108" s="60"/>
      <c r="S108" s="60"/>
      <c r="T108" s="60"/>
    </row>
    <row r="109" spans="1:23" x14ac:dyDescent="0.25">
      <c r="A109" s="166" t="s">
        <v>125</v>
      </c>
      <c r="B109" t="s">
        <v>32</v>
      </c>
      <c r="C109">
        <f t="shared" si="7"/>
        <v>1</v>
      </c>
      <c r="D109" s="2" t="s">
        <v>6</v>
      </c>
      <c r="L109" s="60"/>
      <c r="M109" s="60"/>
      <c r="N109" s="60"/>
      <c r="O109" s="60"/>
      <c r="P109" s="60"/>
      <c r="Q109" s="60"/>
      <c r="R109" s="60"/>
      <c r="S109" s="60"/>
      <c r="T109" s="60"/>
    </row>
    <row r="110" spans="1:23" x14ac:dyDescent="0.25">
      <c r="A110" s="166" t="s">
        <v>130</v>
      </c>
      <c r="B110" t="s">
        <v>32</v>
      </c>
      <c r="C110" t="str">
        <f t="shared" si="7"/>
        <v>N.A.</v>
      </c>
      <c r="D110" s="2" t="s">
        <v>6</v>
      </c>
      <c r="L110" s="60"/>
      <c r="M110" s="60"/>
      <c r="N110" s="60"/>
      <c r="O110" s="60"/>
      <c r="P110" s="60"/>
      <c r="Q110" s="60"/>
      <c r="R110" s="60"/>
      <c r="S110" s="60"/>
      <c r="T110" s="60">
        <v>2.5442361935443373E-3</v>
      </c>
    </row>
    <row r="111" spans="1:23" x14ac:dyDescent="0.25">
      <c r="A111" s="166" t="s">
        <v>131</v>
      </c>
      <c r="B111" t="s">
        <v>32</v>
      </c>
      <c r="C111" t="str">
        <f t="shared" si="7"/>
        <v>N.A.</v>
      </c>
      <c r="D111" s="2" t="s">
        <v>6</v>
      </c>
      <c r="L111" s="60"/>
      <c r="M111" s="60"/>
      <c r="N111" s="60"/>
      <c r="O111" s="60"/>
      <c r="P111" s="60"/>
      <c r="Q111" s="60"/>
      <c r="R111" s="60"/>
      <c r="S111" s="60"/>
      <c r="T111" s="60">
        <v>1.9045269717427064E-3</v>
      </c>
    </row>
  </sheetData>
  <dataValidations count="1">
    <dataValidation type="list" allowBlank="1" showInputMessage="1" showErrorMessage="1" sqref="B100:B111 B86:B97 B72:B83 B58:B69 B44:B55 B30:B41 B16:B27 B2:B13" xr:uid="{00000000-0002-0000-0500-000000000000}">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82" workbookViewId="0">
      <selection activeCell="A86" sqref="A86:A97"/>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41</v>
      </c>
      <c r="C2" s="61">
        <v>0.5</v>
      </c>
      <c r="D2" s="2" t="s">
        <v>6</v>
      </c>
    </row>
    <row r="3" spans="1:23" x14ac:dyDescent="0.25">
      <c r="A3" s="166" t="s">
        <v>113</v>
      </c>
      <c r="B3" t="s">
        <v>41</v>
      </c>
      <c r="C3" s="61">
        <v>0.5</v>
      </c>
      <c r="D3" s="2" t="s">
        <v>6</v>
      </c>
    </row>
    <row r="4" spans="1:23" x14ac:dyDescent="0.25">
      <c r="A4" s="166" t="s">
        <v>115</v>
      </c>
      <c r="B4" t="s">
        <v>41</v>
      </c>
      <c r="C4" s="61">
        <v>0.5</v>
      </c>
      <c r="D4" s="2" t="s">
        <v>6</v>
      </c>
    </row>
    <row r="5" spans="1:23" x14ac:dyDescent="0.25">
      <c r="A5" s="166" t="s">
        <v>117</v>
      </c>
      <c r="B5" t="s">
        <v>41</v>
      </c>
      <c r="C5" s="61">
        <v>0.5</v>
      </c>
      <c r="D5" s="2" t="s">
        <v>6</v>
      </c>
    </row>
    <row r="6" spans="1:23" x14ac:dyDescent="0.25">
      <c r="A6" s="166" t="s">
        <v>119</v>
      </c>
      <c r="B6" t="s">
        <v>41</v>
      </c>
      <c r="C6" s="61">
        <v>0.5</v>
      </c>
      <c r="D6" s="2" t="s">
        <v>6</v>
      </c>
    </row>
    <row r="7" spans="1:23" x14ac:dyDescent="0.25">
      <c r="A7" s="166" t="s">
        <v>121</v>
      </c>
      <c r="B7" t="s">
        <v>41</v>
      </c>
      <c r="C7" s="61">
        <v>0.5</v>
      </c>
      <c r="D7" s="2" t="s">
        <v>6</v>
      </c>
    </row>
    <row r="8" spans="1:23" x14ac:dyDescent="0.25">
      <c r="A8" s="166" t="s">
        <v>128</v>
      </c>
      <c r="B8" t="s">
        <v>41</v>
      </c>
      <c r="C8" s="61">
        <v>0.5</v>
      </c>
      <c r="D8" s="2" t="s">
        <v>6</v>
      </c>
    </row>
    <row r="9" spans="1:23" x14ac:dyDescent="0.25">
      <c r="A9" s="166" t="s">
        <v>132</v>
      </c>
      <c r="B9" t="s">
        <v>41</v>
      </c>
      <c r="C9" s="61">
        <v>0.5</v>
      </c>
      <c r="D9" s="2" t="s">
        <v>6</v>
      </c>
    </row>
    <row r="10" spans="1:23" x14ac:dyDescent="0.25">
      <c r="A10" s="166" t="s">
        <v>124</v>
      </c>
      <c r="B10" t="s">
        <v>41</v>
      </c>
      <c r="C10" s="61">
        <v>0.5</v>
      </c>
      <c r="D10" s="2" t="s">
        <v>6</v>
      </c>
    </row>
    <row r="11" spans="1:23" x14ac:dyDescent="0.25">
      <c r="A11" s="166" t="s">
        <v>125</v>
      </c>
      <c r="B11" t="s">
        <v>41</v>
      </c>
      <c r="C11" s="61">
        <v>0.5</v>
      </c>
      <c r="D11" s="2" t="s">
        <v>6</v>
      </c>
    </row>
    <row r="12" spans="1:23" x14ac:dyDescent="0.25">
      <c r="A12" s="166" t="s">
        <v>130</v>
      </c>
      <c r="B12" t="s">
        <v>41</v>
      </c>
      <c r="C12" s="61">
        <v>0.5</v>
      </c>
      <c r="D12" s="2" t="s">
        <v>6</v>
      </c>
    </row>
    <row r="13" spans="1:23" x14ac:dyDescent="0.25">
      <c r="A13" s="166" t="s">
        <v>131</v>
      </c>
      <c r="B13" t="s">
        <v>41</v>
      </c>
      <c r="C13" s="61">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41</v>
      </c>
      <c r="C16" s="63">
        <v>0.5</v>
      </c>
      <c r="D16" s="2" t="s">
        <v>6</v>
      </c>
    </row>
    <row r="17" spans="1:23" x14ac:dyDescent="0.25">
      <c r="A17" s="166" t="s">
        <v>113</v>
      </c>
      <c r="B17" t="s">
        <v>41</v>
      </c>
      <c r="C17" s="63">
        <v>0.5</v>
      </c>
      <c r="D17" s="2" t="s">
        <v>6</v>
      </c>
    </row>
    <row r="18" spans="1:23" x14ac:dyDescent="0.25">
      <c r="A18" s="166" t="s">
        <v>115</v>
      </c>
      <c r="B18" t="s">
        <v>41</v>
      </c>
      <c r="C18" s="63">
        <v>0.5</v>
      </c>
      <c r="D18" s="2" t="s">
        <v>6</v>
      </c>
    </row>
    <row r="19" spans="1:23" x14ac:dyDescent="0.25">
      <c r="A19" s="166" t="s">
        <v>117</v>
      </c>
      <c r="B19" t="s">
        <v>41</v>
      </c>
      <c r="C19" s="63">
        <v>0.5</v>
      </c>
      <c r="D19" s="2" t="s">
        <v>6</v>
      </c>
    </row>
    <row r="20" spans="1:23" x14ac:dyDescent="0.25">
      <c r="A20" s="166" t="s">
        <v>119</v>
      </c>
      <c r="B20" t="s">
        <v>41</v>
      </c>
      <c r="C20" s="63">
        <v>0.5</v>
      </c>
      <c r="D20" s="2" t="s">
        <v>6</v>
      </c>
    </row>
    <row r="21" spans="1:23" x14ac:dyDescent="0.25">
      <c r="A21" s="166" t="s">
        <v>121</v>
      </c>
      <c r="B21" t="s">
        <v>41</v>
      </c>
      <c r="C21" s="63">
        <v>0.5</v>
      </c>
      <c r="D21" s="2" t="s">
        <v>6</v>
      </c>
    </row>
    <row r="22" spans="1:23" x14ac:dyDescent="0.25">
      <c r="A22" s="166" t="s">
        <v>128</v>
      </c>
      <c r="B22" t="s">
        <v>41</v>
      </c>
      <c r="C22" s="63">
        <v>0.5</v>
      </c>
      <c r="D22" s="2" t="s">
        <v>6</v>
      </c>
    </row>
    <row r="23" spans="1:23" x14ac:dyDescent="0.25">
      <c r="A23" s="166" t="s">
        <v>132</v>
      </c>
      <c r="B23" t="s">
        <v>41</v>
      </c>
      <c r="C23" s="63">
        <v>0.5</v>
      </c>
      <c r="D23" s="2" t="s">
        <v>6</v>
      </c>
    </row>
    <row r="24" spans="1:23" x14ac:dyDescent="0.25">
      <c r="A24" s="166" t="s">
        <v>124</v>
      </c>
      <c r="B24" t="s">
        <v>41</v>
      </c>
      <c r="C24" s="63">
        <v>0.5</v>
      </c>
      <c r="D24" s="2" t="s">
        <v>6</v>
      </c>
    </row>
    <row r="25" spans="1:23" x14ac:dyDescent="0.25">
      <c r="A25" s="166" t="s">
        <v>125</v>
      </c>
      <c r="B25" t="s">
        <v>41</v>
      </c>
      <c r="C25" s="63">
        <v>0.5</v>
      </c>
      <c r="D25" s="2" t="s">
        <v>6</v>
      </c>
    </row>
    <row r="26" spans="1:23" x14ac:dyDescent="0.25">
      <c r="A26" s="166" t="s">
        <v>130</v>
      </c>
      <c r="B26" t="s">
        <v>41</v>
      </c>
      <c r="C26" s="63">
        <v>0.5</v>
      </c>
      <c r="D26" s="2" t="s">
        <v>6</v>
      </c>
    </row>
    <row r="27" spans="1:23" x14ac:dyDescent="0.25">
      <c r="A27" s="166" t="s">
        <v>131</v>
      </c>
      <c r="B27" t="s">
        <v>41</v>
      </c>
      <c r="C27" s="63">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41</v>
      </c>
      <c r="D30" s="2" t="s">
        <v>6</v>
      </c>
      <c r="E30" s="153">
        <v>11</v>
      </c>
    </row>
    <row r="31" spans="1:23" x14ac:dyDescent="0.25">
      <c r="A31" s="166" t="s">
        <v>113</v>
      </c>
      <c r="B31" t="s">
        <v>41</v>
      </c>
      <c r="C31" s="62"/>
      <c r="D31" s="2" t="s">
        <v>6</v>
      </c>
      <c r="E31" s="153">
        <v>0.1</v>
      </c>
    </row>
    <row r="32" spans="1:23" x14ac:dyDescent="0.25">
      <c r="A32" s="166" t="s">
        <v>115</v>
      </c>
      <c r="B32" t="s">
        <v>41</v>
      </c>
      <c r="C32" s="62"/>
      <c r="D32" s="2" t="s">
        <v>6</v>
      </c>
      <c r="E32" s="153">
        <v>6.5</v>
      </c>
    </row>
    <row r="33" spans="1:23" x14ac:dyDescent="0.25">
      <c r="A33" s="166" t="s">
        <v>117</v>
      </c>
      <c r="B33" t="s">
        <v>41</v>
      </c>
      <c r="C33" s="62"/>
      <c r="D33" s="2" t="s">
        <v>6</v>
      </c>
      <c r="E33" s="153">
        <v>0.5</v>
      </c>
    </row>
    <row r="34" spans="1:23" x14ac:dyDescent="0.25">
      <c r="A34" s="166" t="s">
        <v>119</v>
      </c>
      <c r="B34" t="s">
        <v>41</v>
      </c>
      <c r="C34" s="62"/>
      <c r="D34" s="2" t="s">
        <v>6</v>
      </c>
      <c r="E34" s="153">
        <v>3.4</v>
      </c>
    </row>
    <row r="35" spans="1:23" x14ac:dyDescent="0.25">
      <c r="A35" s="166" t="s">
        <v>121</v>
      </c>
      <c r="B35" t="s">
        <v>41</v>
      </c>
      <c r="C35" s="62"/>
      <c r="D35" s="2" t="s">
        <v>6</v>
      </c>
      <c r="E35" s="153">
        <v>1</v>
      </c>
    </row>
    <row r="36" spans="1:23" x14ac:dyDescent="0.25">
      <c r="A36" s="166" t="s">
        <v>128</v>
      </c>
      <c r="B36" t="s">
        <v>41</v>
      </c>
      <c r="C36" s="62"/>
      <c r="D36" s="2" t="s">
        <v>6</v>
      </c>
      <c r="E36" s="153">
        <v>60</v>
      </c>
    </row>
    <row r="37" spans="1:23" x14ac:dyDescent="0.25">
      <c r="A37" s="166" t="s">
        <v>132</v>
      </c>
      <c r="B37" t="s">
        <v>41</v>
      </c>
      <c r="C37" s="62"/>
      <c r="D37" s="2" t="s">
        <v>6</v>
      </c>
      <c r="E37" s="153">
        <v>0.75</v>
      </c>
    </row>
    <row r="38" spans="1:23" x14ac:dyDescent="0.25">
      <c r="A38" s="166" t="s">
        <v>124</v>
      </c>
      <c r="B38" t="s">
        <v>41</v>
      </c>
      <c r="C38" s="62"/>
      <c r="D38" s="2" t="s">
        <v>6</v>
      </c>
      <c r="E38" s="153">
        <v>1</v>
      </c>
    </row>
    <row r="39" spans="1:23" x14ac:dyDescent="0.25">
      <c r="A39" s="166" t="s">
        <v>125</v>
      </c>
      <c r="B39" t="s">
        <v>41</v>
      </c>
      <c r="C39" s="62"/>
      <c r="D39" s="2" t="s">
        <v>6</v>
      </c>
      <c r="E39" s="153">
        <v>1</v>
      </c>
    </row>
    <row r="40" spans="1:23" x14ac:dyDescent="0.25">
      <c r="A40" s="166" t="s">
        <v>130</v>
      </c>
      <c r="B40" t="s">
        <v>41</v>
      </c>
      <c r="C40" s="62"/>
      <c r="D40" s="2" t="s">
        <v>6</v>
      </c>
      <c r="E40" s="153">
        <v>1</v>
      </c>
    </row>
    <row r="41" spans="1:23" x14ac:dyDescent="0.25">
      <c r="A41" s="166" t="s">
        <v>131</v>
      </c>
      <c r="B41" t="s">
        <v>41</v>
      </c>
      <c r="C41" s="62"/>
      <c r="D41" s="2" t="s">
        <v>6</v>
      </c>
      <c r="E41" s="153">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41</v>
      </c>
      <c r="C44" s="64">
        <v>0.22</v>
      </c>
      <c r="D44" s="2" t="s">
        <v>6</v>
      </c>
    </row>
    <row r="45" spans="1:23" x14ac:dyDescent="0.25">
      <c r="A45" s="166" t="s">
        <v>113</v>
      </c>
      <c r="B45" t="s">
        <v>41</v>
      </c>
      <c r="C45" s="64">
        <v>0.22</v>
      </c>
      <c r="D45" s="2" t="s">
        <v>6</v>
      </c>
    </row>
    <row r="46" spans="1:23" x14ac:dyDescent="0.25">
      <c r="A46" s="166" t="s">
        <v>115</v>
      </c>
      <c r="B46" t="s">
        <v>41</v>
      </c>
      <c r="C46" s="64">
        <v>0.22</v>
      </c>
      <c r="D46" s="2" t="s">
        <v>6</v>
      </c>
    </row>
    <row r="47" spans="1:23" x14ac:dyDescent="0.25">
      <c r="A47" s="166" t="s">
        <v>117</v>
      </c>
      <c r="B47" t="s">
        <v>41</v>
      </c>
      <c r="C47" s="64">
        <v>0.22</v>
      </c>
      <c r="D47" s="2" t="s">
        <v>6</v>
      </c>
    </row>
    <row r="48" spans="1:23" x14ac:dyDescent="0.25">
      <c r="A48" s="166" t="s">
        <v>119</v>
      </c>
      <c r="B48" t="s">
        <v>41</v>
      </c>
      <c r="C48" s="64">
        <v>0.22</v>
      </c>
      <c r="D48" s="2" t="s">
        <v>6</v>
      </c>
    </row>
    <row r="49" spans="1:23" x14ac:dyDescent="0.25">
      <c r="A49" s="166" t="s">
        <v>121</v>
      </c>
      <c r="B49" t="s">
        <v>41</v>
      </c>
      <c r="C49" s="64">
        <v>0.22</v>
      </c>
      <c r="D49" s="2" t="s">
        <v>6</v>
      </c>
    </row>
    <row r="50" spans="1:23" x14ac:dyDescent="0.25">
      <c r="A50" s="166" t="s">
        <v>128</v>
      </c>
      <c r="B50" t="s">
        <v>41</v>
      </c>
      <c r="C50" s="64">
        <v>0.22</v>
      </c>
      <c r="D50" s="2" t="s">
        <v>6</v>
      </c>
    </row>
    <row r="51" spans="1:23" x14ac:dyDescent="0.25">
      <c r="A51" s="166" t="s">
        <v>132</v>
      </c>
      <c r="B51" t="s">
        <v>41</v>
      </c>
      <c r="C51" s="64">
        <v>0.22</v>
      </c>
      <c r="D51" s="2" t="s">
        <v>6</v>
      </c>
    </row>
    <row r="52" spans="1:23" x14ac:dyDescent="0.25">
      <c r="A52" s="166" t="s">
        <v>124</v>
      </c>
      <c r="B52" t="s">
        <v>41</v>
      </c>
      <c r="C52" s="64">
        <v>0.22</v>
      </c>
      <c r="D52" s="2" t="s">
        <v>6</v>
      </c>
    </row>
    <row r="53" spans="1:23" x14ac:dyDescent="0.25">
      <c r="A53" s="166" t="s">
        <v>125</v>
      </c>
      <c r="B53" t="s">
        <v>41</v>
      </c>
      <c r="C53" s="64">
        <v>0.22</v>
      </c>
      <c r="D53" s="2" t="s">
        <v>6</v>
      </c>
    </row>
    <row r="54" spans="1:23" x14ac:dyDescent="0.25">
      <c r="A54" s="166" t="s">
        <v>130</v>
      </c>
      <c r="B54" t="s">
        <v>41</v>
      </c>
      <c r="C54" s="64">
        <v>0.22</v>
      </c>
      <c r="D54" s="2" t="s">
        <v>6</v>
      </c>
    </row>
    <row r="55" spans="1:23" x14ac:dyDescent="0.25">
      <c r="A55" s="166" t="s">
        <v>131</v>
      </c>
      <c r="B55" t="s">
        <v>41</v>
      </c>
      <c r="C55" s="64">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t="s">
        <v>41</v>
      </c>
      <c r="C58" s="66">
        <v>1</v>
      </c>
      <c r="D58" s="2" t="s">
        <v>6</v>
      </c>
    </row>
    <row r="59" spans="1:23" x14ac:dyDescent="0.25">
      <c r="A59" s="166" t="s">
        <v>113</v>
      </c>
      <c r="B59" t="s">
        <v>41</v>
      </c>
      <c r="C59" s="66">
        <v>1</v>
      </c>
      <c r="D59" s="2" t="s">
        <v>6</v>
      </c>
    </row>
    <row r="60" spans="1:23" x14ac:dyDescent="0.25">
      <c r="A60" s="166" t="s">
        <v>115</v>
      </c>
      <c r="B60" t="s">
        <v>41</v>
      </c>
      <c r="C60" s="66">
        <v>1</v>
      </c>
      <c r="D60" s="2" t="s">
        <v>6</v>
      </c>
    </row>
    <row r="61" spans="1:23" x14ac:dyDescent="0.25">
      <c r="A61" s="166" t="s">
        <v>117</v>
      </c>
      <c r="B61" t="s">
        <v>41</v>
      </c>
      <c r="C61" s="66">
        <v>1</v>
      </c>
      <c r="D61" s="2" t="s">
        <v>6</v>
      </c>
    </row>
    <row r="62" spans="1:23" x14ac:dyDescent="0.25">
      <c r="A62" s="166" t="s">
        <v>119</v>
      </c>
      <c r="B62" t="s">
        <v>41</v>
      </c>
      <c r="C62" s="66">
        <v>1</v>
      </c>
      <c r="D62" s="2" t="s">
        <v>6</v>
      </c>
    </row>
    <row r="63" spans="1:23" x14ac:dyDescent="0.25">
      <c r="A63" s="166" t="s">
        <v>121</v>
      </c>
      <c r="B63" t="s">
        <v>41</v>
      </c>
      <c r="C63" s="66">
        <v>1</v>
      </c>
      <c r="D63" s="2" t="s">
        <v>6</v>
      </c>
    </row>
    <row r="64" spans="1:23" x14ac:dyDescent="0.25">
      <c r="A64" s="166" t="s">
        <v>128</v>
      </c>
      <c r="B64" t="s">
        <v>41</v>
      </c>
      <c r="C64" s="66">
        <v>1</v>
      </c>
      <c r="D64" s="2" t="s">
        <v>6</v>
      </c>
    </row>
    <row r="65" spans="1:23" x14ac:dyDescent="0.25">
      <c r="A65" s="166" t="s">
        <v>132</v>
      </c>
      <c r="B65" t="s">
        <v>41</v>
      </c>
      <c r="C65" s="66">
        <v>1</v>
      </c>
      <c r="D65" s="2" t="s">
        <v>6</v>
      </c>
    </row>
    <row r="66" spans="1:23" x14ac:dyDescent="0.25">
      <c r="A66" s="166" t="s">
        <v>124</v>
      </c>
      <c r="B66" t="s">
        <v>41</v>
      </c>
      <c r="C66" s="66">
        <v>1</v>
      </c>
      <c r="D66" s="2" t="s">
        <v>6</v>
      </c>
    </row>
    <row r="67" spans="1:23" x14ac:dyDescent="0.25">
      <c r="A67" s="166" t="s">
        <v>125</v>
      </c>
      <c r="B67" t="s">
        <v>41</v>
      </c>
      <c r="C67" s="66">
        <v>1</v>
      </c>
      <c r="D67" s="2" t="s">
        <v>6</v>
      </c>
    </row>
    <row r="68" spans="1:23" x14ac:dyDescent="0.25">
      <c r="A68" s="166" t="s">
        <v>130</v>
      </c>
      <c r="B68" t="s">
        <v>41</v>
      </c>
      <c r="C68" s="66">
        <v>1</v>
      </c>
      <c r="D68" s="2" t="s">
        <v>6</v>
      </c>
    </row>
    <row r="69" spans="1:23" x14ac:dyDescent="0.25">
      <c r="A69" s="166" t="s">
        <v>131</v>
      </c>
      <c r="B69" t="s">
        <v>41</v>
      </c>
      <c r="C69" s="66">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t="s">
        <v>41</v>
      </c>
      <c r="C72" s="67">
        <v>1</v>
      </c>
      <c r="D72" s="2" t="s">
        <v>6</v>
      </c>
    </row>
    <row r="73" spans="1:23" x14ac:dyDescent="0.25">
      <c r="A73" s="166" t="s">
        <v>113</v>
      </c>
      <c r="B73" t="s">
        <v>41</v>
      </c>
      <c r="C73" s="67">
        <v>1</v>
      </c>
      <c r="D73" s="2" t="s">
        <v>6</v>
      </c>
    </row>
    <row r="74" spans="1:23" x14ac:dyDescent="0.25">
      <c r="A74" s="166" t="s">
        <v>115</v>
      </c>
      <c r="B74" t="s">
        <v>41</v>
      </c>
      <c r="C74" s="67">
        <v>1</v>
      </c>
      <c r="D74" s="2" t="s">
        <v>6</v>
      </c>
    </row>
    <row r="75" spans="1:23" x14ac:dyDescent="0.25">
      <c r="A75" s="166" t="s">
        <v>117</v>
      </c>
      <c r="B75" t="s">
        <v>41</v>
      </c>
      <c r="C75" s="67">
        <v>1</v>
      </c>
      <c r="D75" s="2" t="s">
        <v>6</v>
      </c>
    </row>
    <row r="76" spans="1:23" x14ac:dyDescent="0.25">
      <c r="A76" s="166" t="s">
        <v>119</v>
      </c>
      <c r="B76" t="s">
        <v>41</v>
      </c>
      <c r="C76" s="67">
        <v>1</v>
      </c>
      <c r="D76" s="2" t="s">
        <v>6</v>
      </c>
    </row>
    <row r="77" spans="1:23" x14ac:dyDescent="0.25">
      <c r="A77" s="166" t="s">
        <v>121</v>
      </c>
      <c r="B77" t="s">
        <v>41</v>
      </c>
      <c r="C77" s="67">
        <v>1</v>
      </c>
      <c r="D77" s="2" t="s">
        <v>6</v>
      </c>
    </row>
    <row r="78" spans="1:23" x14ac:dyDescent="0.25">
      <c r="A78" s="166" t="s">
        <v>128</v>
      </c>
      <c r="B78" t="s">
        <v>41</v>
      </c>
      <c r="C78" s="67">
        <v>1</v>
      </c>
      <c r="D78" s="2" t="s">
        <v>6</v>
      </c>
    </row>
    <row r="79" spans="1:23" x14ac:dyDescent="0.25">
      <c r="A79" s="166" t="s">
        <v>132</v>
      </c>
      <c r="B79" t="s">
        <v>41</v>
      </c>
      <c r="C79" s="67">
        <v>1</v>
      </c>
      <c r="D79" s="2" t="s">
        <v>6</v>
      </c>
    </row>
    <row r="80" spans="1:23" x14ac:dyDescent="0.25">
      <c r="A80" s="166" t="s">
        <v>124</v>
      </c>
      <c r="B80" t="s">
        <v>41</v>
      </c>
      <c r="C80" s="67">
        <v>1</v>
      </c>
      <c r="D80" s="2" t="s">
        <v>6</v>
      </c>
    </row>
    <row r="81" spans="1:23" x14ac:dyDescent="0.25">
      <c r="A81" s="166" t="s">
        <v>125</v>
      </c>
      <c r="B81" t="s">
        <v>41</v>
      </c>
      <c r="C81" s="67">
        <v>1</v>
      </c>
      <c r="D81" s="2" t="s">
        <v>6</v>
      </c>
    </row>
    <row r="82" spans="1:23" x14ac:dyDescent="0.25">
      <c r="A82" s="166" t="s">
        <v>130</v>
      </c>
      <c r="B82" t="s">
        <v>41</v>
      </c>
      <c r="C82" s="67">
        <v>1</v>
      </c>
      <c r="D82" s="2" t="s">
        <v>6</v>
      </c>
    </row>
    <row r="83" spans="1:23" x14ac:dyDescent="0.25">
      <c r="A83" s="166" t="s">
        <v>131</v>
      </c>
      <c r="B83" t="s">
        <v>41</v>
      </c>
      <c r="C83" s="67">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t="s">
        <v>48</v>
      </c>
      <c r="C86" s="65">
        <v>0.02</v>
      </c>
      <c r="D86" s="2" t="s">
        <v>6</v>
      </c>
    </row>
    <row r="87" spans="1:23" x14ac:dyDescent="0.25">
      <c r="A87" s="166" t="s">
        <v>113</v>
      </c>
      <c r="B87" t="s">
        <v>48</v>
      </c>
      <c r="C87" s="65">
        <v>0.02</v>
      </c>
      <c r="D87" s="2" t="s">
        <v>6</v>
      </c>
    </row>
    <row r="88" spans="1:23" x14ac:dyDescent="0.25">
      <c r="A88" s="166" t="s">
        <v>115</v>
      </c>
      <c r="B88" t="s">
        <v>48</v>
      </c>
      <c r="C88" s="65">
        <v>0.02</v>
      </c>
      <c r="D88" s="2" t="s">
        <v>6</v>
      </c>
    </row>
    <row r="89" spans="1:23" x14ac:dyDescent="0.25">
      <c r="A89" s="166" t="s">
        <v>117</v>
      </c>
      <c r="B89" t="s">
        <v>48</v>
      </c>
      <c r="C89" s="65">
        <v>0.02</v>
      </c>
      <c r="D89" s="2" t="s">
        <v>6</v>
      </c>
    </row>
    <row r="90" spans="1:23" x14ac:dyDescent="0.25">
      <c r="A90" s="166" t="s">
        <v>119</v>
      </c>
      <c r="B90" t="s">
        <v>48</v>
      </c>
      <c r="C90" s="65">
        <v>0.02</v>
      </c>
      <c r="D90" s="2" t="s">
        <v>6</v>
      </c>
    </row>
    <row r="91" spans="1:23" x14ac:dyDescent="0.25">
      <c r="A91" s="166" t="s">
        <v>121</v>
      </c>
      <c r="B91" t="s">
        <v>48</v>
      </c>
      <c r="C91" s="65">
        <v>0.02</v>
      </c>
      <c r="D91" s="2" t="s">
        <v>6</v>
      </c>
    </row>
    <row r="92" spans="1:23" x14ac:dyDescent="0.25">
      <c r="A92" s="166" t="s">
        <v>128</v>
      </c>
      <c r="B92" t="s">
        <v>48</v>
      </c>
      <c r="C92" s="65">
        <v>0.02</v>
      </c>
      <c r="D92" s="2" t="s">
        <v>6</v>
      </c>
    </row>
    <row r="93" spans="1:23" x14ac:dyDescent="0.25">
      <c r="A93" s="166" t="s">
        <v>132</v>
      </c>
      <c r="B93" t="s">
        <v>48</v>
      </c>
      <c r="C93" s="65">
        <v>0.02</v>
      </c>
      <c r="D93" s="2" t="s">
        <v>6</v>
      </c>
    </row>
    <row r="94" spans="1:23" x14ac:dyDescent="0.25">
      <c r="A94" s="166" t="s">
        <v>124</v>
      </c>
      <c r="B94" t="s">
        <v>48</v>
      </c>
      <c r="C94" s="65">
        <v>0.02</v>
      </c>
      <c r="D94" s="2" t="s">
        <v>6</v>
      </c>
    </row>
    <row r="95" spans="1:23" x14ac:dyDescent="0.25">
      <c r="A95" s="166" t="s">
        <v>125</v>
      </c>
      <c r="B95" t="s">
        <v>48</v>
      </c>
      <c r="C95" s="65">
        <v>0.02</v>
      </c>
      <c r="D95" s="2" t="s">
        <v>6</v>
      </c>
    </row>
    <row r="96" spans="1:23" x14ac:dyDescent="0.25">
      <c r="A96" s="166" t="s">
        <v>130</v>
      </c>
      <c r="B96" t="s">
        <v>48</v>
      </c>
      <c r="C96" s="65">
        <v>0.02</v>
      </c>
      <c r="D96" s="2" t="s">
        <v>6</v>
      </c>
    </row>
    <row r="97" spans="1:4" x14ac:dyDescent="0.25">
      <c r="A97" s="166" t="s">
        <v>131</v>
      </c>
      <c r="B97" t="s">
        <v>48</v>
      </c>
      <c r="C97" s="65">
        <v>0.02</v>
      </c>
      <c r="D97" s="2" t="s">
        <v>6</v>
      </c>
    </row>
  </sheetData>
  <dataValidations count="2">
    <dataValidation type="list" allowBlank="1" showInputMessage="1" showErrorMessage="1" sqref="B72:B83 B58:B69 B44:B55 B30:B41 B16:B27 B2:B13" xr:uid="{00000000-0002-0000-0600-000000000000}">
      <formula1>"N.A."</formula1>
    </dataValidation>
    <dataValidation type="list" allowBlank="1" showInputMessage="1" showErrorMessage="1" sqref="B86:B97" xr:uid="{00000000-0002-0000-0600-000048000000}">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topLeftCell="A28" workbookViewId="0">
      <selection activeCell="A40" sqref="A4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48</v>
      </c>
      <c r="C2" t="str">
        <f t="shared" ref="C2:C13" si="0">IF(SUMPRODUCT(--(E2:W2&lt;&gt;""))=0,0,"N.A.")</f>
        <v>N.A.</v>
      </c>
      <c r="D2" s="2" t="s">
        <v>6</v>
      </c>
      <c r="E2" s="68">
        <v>0.44500000000000001</v>
      </c>
      <c r="F2" s="68">
        <v>0</v>
      </c>
      <c r="G2" s="68">
        <v>0</v>
      </c>
      <c r="H2" s="68">
        <v>0</v>
      </c>
      <c r="I2" s="68">
        <v>0</v>
      </c>
      <c r="J2" s="68">
        <v>0</v>
      </c>
      <c r="K2" s="68">
        <v>0.49289064565483448</v>
      </c>
      <c r="L2" s="68">
        <v>0.4995</v>
      </c>
      <c r="M2" s="68">
        <v>0.5</v>
      </c>
      <c r="N2" s="68">
        <v>0.5</v>
      </c>
    </row>
    <row r="3" spans="1:23" x14ac:dyDescent="0.25">
      <c r="A3" s="166" t="s">
        <v>113</v>
      </c>
      <c r="B3" t="s">
        <v>5</v>
      </c>
      <c r="C3">
        <f t="shared" si="0"/>
        <v>0</v>
      </c>
      <c r="D3" s="2" t="s">
        <v>6</v>
      </c>
    </row>
    <row r="4" spans="1:23" x14ac:dyDescent="0.25">
      <c r="A4" s="166" t="s">
        <v>115</v>
      </c>
      <c r="B4" t="s">
        <v>5</v>
      </c>
      <c r="C4">
        <f t="shared" si="0"/>
        <v>0</v>
      </c>
      <c r="D4" s="2" t="s">
        <v>6</v>
      </c>
    </row>
    <row r="5" spans="1:23" x14ac:dyDescent="0.25">
      <c r="A5" s="166" t="s">
        <v>117</v>
      </c>
      <c r="B5" t="s">
        <v>5</v>
      </c>
      <c r="C5">
        <f t="shared" si="0"/>
        <v>0</v>
      </c>
      <c r="D5" s="2" t="s">
        <v>6</v>
      </c>
    </row>
    <row r="6" spans="1:23" x14ac:dyDescent="0.25">
      <c r="A6" s="166" t="s">
        <v>119</v>
      </c>
      <c r="B6" t="s">
        <v>5</v>
      </c>
      <c r="C6">
        <f t="shared" si="0"/>
        <v>0</v>
      </c>
      <c r="D6" s="2" t="s">
        <v>6</v>
      </c>
    </row>
    <row r="7" spans="1:23" x14ac:dyDescent="0.25">
      <c r="A7" s="166" t="s">
        <v>121</v>
      </c>
      <c r="B7" t="s">
        <v>5</v>
      </c>
      <c r="C7">
        <f t="shared" si="0"/>
        <v>0</v>
      </c>
      <c r="D7" s="2" t="s">
        <v>6</v>
      </c>
    </row>
    <row r="8" spans="1:23" x14ac:dyDescent="0.25">
      <c r="A8" s="166" t="s">
        <v>128</v>
      </c>
      <c r="B8" t="s">
        <v>5</v>
      </c>
      <c r="C8">
        <f t="shared" si="0"/>
        <v>0</v>
      </c>
      <c r="D8" s="2" t="s">
        <v>6</v>
      </c>
    </row>
    <row r="9" spans="1:23" x14ac:dyDescent="0.25">
      <c r="A9" s="166" t="s">
        <v>132</v>
      </c>
      <c r="B9" t="s">
        <v>5</v>
      </c>
      <c r="C9">
        <f t="shared" si="0"/>
        <v>0</v>
      </c>
      <c r="D9" s="2" t="s">
        <v>6</v>
      </c>
    </row>
    <row r="10" spans="1:23" x14ac:dyDescent="0.25">
      <c r="A10" s="166" t="s">
        <v>124</v>
      </c>
      <c r="B10" t="s">
        <v>5</v>
      </c>
      <c r="C10">
        <f t="shared" si="0"/>
        <v>0</v>
      </c>
      <c r="D10" s="2" t="s">
        <v>6</v>
      </c>
    </row>
    <row r="11" spans="1:23" x14ac:dyDescent="0.25">
      <c r="A11" s="166" t="s">
        <v>125</v>
      </c>
      <c r="B11" t="s">
        <v>5</v>
      </c>
      <c r="C11">
        <f t="shared" si="0"/>
        <v>0</v>
      </c>
      <c r="D11" s="2" t="s">
        <v>6</v>
      </c>
    </row>
    <row r="12" spans="1:23" x14ac:dyDescent="0.25">
      <c r="A12" s="166" t="s">
        <v>130</v>
      </c>
      <c r="B12" t="s">
        <v>5</v>
      </c>
      <c r="C12">
        <f t="shared" si="0"/>
        <v>0</v>
      </c>
      <c r="D12" s="2" t="s">
        <v>6</v>
      </c>
    </row>
    <row r="13" spans="1:23" x14ac:dyDescent="0.25">
      <c r="A13" s="166"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41</v>
      </c>
      <c r="C16">
        <f t="shared" ref="C16:C27" si="1">IF(SUMPRODUCT(--(E16:W16&lt;&gt;""))=0,0,"N.A.")</f>
        <v>0</v>
      </c>
      <c r="D16" s="2" t="s">
        <v>6</v>
      </c>
    </row>
    <row r="17" spans="1:23" x14ac:dyDescent="0.25">
      <c r="A17" s="166" t="s">
        <v>113</v>
      </c>
      <c r="B17" t="s">
        <v>41</v>
      </c>
      <c r="C17">
        <f t="shared" si="1"/>
        <v>0</v>
      </c>
      <c r="D17" s="2" t="s">
        <v>6</v>
      </c>
    </row>
    <row r="18" spans="1:23" x14ac:dyDescent="0.25">
      <c r="A18" s="166" t="s">
        <v>115</v>
      </c>
      <c r="B18" t="s">
        <v>41</v>
      </c>
      <c r="C18">
        <f t="shared" si="1"/>
        <v>0</v>
      </c>
      <c r="D18" s="2" t="s">
        <v>6</v>
      </c>
    </row>
    <row r="19" spans="1:23" x14ac:dyDescent="0.25">
      <c r="A19" s="166" t="s">
        <v>117</v>
      </c>
      <c r="B19" t="s">
        <v>41</v>
      </c>
      <c r="C19">
        <f t="shared" si="1"/>
        <v>0</v>
      </c>
      <c r="D19" s="2" t="s">
        <v>6</v>
      </c>
    </row>
    <row r="20" spans="1:23" x14ac:dyDescent="0.25">
      <c r="A20" s="166" t="s">
        <v>119</v>
      </c>
      <c r="B20" t="s">
        <v>41</v>
      </c>
      <c r="C20">
        <f t="shared" si="1"/>
        <v>0</v>
      </c>
      <c r="D20" s="2" t="s">
        <v>6</v>
      </c>
    </row>
    <row r="21" spans="1:23" x14ac:dyDescent="0.25">
      <c r="A21" s="166" t="s">
        <v>121</v>
      </c>
      <c r="B21" t="s">
        <v>41</v>
      </c>
      <c r="C21">
        <f t="shared" si="1"/>
        <v>0</v>
      </c>
      <c r="D21" s="2" t="s">
        <v>6</v>
      </c>
    </row>
    <row r="22" spans="1:23" x14ac:dyDescent="0.25">
      <c r="A22" s="166" t="s">
        <v>128</v>
      </c>
      <c r="B22" t="s">
        <v>41</v>
      </c>
      <c r="C22">
        <f t="shared" si="1"/>
        <v>0</v>
      </c>
      <c r="D22" s="2" t="s">
        <v>6</v>
      </c>
    </row>
    <row r="23" spans="1:23" x14ac:dyDescent="0.25">
      <c r="A23" s="166" t="s">
        <v>132</v>
      </c>
      <c r="B23" t="s">
        <v>41</v>
      </c>
      <c r="C23">
        <f t="shared" si="1"/>
        <v>0</v>
      </c>
      <c r="D23" s="2" t="s">
        <v>6</v>
      </c>
    </row>
    <row r="24" spans="1:23" x14ac:dyDescent="0.25">
      <c r="A24" s="166" t="s">
        <v>124</v>
      </c>
      <c r="B24" t="s">
        <v>41</v>
      </c>
      <c r="C24">
        <f t="shared" si="1"/>
        <v>0</v>
      </c>
      <c r="D24" s="2" t="s">
        <v>6</v>
      </c>
    </row>
    <row r="25" spans="1:23" x14ac:dyDescent="0.25">
      <c r="A25" s="166" t="s">
        <v>125</v>
      </c>
      <c r="B25" t="s">
        <v>41</v>
      </c>
      <c r="C25">
        <f t="shared" si="1"/>
        <v>0</v>
      </c>
      <c r="D25" s="2" t="s">
        <v>6</v>
      </c>
    </row>
    <row r="26" spans="1:23" x14ac:dyDescent="0.25">
      <c r="A26" s="166" t="s">
        <v>130</v>
      </c>
      <c r="B26" t="s">
        <v>41</v>
      </c>
      <c r="C26">
        <f t="shared" si="1"/>
        <v>0</v>
      </c>
      <c r="D26" s="2" t="s">
        <v>6</v>
      </c>
    </row>
    <row r="27" spans="1:23" x14ac:dyDescent="0.25">
      <c r="A27" s="166"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41</v>
      </c>
      <c r="C30">
        <f t="shared" ref="C30:C41" si="2">IF(SUMPRODUCT(--(E30:W30&lt;&gt;""))=0,0,"N.A.")</f>
        <v>0</v>
      </c>
      <c r="D30" s="2" t="s">
        <v>6</v>
      </c>
    </row>
    <row r="31" spans="1:23" x14ac:dyDescent="0.25">
      <c r="A31" s="166" t="s">
        <v>113</v>
      </c>
      <c r="B31" t="s">
        <v>41</v>
      </c>
      <c r="C31">
        <f t="shared" si="2"/>
        <v>0</v>
      </c>
      <c r="D31" s="2" t="s">
        <v>6</v>
      </c>
    </row>
    <row r="32" spans="1:23" x14ac:dyDescent="0.25">
      <c r="A32" s="166" t="s">
        <v>115</v>
      </c>
      <c r="B32" t="s">
        <v>41</v>
      </c>
      <c r="C32">
        <f t="shared" si="2"/>
        <v>0</v>
      </c>
      <c r="D32" s="2" t="s">
        <v>6</v>
      </c>
    </row>
    <row r="33" spans="1:23" x14ac:dyDescent="0.25">
      <c r="A33" s="166" t="s">
        <v>117</v>
      </c>
      <c r="B33" t="s">
        <v>41</v>
      </c>
      <c r="C33">
        <f t="shared" si="2"/>
        <v>0</v>
      </c>
      <c r="D33" s="2" t="s">
        <v>6</v>
      </c>
    </row>
    <row r="34" spans="1:23" x14ac:dyDescent="0.25">
      <c r="A34" s="166" t="s">
        <v>119</v>
      </c>
      <c r="B34" t="s">
        <v>41</v>
      </c>
      <c r="C34">
        <f t="shared" si="2"/>
        <v>0</v>
      </c>
      <c r="D34" s="2" t="s">
        <v>6</v>
      </c>
    </row>
    <row r="35" spans="1:23" x14ac:dyDescent="0.25">
      <c r="A35" s="166" t="s">
        <v>121</v>
      </c>
      <c r="B35" t="s">
        <v>41</v>
      </c>
      <c r="C35">
        <f t="shared" si="2"/>
        <v>0</v>
      </c>
      <c r="D35" s="2" t="s">
        <v>6</v>
      </c>
    </row>
    <row r="36" spans="1:23" x14ac:dyDescent="0.25">
      <c r="A36" s="166" t="s">
        <v>128</v>
      </c>
      <c r="B36" t="s">
        <v>41</v>
      </c>
      <c r="C36">
        <f t="shared" si="2"/>
        <v>0</v>
      </c>
      <c r="D36" s="2" t="s">
        <v>6</v>
      </c>
    </row>
    <row r="37" spans="1:23" x14ac:dyDescent="0.25">
      <c r="A37" s="166" t="s">
        <v>132</v>
      </c>
      <c r="B37" t="s">
        <v>41</v>
      </c>
      <c r="C37">
        <f t="shared" si="2"/>
        <v>0</v>
      </c>
      <c r="D37" s="2" t="s">
        <v>6</v>
      </c>
    </row>
    <row r="38" spans="1:23" x14ac:dyDescent="0.25">
      <c r="A38" s="166" t="s">
        <v>124</v>
      </c>
      <c r="B38" t="s">
        <v>41</v>
      </c>
      <c r="C38">
        <f t="shared" si="2"/>
        <v>0</v>
      </c>
      <c r="D38" s="2" t="s">
        <v>6</v>
      </c>
    </row>
    <row r="39" spans="1:23" x14ac:dyDescent="0.25">
      <c r="A39" s="166" t="s">
        <v>125</v>
      </c>
      <c r="B39" t="s">
        <v>41</v>
      </c>
      <c r="C39">
        <f t="shared" si="2"/>
        <v>0</v>
      </c>
      <c r="D39" s="2" t="s">
        <v>6</v>
      </c>
    </row>
    <row r="40" spans="1:23" x14ac:dyDescent="0.25">
      <c r="A40" s="166" t="s">
        <v>130</v>
      </c>
      <c r="B40" t="s">
        <v>41</v>
      </c>
      <c r="C40">
        <f t="shared" si="2"/>
        <v>0</v>
      </c>
      <c r="D40" s="2" t="s">
        <v>6</v>
      </c>
    </row>
    <row r="41" spans="1:23" x14ac:dyDescent="0.25">
      <c r="A41" s="166"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41</v>
      </c>
      <c r="C44">
        <f t="shared" ref="C44:C55" si="3">IF(SUMPRODUCT(--(E44:W44&lt;&gt;""))=0,0,"N.A.")</f>
        <v>0</v>
      </c>
      <c r="D44" s="2" t="s">
        <v>6</v>
      </c>
    </row>
    <row r="45" spans="1:23" x14ac:dyDescent="0.25">
      <c r="A45" s="166" t="s">
        <v>113</v>
      </c>
      <c r="B45" t="s">
        <v>41</v>
      </c>
      <c r="C45">
        <f t="shared" si="3"/>
        <v>0</v>
      </c>
      <c r="D45" s="2" t="s">
        <v>6</v>
      </c>
    </row>
    <row r="46" spans="1:23" x14ac:dyDescent="0.25">
      <c r="A46" s="166" t="s">
        <v>115</v>
      </c>
      <c r="B46" t="s">
        <v>41</v>
      </c>
      <c r="C46">
        <f t="shared" si="3"/>
        <v>0</v>
      </c>
      <c r="D46" s="2" t="s">
        <v>6</v>
      </c>
    </row>
    <row r="47" spans="1:23" x14ac:dyDescent="0.25">
      <c r="A47" s="166" t="s">
        <v>117</v>
      </c>
      <c r="B47" t="s">
        <v>41</v>
      </c>
      <c r="C47">
        <f t="shared" si="3"/>
        <v>0</v>
      </c>
      <c r="D47" s="2" t="s">
        <v>6</v>
      </c>
    </row>
    <row r="48" spans="1:23" x14ac:dyDescent="0.25">
      <c r="A48" s="166" t="s">
        <v>119</v>
      </c>
      <c r="B48" t="s">
        <v>41</v>
      </c>
      <c r="C48">
        <f t="shared" si="3"/>
        <v>0</v>
      </c>
      <c r="D48" s="2" t="s">
        <v>6</v>
      </c>
    </row>
    <row r="49" spans="1:4" x14ac:dyDescent="0.25">
      <c r="A49" s="166" t="s">
        <v>121</v>
      </c>
      <c r="B49" t="s">
        <v>41</v>
      </c>
      <c r="C49">
        <f t="shared" si="3"/>
        <v>0</v>
      </c>
      <c r="D49" s="2" t="s">
        <v>6</v>
      </c>
    </row>
    <row r="50" spans="1:4" x14ac:dyDescent="0.25">
      <c r="A50" s="166" t="s">
        <v>128</v>
      </c>
      <c r="B50" t="s">
        <v>41</v>
      </c>
      <c r="C50">
        <f t="shared" si="3"/>
        <v>0</v>
      </c>
      <c r="D50" s="2" t="s">
        <v>6</v>
      </c>
    </row>
    <row r="51" spans="1:4" x14ac:dyDescent="0.25">
      <c r="A51" s="166" t="s">
        <v>132</v>
      </c>
      <c r="B51" t="s">
        <v>41</v>
      </c>
      <c r="C51">
        <f t="shared" si="3"/>
        <v>0</v>
      </c>
      <c r="D51" s="2" t="s">
        <v>6</v>
      </c>
    </row>
    <row r="52" spans="1:4" x14ac:dyDescent="0.25">
      <c r="A52" s="166" t="s">
        <v>124</v>
      </c>
      <c r="B52" t="s">
        <v>41</v>
      </c>
      <c r="C52">
        <f t="shared" si="3"/>
        <v>0</v>
      </c>
      <c r="D52" s="2" t="s">
        <v>6</v>
      </c>
    </row>
    <row r="53" spans="1:4" x14ac:dyDescent="0.25">
      <c r="A53" s="166" t="s">
        <v>125</v>
      </c>
      <c r="B53" t="s">
        <v>41</v>
      </c>
      <c r="C53">
        <f t="shared" si="3"/>
        <v>0</v>
      </c>
      <c r="D53" s="2" t="s">
        <v>6</v>
      </c>
    </row>
    <row r="54" spans="1:4" x14ac:dyDescent="0.25">
      <c r="A54" s="166" t="s">
        <v>130</v>
      </c>
      <c r="B54" t="s">
        <v>41</v>
      </c>
      <c r="C54">
        <f t="shared" si="3"/>
        <v>0</v>
      </c>
      <c r="D54" s="2" t="s">
        <v>6</v>
      </c>
    </row>
    <row r="55" spans="1:4" x14ac:dyDescent="0.25">
      <c r="A55" s="166" t="s">
        <v>131</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Transfers</vt:lpstr>
      <vt:lpstr>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2018-05-02T06:14:23Z</dcterms:created>
  <dcterms:modified xsi:type="dcterms:W3CDTF">2018-07-23T00:39:44Z</dcterms:modified>
</cp:coreProperties>
</file>